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5.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6.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7.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8.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9.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drawings/drawing10.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drawings/drawing11.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drawings/drawing12.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13.xml" ContentType="application/vnd.openxmlformats-officedocument.drawing+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14.xml" ContentType="application/vnd.openxmlformats-officedocument.drawing+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15.xml" ContentType="application/vnd.openxmlformats-officedocument.drawing+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drawings/drawing16.xml" ContentType="application/vnd.openxmlformats-officedocument.drawing+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drawings/drawing17.xml" ContentType="application/vnd.openxmlformats-officedocument.drawing+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drawings/drawing18.xml" ContentType="application/vnd.openxmlformats-officedocument.drawing+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drawings/drawing19.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20.xml" ContentType="application/vnd.openxmlformats-officedocument.drawing+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drawings/drawing21.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drawings/drawing22.xml" ContentType="application/vnd.openxmlformats-officedocument.drawing+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drawings/drawing23.xml" ContentType="application/vnd.openxmlformats-officedocument.drawing+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drawings/drawing24.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drawings/drawing25.xml" ContentType="application/vnd.openxmlformats-officedocument.drawing+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drawings/drawing26.xml" ContentType="application/vnd.openxmlformats-officedocument.drawing+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27.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drawings/drawing28.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drawings/drawing29.xml" ContentType="application/vnd.openxmlformats-officedocument.drawing+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0.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drawings/drawing31.xml" ContentType="application/vnd.openxmlformats-officedocument.drawing+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drawings/drawing32.xml" ContentType="application/vnd.openxmlformats-officedocument.drawing+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drawings/drawing33.xml" ContentType="application/vnd.openxmlformats-officedocument.drawing+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drawings/drawing34.xml" ContentType="application/vnd.openxmlformats-officedocument.drawing+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drawings/drawing35.xml" ContentType="application/vnd.openxmlformats-officedocument.drawing+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drawings/drawing36.xml" ContentType="application/vnd.openxmlformats-officedocument.drawing+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drawings/drawing37.xml" ContentType="application/vnd.openxmlformats-officedocument.drawing+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drawings/drawing38.xml" ContentType="application/vnd.openxmlformats-officedocument.drawing+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drawings/drawing39.xml" ContentType="application/vnd.openxmlformats-officedocument.drawing+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drawings/drawing40.xml" ContentType="application/vnd.openxmlformats-officedocument.drawing+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drawings/drawing41.xml" ContentType="application/vnd.openxmlformats-officedocument.drawing+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drawings/drawing42.xml" ContentType="application/vnd.openxmlformats-officedocument.drawing+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drawings/drawing43.xml" ContentType="application/vnd.openxmlformats-officedocument.drawing+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drawings/drawing44.xml" ContentType="application/vnd.openxmlformats-officedocument.drawing+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drawings/drawing45.xml" ContentType="application/vnd.openxmlformats-officedocument.drawing+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drawings/drawing46.xml" ContentType="application/vnd.openxmlformats-officedocument.drawing+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drawings/drawing47.xml" ContentType="application/vnd.openxmlformats-officedocument.drawing+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drawings/drawing48.xml" ContentType="application/vnd.openxmlformats-officedocument.drawing+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drawings/drawing49.xml" ContentType="application/vnd.openxmlformats-officedocument.drawing+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drawings/drawing50.xml" ContentType="application/vnd.openxmlformats-officedocument.drawing+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drawings/drawing51.xml" ContentType="application/vnd.openxmlformats-officedocument.drawing+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drawings/drawing52.xml" ContentType="application/vnd.openxmlformats-officedocument.drawing+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drawings/drawing53.xml" ContentType="application/vnd.openxmlformats-officedocument.drawing+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drawings/drawing54.xml" ContentType="application/vnd.openxmlformats-officedocument.drawing+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drawings/drawing55.xml" ContentType="application/vnd.openxmlformats-officedocument.drawing+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drawings/drawing56.xml" ContentType="application/vnd.openxmlformats-officedocument.drawing+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drawings/drawing57.xml" ContentType="application/vnd.openxmlformats-officedocument.drawing+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defaultThemeVersion="202300"/>
  <mc:AlternateContent xmlns:mc="http://schemas.openxmlformats.org/markup-compatibility/2006">
    <mc:Choice Requires="x15">
      <x15ac:absPath xmlns:x15ac="http://schemas.microsoft.com/office/spreadsheetml/2010/11/ac" url="C:\Users\Juan.Castillo\Desktop\Macro Test\"/>
    </mc:Choice>
  </mc:AlternateContent>
  <xr:revisionPtr revIDLastSave="0" documentId="13_ncr:1_{07C58166-D74A-4F78-9AD0-06F42FE4F8AE}" xr6:coauthVersionLast="47" xr6:coauthVersionMax="47" xr10:uidLastSave="{00000000-0000-0000-0000-000000000000}"/>
  <bookViews>
    <workbookView xWindow="-108" yWindow="-108" windowWidth="23256" windowHeight="12456" tabRatio="761" firstSheet="41" activeTab="57" xr2:uid="{530990ED-74D6-48F8-A4E6-2BEE652A1CC7}"/>
  </bookViews>
  <sheets>
    <sheet name="AGO" sheetId="8" r:id="rId1"/>
    <sheet name="ALG" sheetId="9" r:id="rId2"/>
    <sheet name="BEN" sheetId="28" r:id="rId3"/>
    <sheet name="BFA" sheetId="29" r:id="rId4"/>
    <sheet name="BDI" sheetId="27" r:id="rId5"/>
    <sheet name="BWA" sheetId="30" r:id="rId6"/>
    <sheet name="CAF" sheetId="35" r:id="rId7"/>
    <sheet name="CIV" sheetId="34" r:id="rId8"/>
    <sheet name="CMR" sheetId="6" r:id="rId9"/>
    <sheet name="COG" sheetId="33" r:id="rId10"/>
    <sheet name="COM" sheetId="32" r:id="rId11"/>
    <sheet name="CPV" sheetId="31" r:id="rId12"/>
    <sheet name="DJI" sheetId="43" r:id="rId13"/>
    <sheet name="DRC" sheetId="42" r:id="rId14"/>
    <sheet name="EGY" sheetId="41" r:id="rId15"/>
    <sheet name="EQG" sheetId="39" r:id="rId16"/>
    <sheet name="ERI" sheetId="40" r:id="rId17"/>
    <sheet name="ETH" sheetId="38" r:id="rId18"/>
    <sheet name="GAB" sheetId="37" r:id="rId19"/>
    <sheet name="GMB" sheetId="51" r:id="rId20"/>
    <sheet name="GHA" sheetId="36" r:id="rId21"/>
    <sheet name="GIN" sheetId="49" r:id="rId22"/>
    <sheet name="GNB" sheetId="48" r:id="rId23"/>
    <sheet name="KEN" sheetId="50" r:id="rId24"/>
    <sheet name="LBR" sheetId="47" r:id="rId25"/>
    <sheet name="LIB" sheetId="46" r:id="rId26"/>
    <sheet name="LSO" sheetId="45" r:id="rId27"/>
    <sheet name="MDG" sheetId="44" r:id="rId28"/>
    <sheet name="MUS" sheetId="55" r:id="rId29"/>
    <sheet name="NAM" sheetId="52" r:id="rId30"/>
    <sheet name="NGA" sheetId="53" r:id="rId31"/>
    <sheet name="MYT" sheetId="56" r:id="rId32"/>
    <sheet name="MAR" sheetId="58" r:id="rId33"/>
    <sheet name="MOZ" sheetId="7" r:id="rId34"/>
    <sheet name="NER" sheetId="59" r:id="rId35"/>
    <sheet name="Divs" sheetId="2" r:id="rId36"/>
    <sheet name="MWI" sheetId="23" r:id="rId37"/>
    <sheet name="MRT" sheetId="25" r:id="rId38"/>
    <sheet name="MLI" sheetId="24" r:id="rId39"/>
    <sheet name="REU" sheetId="54" r:id="rId40"/>
    <sheet name="RWA" sheetId="21" r:id="rId41"/>
    <sheet name="RSA" sheetId="20" r:id="rId42"/>
    <sheet name="SHN" sheetId="19" r:id="rId43"/>
    <sheet name="SEN" sheetId="22" r:id="rId44"/>
    <sheet name="SOM" sheetId="18" r:id="rId45"/>
    <sheet name="SLE" sheetId="26" r:id="rId46"/>
    <sheet name="SDN" sheetId="57" r:id="rId47"/>
    <sheet name="SSD" sheetId="17" r:id="rId48"/>
    <sheet name="STP" sheetId="16" r:id="rId49"/>
    <sheet name="SWZ" sheetId="15" r:id="rId50"/>
    <sheet name="SYC" sheetId="14" r:id="rId51"/>
    <sheet name="TCD" sheetId="13" r:id="rId52"/>
    <sheet name="TGO" sheetId="12" r:id="rId53"/>
    <sheet name="TUN" sheetId="11" r:id="rId54"/>
    <sheet name="TZA" sheetId="10" r:id="rId55"/>
    <sheet name="ZMB" sheetId="5" r:id="rId56"/>
    <sheet name="UGA" sheetId="3" r:id="rId57"/>
    <sheet name="ZWE" sheetId="4" r:id="rId58"/>
  </sheets>
  <externalReferences>
    <externalReference r:id="rId59"/>
    <externalReference r:id="rId60"/>
  </externalReferences>
  <definedNames>
    <definedName name="_xlnm._FilterDatabase" localSheetId="0" hidden="1">AGO!$A$1:$IY$1</definedName>
    <definedName name="_xlnm._FilterDatabase" localSheetId="1" hidden="1">ALG!$A$1:$IY$1</definedName>
    <definedName name="_xlnm._FilterDatabase" localSheetId="4" hidden="1">BDI!$A$1:$IY$1</definedName>
    <definedName name="_xlnm._FilterDatabase" localSheetId="2" hidden="1">BEN!$A$1:$IY$1</definedName>
    <definedName name="_xlnm._FilterDatabase" localSheetId="3" hidden="1">BFA!$A$1:$IY$1</definedName>
    <definedName name="_xlnm._FilterDatabase" localSheetId="5" hidden="1">BWA!$A$1:$IY$1</definedName>
    <definedName name="_xlnm._FilterDatabase" localSheetId="6" hidden="1">CAF!$A$1:$IY$1</definedName>
    <definedName name="_xlnm._FilterDatabase" localSheetId="7" hidden="1">CIV!$A$1:$IY$1</definedName>
    <definedName name="_xlnm._FilterDatabase" localSheetId="8" hidden="1">CMR!$A$1:$IY$1</definedName>
    <definedName name="_xlnm._FilterDatabase" localSheetId="9" hidden="1">COG!$A$1:$IY$1</definedName>
    <definedName name="_xlnm._FilterDatabase" localSheetId="10" hidden="1">COM!$A$1:$IY$1</definedName>
    <definedName name="_xlnm._FilterDatabase" localSheetId="11" hidden="1">CPV!$A$1:$IY$1</definedName>
    <definedName name="_xlnm._FilterDatabase" localSheetId="12" hidden="1">DJI!$A$1:$IY$1</definedName>
    <definedName name="_xlnm._FilterDatabase" localSheetId="13" hidden="1">DRC!$A$1:$IY$1</definedName>
    <definedName name="_xlnm._FilterDatabase" localSheetId="14" hidden="1">EGY!$A$1:$IY$1</definedName>
    <definedName name="_xlnm._FilterDatabase" localSheetId="15" hidden="1">EQG!$A$1:$IY$1</definedName>
    <definedName name="_xlnm._FilterDatabase" localSheetId="16" hidden="1">ERI!$A$1:$IY$1</definedName>
    <definedName name="_xlnm._FilterDatabase" localSheetId="17" hidden="1">ETH!$A$1:$IY$1</definedName>
    <definedName name="_xlnm._FilterDatabase" localSheetId="18" hidden="1">GAB!$A$1:$IY$1</definedName>
    <definedName name="_xlnm._FilterDatabase" localSheetId="20" hidden="1">GHA!$A$1:$IY$1</definedName>
    <definedName name="_xlnm._FilterDatabase" localSheetId="21" hidden="1">GIN!$A$1:$IY$1</definedName>
    <definedName name="_xlnm._FilterDatabase" localSheetId="19" hidden="1">GMB!$A$1:$IY$1</definedName>
    <definedName name="_xlnm._FilterDatabase" localSheetId="22" hidden="1">GNB!$A$1:$IY$1</definedName>
    <definedName name="_xlnm._FilterDatabase" localSheetId="23" hidden="1">KEN!$A$1:$IY$1</definedName>
    <definedName name="_xlnm._FilterDatabase" localSheetId="24" hidden="1">LBR!$A$1:$IY$1</definedName>
    <definedName name="_xlnm._FilterDatabase" localSheetId="25" hidden="1">LIB!$A$1:$IY$1</definedName>
    <definedName name="_xlnm._FilterDatabase" localSheetId="26" hidden="1">LSO!$A$1:$IY$1</definedName>
    <definedName name="_xlnm._FilterDatabase" localSheetId="32" hidden="1">MAR!$A$1:$IY$1</definedName>
    <definedName name="_xlnm._FilterDatabase" localSheetId="27" hidden="1">MDG!$A$1:$IY$1</definedName>
    <definedName name="_xlnm._FilterDatabase" localSheetId="38" hidden="1">MLI!$A$1:$IY$1</definedName>
    <definedName name="_xlnm._FilterDatabase" localSheetId="33" hidden="1">MOZ!$A$1:$IY$1</definedName>
    <definedName name="_xlnm._FilterDatabase" localSheetId="37" hidden="1">MRT!$A$1:$IY$1</definedName>
    <definedName name="_xlnm._FilterDatabase" localSheetId="28" hidden="1">MUS!$A$1:$IY$1</definedName>
    <definedName name="_xlnm._FilterDatabase" localSheetId="36" hidden="1">MWI!$A$1:$IY$1</definedName>
    <definedName name="_xlnm._FilterDatabase" localSheetId="31" hidden="1">MYT!$A$1:$IY$1</definedName>
    <definedName name="_xlnm._FilterDatabase" localSheetId="29" hidden="1">NAM!$A$1:$IY$1</definedName>
    <definedName name="_xlnm._FilterDatabase" localSheetId="34" hidden="1">NER!$A$1:$IY$1</definedName>
    <definedName name="_xlnm._FilterDatabase" localSheetId="30" hidden="1">NGA!$A$1:$IY$1</definedName>
    <definedName name="_xlnm._FilterDatabase" localSheetId="39" hidden="1">REU!$A$1:$IY$1</definedName>
    <definedName name="_xlnm._FilterDatabase" localSheetId="41" hidden="1">RSA!$A$1:$IY$1</definedName>
    <definedName name="_xlnm._FilterDatabase" localSheetId="40" hidden="1">RWA!$A$1:$IY$1</definedName>
    <definedName name="_xlnm._FilterDatabase" localSheetId="46" hidden="1">SDN!$A$1:$IY$1</definedName>
    <definedName name="_xlnm._FilterDatabase" localSheetId="43" hidden="1">SEN!$A$1:$IY$1</definedName>
    <definedName name="_xlnm._FilterDatabase" localSheetId="42" hidden="1">SHN!$A$1:$IY$1</definedName>
    <definedName name="_xlnm._FilterDatabase" localSheetId="45" hidden="1">SLE!$A$1:$IY$1</definedName>
    <definedName name="_xlnm._FilterDatabase" localSheetId="44" hidden="1">SOM!$A$1:$IY$1</definedName>
    <definedName name="_xlnm._FilterDatabase" localSheetId="47" hidden="1">SSD!$A$1:$IY$1</definedName>
    <definedName name="_xlnm._FilterDatabase" localSheetId="48" hidden="1">STP!$A$1:$IY$1</definedName>
    <definedName name="_xlnm._FilterDatabase" localSheetId="49" hidden="1">SWZ!$A$1:$IY$1</definedName>
    <definedName name="_xlnm._FilterDatabase" localSheetId="50" hidden="1">SYC!$A$1:$IY$1</definedName>
    <definedName name="_xlnm._FilterDatabase" localSheetId="51" hidden="1">TCD!$A$1:$IY$1</definedName>
    <definedName name="_xlnm._FilterDatabase" localSheetId="52" hidden="1">TGO!$A$1:$IY$1</definedName>
    <definedName name="_xlnm._FilterDatabase" localSheetId="53" hidden="1">TUN!$A$1:$IY$1</definedName>
    <definedName name="_xlnm._FilterDatabase" localSheetId="54" hidden="1">TZA!$A$1:$IY$1</definedName>
    <definedName name="_xlnm._FilterDatabase" localSheetId="56" hidden="1">UGA!$A$1:$IY$1</definedName>
    <definedName name="_xlnm._FilterDatabase" localSheetId="55" hidden="1">ZMB!$A$1:$IY$1</definedName>
    <definedName name="_xlnm._FilterDatabase" localSheetId="57" hidden="1">ZWE!$A$1:$IY$1</definedName>
    <definedName name="_xleta.TRIM"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L2" i="17" l="1"/>
  <c r="HX2" i="17" a="1"/>
  <c r="HX2" i="17" s="1"/>
  <c r="IW2" i="17" s="1"/>
  <c r="HW2" i="17" a="1"/>
  <c r="HW2" i="17" s="1"/>
  <c r="IV2" i="17" s="1"/>
  <c r="HV2" i="17" a="1"/>
  <c r="HV2" i="17" s="1"/>
  <c r="IU2" i="17" s="1"/>
  <c r="HU2" i="17" a="1"/>
  <c r="HU2" i="17" s="1"/>
  <c r="IT2" i="17" s="1"/>
  <c r="HT2" i="17" a="1"/>
  <c r="HT2" i="17" s="1"/>
  <c r="IS2" i="17" s="1"/>
  <c r="HS2" i="17"/>
  <c r="IR2" i="17" s="1"/>
  <c r="HS2" i="17" a="1"/>
  <c r="HR2" i="17" a="1"/>
  <c r="HR2" i="17" s="1"/>
  <c r="IQ2" i="17" s="1"/>
  <c r="HQ2" i="17" a="1"/>
  <c r="HQ2" i="17" s="1"/>
  <c r="IP2" i="17" s="1"/>
  <c r="HP2" i="17" a="1"/>
  <c r="HP2" i="17" s="1"/>
  <c r="IO2" i="17" s="1"/>
  <c r="HL2" i="17"/>
  <c r="HJ2" i="17"/>
  <c r="HI2" i="17"/>
  <c r="HH2" i="17"/>
  <c r="HB2" i="17"/>
  <c r="HA2" i="17"/>
  <c r="GZ2" i="17"/>
  <c r="GY2" i="17"/>
  <c r="GX2" i="17"/>
  <c r="GW2" i="17"/>
  <c r="GV2" i="17"/>
  <c r="GU2" i="17"/>
  <c r="GT2" i="17"/>
  <c r="HC2" i="17" s="1"/>
  <c r="GP2" i="17"/>
  <c r="GI2" i="17"/>
  <c r="GH2" i="17"/>
  <c r="GG2" i="17"/>
  <c r="GF2" i="17"/>
  <c r="GE2" i="17"/>
  <c r="GD2" i="17"/>
  <c r="GC2" i="17"/>
  <c r="GB2" i="17"/>
  <c r="GA2" i="17"/>
  <c r="FZ2" i="17"/>
  <c r="FY2" i="17"/>
  <c r="FX2" i="17"/>
  <c r="FW2" i="17"/>
  <c r="FV2" i="17"/>
  <c r="FU2" i="17"/>
  <c r="FT2" i="17"/>
  <c r="FS2" i="17"/>
  <c r="FR2" i="17"/>
  <c r="FQ2" i="17"/>
  <c r="FO2" i="17"/>
  <c r="FN2" i="17"/>
  <c r="FJ2" i="17"/>
  <c r="FM2" i="17" s="1"/>
  <c r="FI2" i="17"/>
  <c r="FL2" i="17" s="1"/>
  <c r="FH2" i="17"/>
  <c r="FK2" i="17" s="1"/>
  <c r="FG2" i="17"/>
  <c r="FF2" i="17"/>
  <c r="FP2" i="17" s="1"/>
  <c r="FE2" i="17"/>
  <c r="FD2" i="17"/>
  <c r="FC2" i="17"/>
  <c r="FB2" i="17"/>
  <c r="FA2" i="17"/>
  <c r="EZ2" i="17"/>
  <c r="EY2" i="17"/>
  <c r="EX2" i="17"/>
  <c r="EW2" i="17"/>
  <c r="EV2" i="17"/>
  <c r="EU2" i="17"/>
  <c r="ET2" i="17"/>
  <c r="ES2" i="17"/>
  <c r="ER2" i="17"/>
  <c r="EQ2" i="17"/>
  <c r="EP2" i="17"/>
  <c r="EO2" i="17"/>
  <c r="EN2" i="17"/>
  <c r="EM2" i="17"/>
  <c r="EL2" i="17"/>
  <c r="EK2" i="17"/>
  <c r="EJ2" i="17"/>
  <c r="EI2" i="17"/>
  <c r="EH2" i="17"/>
  <c r="EG2" i="17"/>
  <c r="EF2" i="17"/>
  <c r="EE2" i="17"/>
  <c r="ED2" i="17"/>
  <c r="EC2" i="17"/>
  <c r="EB2" i="17"/>
  <c r="EA2" i="17"/>
  <c r="DY2" i="17"/>
  <c r="DX2" i="17"/>
  <c r="DV2" i="17"/>
  <c r="DU2" i="17"/>
  <c r="DT2" i="17"/>
  <c r="DS2" i="17"/>
  <c r="DR2" i="17"/>
  <c r="DQ2" i="17"/>
  <c r="DP2" i="17"/>
  <c r="DO2" i="17"/>
  <c r="DN2" i="17"/>
  <c r="DK2" i="17"/>
  <c r="DJ2" i="17"/>
  <c r="DI2" i="17"/>
  <c r="DH2" i="17"/>
  <c r="DG2" i="17"/>
  <c r="DF2" i="17"/>
  <c r="DE2" i="17"/>
  <c r="DD2" i="17"/>
  <c r="DC2" i="17"/>
  <c r="DB2" i="17"/>
  <c r="DA2" i="17"/>
  <c r="CV2" i="17"/>
  <c r="CU2" i="17"/>
  <c r="CT2" i="17"/>
  <c r="CS2" i="17"/>
  <c r="GN2" i="17" s="1"/>
  <c r="CR2" i="17"/>
  <c r="GM2" i="17" s="1"/>
  <c r="CQ2" i="17"/>
  <c r="GL2" i="17" s="1"/>
  <c r="CP2" i="17"/>
  <c r="GJ2" i="17" s="1"/>
  <c r="GK2" i="17" s="1"/>
  <c r="CO2" i="17"/>
  <c r="DZ2" i="17" s="1"/>
  <c r="CN2" i="17"/>
  <c r="CM2" i="17"/>
  <c r="CL2" i="17"/>
  <c r="DW2" i="17" s="1"/>
  <c r="CG2" i="17" a="1"/>
  <c r="CG2" i="17" s="1"/>
  <c r="AW2" i="17"/>
  <c r="AV2" i="17"/>
  <c r="AX2" i="17" s="1"/>
  <c r="J2" i="17"/>
  <c r="G2" i="17"/>
  <c r="DL2" i="17" l="1"/>
  <c r="CK2" i="17"/>
  <c r="CZ2" i="17" s="1"/>
  <c r="CJ2" i="17"/>
  <c r="CY2" i="17" s="1"/>
  <c r="CI2" i="17"/>
  <c r="CX2" i="17" s="1"/>
  <c r="CH2" i="17"/>
  <c r="CW2" i="17" s="1"/>
  <c r="GS2" i="17" s="1"/>
  <c r="HG2" i="17" s="1"/>
  <c r="IN2" i="17"/>
  <c r="IX2" i="17" s="1"/>
  <c r="IM2" i="17"/>
  <c r="DM2" i="17" a="1"/>
  <c r="DM2" i="17" s="1"/>
  <c r="HM2" i="17"/>
  <c r="HF2" i="17"/>
  <c r="HN2" i="17" l="1"/>
  <c r="IL2" i="59" l="1"/>
  <c r="HX2" i="59" a="1"/>
  <c r="HX2" i="59" s="1"/>
  <c r="IW2" i="59" s="1"/>
  <c r="HW2" i="59" a="1"/>
  <c r="HW2" i="59" s="1"/>
  <c r="IV2" i="59" s="1"/>
  <c r="HV2" i="59" a="1"/>
  <c r="HV2" i="59" s="1"/>
  <c r="IU2" i="59" s="1"/>
  <c r="HU2" i="59" a="1"/>
  <c r="HU2" i="59" s="1"/>
  <c r="IT2" i="59" s="1"/>
  <c r="HT2" i="59" a="1"/>
  <c r="HT2" i="59" s="1"/>
  <c r="IS2" i="59" s="1"/>
  <c r="HS2" i="59"/>
  <c r="IR2" i="59" s="1"/>
  <c r="HS2" i="59" a="1"/>
  <c r="HR2" i="59" a="1"/>
  <c r="HR2" i="59" s="1"/>
  <c r="IQ2" i="59" s="1"/>
  <c r="HQ2" i="59" a="1"/>
  <c r="HQ2" i="59" s="1"/>
  <c r="IP2" i="59" s="1"/>
  <c r="HP2" i="59" a="1"/>
  <c r="HP2" i="59" s="1"/>
  <c r="IO2" i="59" s="1"/>
  <c r="HL2" i="59"/>
  <c r="HJ2" i="59"/>
  <c r="HI2" i="59"/>
  <c r="HH2" i="59"/>
  <c r="HB2" i="59"/>
  <c r="HA2" i="59"/>
  <c r="GZ2" i="59"/>
  <c r="GY2" i="59"/>
  <c r="GX2" i="59"/>
  <c r="GW2" i="59"/>
  <c r="GV2" i="59"/>
  <c r="GU2" i="59"/>
  <c r="HC2" i="59" s="1"/>
  <c r="GT2" i="59"/>
  <c r="GP2" i="59"/>
  <c r="GI2" i="59"/>
  <c r="GH2" i="59"/>
  <c r="GG2" i="59"/>
  <c r="GF2" i="59"/>
  <c r="GE2" i="59"/>
  <c r="GD2" i="59"/>
  <c r="GC2" i="59"/>
  <c r="GB2" i="59"/>
  <c r="GA2" i="59"/>
  <c r="FZ2" i="59"/>
  <c r="FY2" i="59"/>
  <c r="FX2" i="59"/>
  <c r="FW2" i="59"/>
  <c r="FV2" i="59"/>
  <c r="FU2" i="59"/>
  <c r="FT2" i="59"/>
  <c r="FS2" i="59"/>
  <c r="FR2" i="59"/>
  <c r="FQ2" i="59"/>
  <c r="FP2" i="59"/>
  <c r="FO2" i="59"/>
  <c r="FN2" i="59"/>
  <c r="FJ2" i="59"/>
  <c r="FM2" i="59" s="1"/>
  <c r="FI2" i="59"/>
  <c r="FL2" i="59" s="1"/>
  <c r="FH2" i="59"/>
  <c r="FK2" i="59" s="1"/>
  <c r="FG2" i="59"/>
  <c r="FF2" i="59"/>
  <c r="FE2" i="59"/>
  <c r="FD2" i="59"/>
  <c r="FC2" i="59"/>
  <c r="FB2" i="59"/>
  <c r="FA2" i="59"/>
  <c r="EZ2" i="59"/>
  <c r="EY2" i="59"/>
  <c r="EX2" i="59"/>
  <c r="EW2" i="59"/>
  <c r="EV2" i="59"/>
  <c r="EU2" i="59"/>
  <c r="ET2" i="59"/>
  <c r="ES2" i="59"/>
  <c r="ER2" i="59"/>
  <c r="EQ2" i="59"/>
  <c r="EP2" i="59"/>
  <c r="EO2" i="59"/>
  <c r="EN2" i="59"/>
  <c r="EM2" i="59"/>
  <c r="EL2" i="59"/>
  <c r="EK2" i="59"/>
  <c r="EJ2" i="59"/>
  <c r="EI2" i="59"/>
  <c r="EH2" i="59"/>
  <c r="EG2" i="59"/>
  <c r="EF2" i="59"/>
  <c r="EE2" i="59"/>
  <c r="ED2" i="59"/>
  <c r="EC2" i="59"/>
  <c r="EB2" i="59"/>
  <c r="EA2" i="59"/>
  <c r="DY2" i="59"/>
  <c r="DX2" i="59"/>
  <c r="DV2" i="59"/>
  <c r="DU2" i="59"/>
  <c r="DT2" i="59"/>
  <c r="DS2" i="59"/>
  <c r="DR2" i="59"/>
  <c r="DQ2" i="59"/>
  <c r="DP2" i="59"/>
  <c r="DO2" i="59"/>
  <c r="DN2" i="59"/>
  <c r="DK2" i="59"/>
  <c r="DJ2" i="59"/>
  <c r="DI2" i="59"/>
  <c r="DH2" i="59"/>
  <c r="DG2" i="59"/>
  <c r="DF2" i="59"/>
  <c r="DE2" i="59"/>
  <c r="DD2" i="59"/>
  <c r="DC2" i="59"/>
  <c r="DB2" i="59"/>
  <c r="DA2" i="59"/>
  <c r="CV2" i="59"/>
  <c r="CU2" i="59"/>
  <c r="CT2" i="59"/>
  <c r="CS2" i="59"/>
  <c r="GN2" i="59" s="1"/>
  <c r="CR2" i="59"/>
  <c r="GM2" i="59" s="1"/>
  <c r="CQ2" i="59"/>
  <c r="GL2" i="59" s="1"/>
  <c r="CP2" i="59"/>
  <c r="GJ2" i="59" s="1"/>
  <c r="GK2" i="59" s="1"/>
  <c r="CO2" i="59"/>
  <c r="DZ2" i="59" s="1"/>
  <c r="CN2" i="59"/>
  <c r="CM2" i="59"/>
  <c r="CL2" i="59"/>
  <c r="DW2" i="59" s="1"/>
  <c r="CG2" i="59" a="1"/>
  <c r="CG2" i="59" s="1"/>
  <c r="AW2" i="59"/>
  <c r="AV2" i="59"/>
  <c r="AX2" i="59" s="1"/>
  <c r="J2" i="59"/>
  <c r="G2" i="59"/>
  <c r="IQ2" i="57"/>
  <c r="IP2" i="57"/>
  <c r="IL2" i="57"/>
  <c r="HX2" i="57"/>
  <c r="IW2" i="57" s="1"/>
  <c r="HX2" i="57" a="1"/>
  <c r="HW2" i="57"/>
  <c r="IV2" i="57" s="1"/>
  <c r="HW2" i="57" a="1"/>
  <c r="HV2" i="57" a="1"/>
  <c r="HV2" i="57" s="1"/>
  <c r="IU2" i="57" s="1"/>
  <c r="HU2" i="57" a="1"/>
  <c r="HU2" i="57" s="1"/>
  <c r="IT2" i="57" s="1"/>
  <c r="HT2" i="57" a="1"/>
  <c r="HT2" i="57" s="1"/>
  <c r="IS2" i="57" s="1"/>
  <c r="HS2" i="57"/>
  <c r="IR2" i="57" s="1"/>
  <c r="HS2" i="57" a="1"/>
  <c r="HR2" i="57"/>
  <c r="HR2" i="57" a="1"/>
  <c r="HQ2" i="57"/>
  <c r="HQ2" i="57" a="1"/>
  <c r="HP2" i="57" a="1"/>
  <c r="HP2" i="57" s="1"/>
  <c r="IO2" i="57" s="1"/>
  <c r="HL2" i="57"/>
  <c r="HJ2" i="57"/>
  <c r="HI2" i="57"/>
  <c r="HH2" i="57"/>
  <c r="HB2" i="57"/>
  <c r="HA2" i="57"/>
  <c r="GZ2" i="57"/>
  <c r="GY2" i="57"/>
  <c r="GX2" i="57"/>
  <c r="GW2" i="57"/>
  <c r="GV2" i="57"/>
  <c r="GU2" i="57"/>
  <c r="HC2" i="57" s="1"/>
  <c r="GT2" i="57"/>
  <c r="GP2" i="57"/>
  <c r="GI2" i="57"/>
  <c r="GH2" i="57"/>
  <c r="GG2" i="57"/>
  <c r="GF2" i="57"/>
  <c r="GE2" i="57"/>
  <c r="GD2" i="57"/>
  <c r="GC2" i="57"/>
  <c r="GB2" i="57"/>
  <c r="GA2" i="57"/>
  <c r="FZ2" i="57"/>
  <c r="FY2" i="57"/>
  <c r="FX2" i="57"/>
  <c r="FW2" i="57"/>
  <c r="FV2" i="57"/>
  <c r="FU2" i="57"/>
  <c r="FT2" i="57"/>
  <c r="FS2" i="57"/>
  <c r="FR2" i="57"/>
  <c r="FQ2" i="57"/>
  <c r="FP2" i="57"/>
  <c r="FO2" i="57"/>
  <c r="FN2" i="57"/>
  <c r="FJ2" i="57"/>
  <c r="FM2" i="57" s="1"/>
  <c r="FI2" i="57"/>
  <c r="FL2" i="57" s="1"/>
  <c r="FH2" i="57"/>
  <c r="FK2" i="57" s="1"/>
  <c r="FG2" i="57"/>
  <c r="FF2" i="57"/>
  <c r="FE2" i="57"/>
  <c r="FD2" i="57"/>
  <c r="FC2" i="57"/>
  <c r="FB2" i="57"/>
  <c r="FA2" i="57"/>
  <c r="EZ2" i="57"/>
  <c r="EY2" i="57"/>
  <c r="EX2" i="57"/>
  <c r="EW2" i="57"/>
  <c r="EV2" i="57"/>
  <c r="EU2" i="57"/>
  <c r="ET2" i="57"/>
  <c r="ES2" i="57"/>
  <c r="ER2" i="57"/>
  <c r="EQ2" i="57"/>
  <c r="EP2" i="57"/>
  <c r="EO2" i="57"/>
  <c r="EN2" i="57"/>
  <c r="EM2" i="57"/>
  <c r="EL2" i="57"/>
  <c r="EK2" i="57"/>
  <c r="EJ2" i="57"/>
  <c r="EI2" i="57"/>
  <c r="EH2" i="57"/>
  <c r="EG2" i="57"/>
  <c r="EF2" i="57"/>
  <c r="EE2" i="57"/>
  <c r="ED2" i="57"/>
  <c r="EC2" i="57"/>
  <c r="EB2" i="57"/>
  <c r="EA2" i="57"/>
  <c r="DY2" i="57"/>
  <c r="DX2" i="57"/>
  <c r="DW2" i="57"/>
  <c r="DV2" i="57"/>
  <c r="DU2" i="57"/>
  <c r="DT2" i="57"/>
  <c r="DS2" i="57"/>
  <c r="DR2" i="57"/>
  <c r="DQ2" i="57"/>
  <c r="DP2" i="57"/>
  <c r="DO2" i="57"/>
  <c r="DN2" i="57"/>
  <c r="DK2" i="57"/>
  <c r="DJ2" i="57"/>
  <c r="DI2" i="57"/>
  <c r="DH2" i="57"/>
  <c r="DG2" i="57"/>
  <c r="DF2" i="57"/>
  <c r="DE2" i="57"/>
  <c r="DD2" i="57"/>
  <c r="DC2" i="57"/>
  <c r="DB2" i="57"/>
  <c r="DA2" i="57"/>
  <c r="CV2" i="57"/>
  <c r="CU2" i="57"/>
  <c r="CT2" i="57"/>
  <c r="CS2" i="57"/>
  <c r="GN2" i="57" s="1"/>
  <c r="CR2" i="57"/>
  <c r="GM2" i="57" s="1"/>
  <c r="CQ2" i="57"/>
  <c r="GL2" i="57" s="1"/>
  <c r="CP2" i="57"/>
  <c r="GJ2" i="57" s="1"/>
  <c r="GK2" i="57" s="1"/>
  <c r="CO2" i="57"/>
  <c r="DZ2" i="57" s="1"/>
  <c r="CN2" i="57"/>
  <c r="CM2" i="57"/>
  <c r="CL2" i="57"/>
  <c r="CG2" i="57" a="1"/>
  <c r="CG2" i="57" s="1"/>
  <c r="AW2" i="57"/>
  <c r="AV2" i="57"/>
  <c r="AX2" i="57" s="1"/>
  <c r="J2" i="57"/>
  <c r="G2" i="57"/>
  <c r="HX3" i="57" a="1"/>
  <c r="HX3" i="57" s="1"/>
  <c r="IW3" i="57" s="1"/>
  <c r="HW3" i="57" a="1"/>
  <c r="HW3" i="57" s="1"/>
  <c r="IV3" i="57" s="1"/>
  <c r="HV3" i="57" a="1"/>
  <c r="HV3" i="57" s="1"/>
  <c r="IU3" i="57" s="1"/>
  <c r="HU3" i="57" a="1"/>
  <c r="HU3" i="57" s="1"/>
  <c r="IT3" i="57" s="1"/>
  <c r="HT3" i="57" a="1"/>
  <c r="HT3" i="57" s="1"/>
  <c r="IS3" i="57" s="1"/>
  <c r="HS3" i="57" a="1"/>
  <c r="HS3" i="57" s="1"/>
  <c r="IR3" i="57" s="1"/>
  <c r="HR3" i="57" a="1"/>
  <c r="HR3" i="57" s="1"/>
  <c r="IQ3" i="57" s="1"/>
  <c r="HQ3" i="57" a="1"/>
  <c r="HQ3" i="57" s="1"/>
  <c r="IP3" i="57" s="1"/>
  <c r="HP3" i="57" a="1"/>
  <c r="HP3" i="57" s="1"/>
  <c r="IO3" i="57" s="1"/>
  <c r="HL3" i="57"/>
  <c r="HJ3" i="57"/>
  <c r="HH3" i="57"/>
  <c r="HI3" i="57" s="1"/>
  <c r="HB3" i="57"/>
  <c r="HA3" i="57"/>
  <c r="GZ3" i="57"/>
  <c r="GY3" i="57"/>
  <c r="GX3" i="57"/>
  <c r="GW3" i="57"/>
  <c r="GV3" i="57"/>
  <c r="GU3" i="57"/>
  <c r="GT3" i="57"/>
  <c r="HC3" i="57" s="1"/>
  <c r="GP3" i="57"/>
  <c r="GN3" i="57"/>
  <c r="GM3" i="57"/>
  <c r="GL3" i="57"/>
  <c r="GJ3" i="57"/>
  <c r="GK3" i="57" s="1"/>
  <c r="GI3" i="57"/>
  <c r="GH3" i="57"/>
  <c r="GG3" i="57"/>
  <c r="GF3" i="57"/>
  <c r="GE3" i="57"/>
  <c r="GB3" i="57"/>
  <c r="GA3" i="57"/>
  <c r="FZ3" i="57"/>
  <c r="FY3" i="57"/>
  <c r="FW3" i="57"/>
  <c r="FV3" i="57"/>
  <c r="FU3" i="57"/>
  <c r="FT3" i="57"/>
  <c r="FS3" i="57"/>
  <c r="FR3" i="57"/>
  <c r="FQ3" i="57"/>
  <c r="FP3" i="57"/>
  <c r="FJ3" i="57"/>
  <c r="FM3" i="57" s="1"/>
  <c r="FI3" i="57"/>
  <c r="FL3" i="57" s="1"/>
  <c r="FH3" i="57"/>
  <c r="FK3" i="57" s="1"/>
  <c r="FG3" i="57"/>
  <c r="FF3" i="57"/>
  <c r="FE3" i="57"/>
  <c r="FO3" i="57" s="1"/>
  <c r="FD3" i="57"/>
  <c r="FB3" i="57"/>
  <c r="FA3" i="57"/>
  <c r="EZ3" i="57"/>
  <c r="EY3" i="57"/>
  <c r="EX3" i="57"/>
  <c r="EW3" i="57"/>
  <c r="EV3" i="57"/>
  <c r="EU3" i="57"/>
  <c r="ET3" i="57"/>
  <c r="ES3" i="57"/>
  <c r="ER3" i="57"/>
  <c r="EQ3" i="57"/>
  <c r="EP3" i="57"/>
  <c r="EO3" i="57"/>
  <c r="EN3" i="57"/>
  <c r="EM3" i="57"/>
  <c r="EL3" i="57"/>
  <c r="EK3" i="57"/>
  <c r="EJ3" i="57"/>
  <c r="EI3" i="57"/>
  <c r="EH3" i="57"/>
  <c r="EG3" i="57"/>
  <c r="EF3" i="57"/>
  <c r="EE3" i="57"/>
  <c r="ED3" i="57"/>
  <c r="EC3" i="57"/>
  <c r="EB3" i="57"/>
  <c r="EA3" i="57"/>
  <c r="DU3" i="57"/>
  <c r="DT3" i="57"/>
  <c r="DS3" i="57"/>
  <c r="DR3" i="57"/>
  <c r="DQ3" i="57"/>
  <c r="DP3" i="57"/>
  <c r="DO3" i="57"/>
  <c r="DN3" i="57"/>
  <c r="DK3" i="57"/>
  <c r="DJ3" i="57"/>
  <c r="DI3" i="57"/>
  <c r="DH3" i="57"/>
  <c r="DG3" i="57"/>
  <c r="DF3" i="57"/>
  <c r="DE3" i="57"/>
  <c r="DD3" i="57"/>
  <c r="DB3" i="57"/>
  <c r="DA3" i="57"/>
  <c r="CV3" i="57"/>
  <c r="CU3" i="57"/>
  <c r="CT3" i="57"/>
  <c r="CS3" i="57"/>
  <c r="CR3" i="57"/>
  <c r="CQ3" i="57"/>
  <c r="CP3" i="57"/>
  <c r="CO3" i="57"/>
  <c r="DZ3" i="57" s="1"/>
  <c r="CN3" i="57"/>
  <c r="DY3" i="57" s="1"/>
  <c r="CM3" i="57"/>
  <c r="DX3" i="57" s="1"/>
  <c r="CL3" i="57"/>
  <c r="DW3" i="57" s="1"/>
  <c r="CG3" i="57" a="1"/>
  <c r="CG3" i="57" s="1"/>
  <c r="AW3" i="57"/>
  <c r="AV3" i="57"/>
  <c r="J3" i="57"/>
  <c r="G3" i="57"/>
  <c r="IL2" i="11"/>
  <c r="HX2" i="11" a="1"/>
  <c r="HX2" i="11" s="1"/>
  <c r="IW2" i="11" s="1"/>
  <c r="HW2" i="11" a="1"/>
  <c r="HW2" i="11" s="1"/>
  <c r="IV2" i="11" s="1"/>
  <c r="HV2" i="11" a="1"/>
  <c r="HV2" i="11" s="1"/>
  <c r="IU2" i="11" s="1"/>
  <c r="HU2" i="11" a="1"/>
  <c r="HU2" i="11" s="1"/>
  <c r="IT2" i="11" s="1"/>
  <c r="HT2" i="11" a="1"/>
  <c r="HT2" i="11" s="1"/>
  <c r="IS2" i="11" s="1"/>
  <c r="HS2" i="11" a="1"/>
  <c r="HS2" i="11" s="1"/>
  <c r="IR2" i="11" s="1"/>
  <c r="HR2" i="11" a="1"/>
  <c r="HR2" i="11" s="1"/>
  <c r="IQ2" i="11" s="1"/>
  <c r="HQ2" i="11" a="1"/>
  <c r="HQ2" i="11" s="1"/>
  <c r="IP2" i="11" s="1"/>
  <c r="HP2" i="11" a="1"/>
  <c r="HP2" i="11" s="1"/>
  <c r="IO2" i="11" s="1"/>
  <c r="HL2" i="11"/>
  <c r="HJ2" i="11"/>
  <c r="HH2" i="11"/>
  <c r="HI2" i="11" s="1"/>
  <c r="HB2" i="11"/>
  <c r="HA2" i="11"/>
  <c r="GZ2" i="11"/>
  <c r="GY2" i="11"/>
  <c r="GX2" i="11"/>
  <c r="GW2" i="11"/>
  <c r="GV2" i="11"/>
  <c r="GU2" i="11"/>
  <c r="GT2" i="11"/>
  <c r="GP2" i="11"/>
  <c r="GI2" i="11"/>
  <c r="GH2" i="11"/>
  <c r="GG2" i="11"/>
  <c r="GF2" i="11"/>
  <c r="GE2" i="11"/>
  <c r="GD2" i="11"/>
  <c r="GC2" i="11"/>
  <c r="GB2" i="11"/>
  <c r="GA2" i="11"/>
  <c r="FZ2" i="11"/>
  <c r="FY2" i="11"/>
  <c r="FX2" i="11"/>
  <c r="FW2" i="11"/>
  <c r="FV2" i="11"/>
  <c r="FU2" i="11"/>
  <c r="FT2" i="11"/>
  <c r="FS2" i="11"/>
  <c r="FR2" i="11"/>
  <c r="FQ2" i="11"/>
  <c r="FP2" i="11"/>
  <c r="FJ2" i="11"/>
  <c r="FI2" i="11"/>
  <c r="FL2" i="11" s="1"/>
  <c r="FH2" i="11"/>
  <c r="FK2" i="11" s="1"/>
  <c r="FG2" i="11"/>
  <c r="FF2" i="11"/>
  <c r="FE2" i="11"/>
  <c r="FO2" i="11" s="1"/>
  <c r="FD2" i="11"/>
  <c r="FC2" i="11"/>
  <c r="FB2" i="11"/>
  <c r="FA2" i="11"/>
  <c r="EZ2" i="11"/>
  <c r="EY2" i="11"/>
  <c r="EX2" i="11"/>
  <c r="EW2" i="11"/>
  <c r="EV2" i="11"/>
  <c r="EU2" i="11"/>
  <c r="ET2" i="11"/>
  <c r="ES2" i="11"/>
  <c r="ER2" i="11"/>
  <c r="EQ2" i="11"/>
  <c r="EP2" i="11"/>
  <c r="EO2" i="11"/>
  <c r="EN2" i="11"/>
  <c r="EM2" i="11"/>
  <c r="EL2" i="11"/>
  <c r="EK2" i="11"/>
  <c r="EJ2" i="11"/>
  <c r="EI2" i="11"/>
  <c r="EH2" i="11"/>
  <c r="EG2" i="11"/>
  <c r="EF2" i="11"/>
  <c r="EE2" i="11"/>
  <c r="ED2" i="11"/>
  <c r="EC2" i="11"/>
  <c r="EB2" i="11"/>
  <c r="EA2" i="11"/>
  <c r="DV2" i="11"/>
  <c r="DU2" i="11"/>
  <c r="DT2" i="11"/>
  <c r="DS2" i="11"/>
  <c r="DR2" i="11"/>
  <c r="DQ2" i="11"/>
  <c r="DP2" i="11"/>
  <c r="DO2" i="11"/>
  <c r="DN2" i="11"/>
  <c r="DK2" i="11"/>
  <c r="DJ2" i="11"/>
  <c r="DI2" i="11"/>
  <c r="DH2" i="11"/>
  <c r="DG2" i="11"/>
  <c r="DF2" i="11"/>
  <c r="DE2" i="11"/>
  <c r="DD2" i="11"/>
  <c r="DC2" i="11"/>
  <c r="DB2" i="11"/>
  <c r="DA2" i="11"/>
  <c r="CV2" i="11"/>
  <c r="CU2" i="11"/>
  <c r="CT2" i="11"/>
  <c r="CS2" i="11"/>
  <c r="GN2" i="11" s="1"/>
  <c r="CR2" i="11"/>
  <c r="GM2" i="11" s="1"/>
  <c r="CQ2" i="11"/>
  <c r="GL2" i="11" s="1"/>
  <c r="CP2" i="11"/>
  <c r="GJ2" i="11" s="1"/>
  <c r="GK2" i="11" s="1"/>
  <c r="CO2" i="11"/>
  <c r="DZ2" i="11" s="1"/>
  <c r="CN2" i="11"/>
  <c r="DY2" i="11" s="1"/>
  <c r="CM2" i="11"/>
  <c r="DX2" i="11" s="1"/>
  <c r="CL2" i="11"/>
  <c r="DW2" i="11" s="1"/>
  <c r="CG2" i="11" a="1"/>
  <c r="CG2" i="11" s="1"/>
  <c r="AW2" i="11"/>
  <c r="AV2" i="11"/>
  <c r="J2" i="11"/>
  <c r="G2" i="11"/>
  <c r="HX4" i="11" a="1"/>
  <c r="HX4" i="11" s="1"/>
  <c r="IW4" i="11" s="1"/>
  <c r="HW4" i="11" a="1"/>
  <c r="HW4" i="11" s="1"/>
  <c r="IV4" i="11" s="1"/>
  <c r="HV4" i="11" a="1"/>
  <c r="HV4" i="11" s="1"/>
  <c r="IU4" i="11" s="1"/>
  <c r="HU4" i="11" a="1"/>
  <c r="HU4" i="11" s="1"/>
  <c r="IT4" i="11" s="1"/>
  <c r="HT4" i="11" a="1"/>
  <c r="HT4" i="11" s="1"/>
  <c r="IS4" i="11" s="1"/>
  <c r="HS4" i="11" a="1"/>
  <c r="HS4" i="11" s="1"/>
  <c r="IR4" i="11" s="1"/>
  <c r="HR4" i="11" a="1"/>
  <c r="HR4" i="11" s="1"/>
  <c r="IQ4" i="11" s="1"/>
  <c r="HQ4" i="11" a="1"/>
  <c r="HQ4" i="11" s="1"/>
  <c r="IP4" i="11" s="1"/>
  <c r="HP4" i="11" a="1"/>
  <c r="HP4" i="11" s="1"/>
  <c r="IO4" i="11" s="1"/>
  <c r="HL4" i="11"/>
  <c r="HJ4" i="11"/>
  <c r="HH4" i="11"/>
  <c r="HI4" i="11" s="1"/>
  <c r="HB4" i="11"/>
  <c r="HA4" i="11"/>
  <c r="GZ4" i="11"/>
  <c r="GY4" i="11"/>
  <c r="GX4" i="11"/>
  <c r="GW4" i="11"/>
  <c r="GV4" i="11"/>
  <c r="GU4" i="11"/>
  <c r="GT4" i="11"/>
  <c r="GP4" i="11"/>
  <c r="GI4" i="11"/>
  <c r="GH4" i="11"/>
  <c r="GG4" i="11"/>
  <c r="GF4" i="11"/>
  <c r="GE4" i="11"/>
  <c r="GB4" i="11"/>
  <c r="GA4" i="11"/>
  <c r="FZ4" i="11"/>
  <c r="FY4" i="11"/>
  <c r="FW4" i="11"/>
  <c r="FV4" i="11"/>
  <c r="FU4" i="11"/>
  <c r="FT4" i="11"/>
  <c r="FS4" i="11"/>
  <c r="FR4" i="11"/>
  <c r="FQ4" i="11"/>
  <c r="FP4" i="11"/>
  <c r="FJ4" i="11"/>
  <c r="FM4" i="11" s="1"/>
  <c r="FI4" i="11"/>
  <c r="FH4" i="11"/>
  <c r="FG4" i="11"/>
  <c r="FF4" i="11"/>
  <c r="FE4" i="11"/>
  <c r="FO4" i="11" s="1"/>
  <c r="FD4" i="11"/>
  <c r="FB4" i="11"/>
  <c r="FA4" i="11"/>
  <c r="EZ4" i="11"/>
  <c r="EY4" i="11"/>
  <c r="EX4" i="11"/>
  <c r="EW4" i="11"/>
  <c r="EV4" i="11"/>
  <c r="EU4" i="11"/>
  <c r="ET4" i="11"/>
  <c r="ES4" i="11"/>
  <c r="ER4" i="11"/>
  <c r="EQ4" i="11"/>
  <c r="EP4" i="11"/>
  <c r="EO4" i="11"/>
  <c r="EN4" i="11"/>
  <c r="EM4" i="11"/>
  <c r="EL4" i="11"/>
  <c r="EK4" i="11"/>
  <c r="EJ4" i="11"/>
  <c r="EI4" i="11"/>
  <c r="EH4" i="11"/>
  <c r="EG4" i="11"/>
  <c r="EF4" i="11"/>
  <c r="EE4" i="11"/>
  <c r="ED4" i="11"/>
  <c r="EC4" i="11"/>
  <c r="EB4" i="11"/>
  <c r="EA4" i="11"/>
  <c r="DU4" i="11"/>
  <c r="DT4" i="11"/>
  <c r="DS4" i="11"/>
  <c r="DR4" i="11"/>
  <c r="DQ4" i="11"/>
  <c r="DP4" i="11"/>
  <c r="DO4" i="11"/>
  <c r="DN4" i="11"/>
  <c r="DK4" i="11"/>
  <c r="DJ4" i="11"/>
  <c r="DI4" i="11"/>
  <c r="DH4" i="11"/>
  <c r="DG4" i="11"/>
  <c r="DF4" i="11"/>
  <c r="DE4" i="11"/>
  <c r="DD4" i="11"/>
  <c r="DB4" i="11"/>
  <c r="DA4" i="11"/>
  <c r="CV4" i="11"/>
  <c r="CU4" i="11"/>
  <c r="CT4" i="11"/>
  <c r="CS4" i="11"/>
  <c r="GN4" i="11" s="1"/>
  <c r="CR4" i="11"/>
  <c r="GM4" i="11" s="1"/>
  <c r="CQ4" i="11"/>
  <c r="GL4" i="11" s="1"/>
  <c r="CP4" i="11"/>
  <c r="GJ4" i="11" s="1"/>
  <c r="GK4" i="11" s="1"/>
  <c r="CO4" i="11"/>
  <c r="DZ4" i="11" s="1"/>
  <c r="CN4" i="11"/>
  <c r="DY4" i="11" s="1"/>
  <c r="CM4" i="11"/>
  <c r="DX4" i="11" s="1"/>
  <c r="CL4" i="11"/>
  <c r="DW4" i="11" s="1"/>
  <c r="CG4" i="11" a="1"/>
  <c r="CG4" i="11" s="1"/>
  <c r="AW4" i="11"/>
  <c r="AV4" i="11"/>
  <c r="J4" i="11"/>
  <c r="G4" i="11"/>
  <c r="HX3" i="11" a="1"/>
  <c r="HX3" i="11" s="1"/>
  <c r="IW3" i="11" s="1"/>
  <c r="HW3" i="11" a="1"/>
  <c r="HW3" i="11" s="1"/>
  <c r="IV3" i="11" s="1"/>
  <c r="HV3" i="11" a="1"/>
  <c r="HV3" i="11" s="1"/>
  <c r="IU3" i="11" s="1"/>
  <c r="HU3" i="11" a="1"/>
  <c r="HU3" i="11" s="1"/>
  <c r="IT3" i="11" s="1"/>
  <c r="HT3" i="11" a="1"/>
  <c r="HT3" i="11" s="1"/>
  <c r="IS3" i="11" s="1"/>
  <c r="HS3" i="11" a="1"/>
  <c r="HS3" i="11" s="1"/>
  <c r="IR3" i="11" s="1"/>
  <c r="HR3" i="11" a="1"/>
  <c r="HR3" i="11" s="1"/>
  <c r="IQ3" i="11" s="1"/>
  <c r="HQ3" i="11" a="1"/>
  <c r="HQ3" i="11" s="1"/>
  <c r="IP3" i="11" s="1"/>
  <c r="HP3" i="11" a="1"/>
  <c r="HP3" i="11" s="1"/>
  <c r="IO3" i="11" s="1"/>
  <c r="HL3" i="11"/>
  <c r="HJ3" i="11"/>
  <c r="HH3" i="11"/>
  <c r="HB3" i="11"/>
  <c r="HA3" i="11"/>
  <c r="GZ3" i="11"/>
  <c r="GY3" i="11"/>
  <c r="GX3" i="11"/>
  <c r="GW3" i="11"/>
  <c r="GV3" i="11"/>
  <c r="GU3" i="11"/>
  <c r="GT3" i="11"/>
  <c r="GP3" i="11"/>
  <c r="GN3" i="11"/>
  <c r="GM3" i="11"/>
  <c r="GL3" i="11"/>
  <c r="GI3" i="11"/>
  <c r="GH3" i="11"/>
  <c r="GG3" i="11"/>
  <c r="GF3" i="11"/>
  <c r="GE3" i="11"/>
  <c r="GB3" i="11"/>
  <c r="GA3" i="11"/>
  <c r="FZ3" i="11"/>
  <c r="FY3" i="11"/>
  <c r="FW3" i="11"/>
  <c r="FV3" i="11"/>
  <c r="FU3" i="11"/>
  <c r="FT3" i="11"/>
  <c r="FS3" i="11"/>
  <c r="FR3" i="11"/>
  <c r="FQ3" i="11"/>
  <c r="FJ3" i="11"/>
  <c r="FI3" i="11"/>
  <c r="FL3" i="11" s="1"/>
  <c r="FH3" i="11"/>
  <c r="FK3" i="11" s="1"/>
  <c r="FG3" i="11"/>
  <c r="FF3" i="11"/>
  <c r="FP3" i="11" s="1"/>
  <c r="FE3" i="11"/>
  <c r="FO3" i="11" s="1"/>
  <c r="FD3" i="11"/>
  <c r="FB3" i="11"/>
  <c r="FA3" i="11"/>
  <c r="EZ3" i="11"/>
  <c r="EY3" i="11"/>
  <c r="EX3" i="11"/>
  <c r="EW3" i="11"/>
  <c r="EV3" i="11"/>
  <c r="EU3" i="11"/>
  <c r="ET3" i="11"/>
  <c r="ES3" i="11"/>
  <c r="ER3" i="11"/>
  <c r="EQ3" i="11"/>
  <c r="EP3" i="11"/>
  <c r="EO3" i="11"/>
  <c r="EN3" i="11"/>
  <c r="EM3" i="11"/>
  <c r="EL3" i="11"/>
  <c r="EK3" i="11"/>
  <c r="EJ3" i="11"/>
  <c r="EI3" i="11"/>
  <c r="EH3" i="11"/>
  <c r="EG3" i="11"/>
  <c r="EF3" i="11"/>
  <c r="EE3" i="11"/>
  <c r="ED3" i="11"/>
  <c r="EC3" i="11"/>
  <c r="EB3" i="11"/>
  <c r="EA3" i="11"/>
  <c r="DU3" i="11"/>
  <c r="DT3" i="11"/>
  <c r="DS3" i="11"/>
  <c r="DR3" i="11"/>
  <c r="DQ3" i="11"/>
  <c r="DP3" i="11"/>
  <c r="DO3" i="11"/>
  <c r="DN3" i="11"/>
  <c r="DK3" i="11"/>
  <c r="DJ3" i="11"/>
  <c r="DI3" i="11"/>
  <c r="DH3" i="11"/>
  <c r="DG3" i="11"/>
  <c r="DF3" i="11"/>
  <c r="DE3" i="11"/>
  <c r="DD3" i="11"/>
  <c r="DB3" i="11"/>
  <c r="DA3" i="11"/>
  <c r="CV3" i="11"/>
  <c r="CU3" i="11"/>
  <c r="CT3" i="11"/>
  <c r="CS3" i="11"/>
  <c r="CR3" i="11"/>
  <c r="CQ3" i="11"/>
  <c r="CP3" i="11"/>
  <c r="GJ3" i="11" s="1"/>
  <c r="GK3" i="11" s="1"/>
  <c r="CO3" i="11"/>
  <c r="DZ3" i="11" s="1"/>
  <c r="CN3" i="11"/>
  <c r="DY3" i="11" s="1"/>
  <c r="CM3" i="11"/>
  <c r="DX3" i="11" s="1"/>
  <c r="CL3" i="11"/>
  <c r="DW3" i="11" s="1"/>
  <c r="CG3" i="11" a="1"/>
  <c r="CG3" i="11" s="1"/>
  <c r="AW3" i="11"/>
  <c r="AV3" i="11"/>
  <c r="J3" i="11"/>
  <c r="G3" i="11"/>
  <c r="HX6" i="11" a="1"/>
  <c r="HX6" i="11" s="1"/>
  <c r="IW6" i="11" s="1"/>
  <c r="HW6" i="11" a="1"/>
  <c r="HW6" i="11" s="1"/>
  <c r="IV6" i="11" s="1"/>
  <c r="HV6" i="11" a="1"/>
  <c r="HV6" i="11" s="1"/>
  <c r="IU6" i="11" s="1"/>
  <c r="HU6" i="11" a="1"/>
  <c r="HU6" i="11" s="1"/>
  <c r="IT6" i="11" s="1"/>
  <c r="HT6" i="11" a="1"/>
  <c r="HT6" i="11" s="1"/>
  <c r="IS6" i="11" s="1"/>
  <c r="HS6" i="11" a="1"/>
  <c r="HS6" i="11" s="1"/>
  <c r="IR6" i="11" s="1"/>
  <c r="HR6" i="11" a="1"/>
  <c r="HR6" i="11" s="1"/>
  <c r="IQ6" i="11" s="1"/>
  <c r="HQ6" i="11" a="1"/>
  <c r="HQ6" i="11" s="1"/>
  <c r="IP6" i="11" s="1"/>
  <c r="HP6" i="11" a="1"/>
  <c r="HP6" i="11" s="1"/>
  <c r="IO6" i="11" s="1"/>
  <c r="HL6" i="11"/>
  <c r="HJ6" i="11"/>
  <c r="HH6" i="11"/>
  <c r="HI6" i="11" s="1"/>
  <c r="HB6" i="11"/>
  <c r="HA6" i="11"/>
  <c r="GZ6" i="11"/>
  <c r="GY6" i="11"/>
  <c r="GX6" i="11"/>
  <c r="GW6" i="11"/>
  <c r="GV6" i="11"/>
  <c r="GU6" i="11"/>
  <c r="GT6" i="11"/>
  <c r="HC6" i="11" s="1"/>
  <c r="GP6" i="11"/>
  <c r="GM6" i="11"/>
  <c r="GI6" i="11"/>
  <c r="GH6" i="11"/>
  <c r="GG6" i="11"/>
  <c r="GF6" i="11"/>
  <c r="GE6" i="11"/>
  <c r="GB6" i="11"/>
  <c r="GA6" i="11"/>
  <c r="FZ6" i="11"/>
  <c r="FY6" i="11"/>
  <c r="FW6" i="11"/>
  <c r="FV6" i="11"/>
  <c r="FU6" i="11"/>
  <c r="FT6" i="11"/>
  <c r="FS6" i="11"/>
  <c r="FR6" i="11"/>
  <c r="FQ6" i="11"/>
  <c r="FP6" i="11"/>
  <c r="FJ6" i="11"/>
  <c r="FM6" i="11" s="1"/>
  <c r="FI6" i="11"/>
  <c r="FL6" i="11" s="1"/>
  <c r="FH6" i="11"/>
  <c r="FK6" i="11" s="1"/>
  <c r="FG6" i="11"/>
  <c r="FF6" i="11"/>
  <c r="FE6" i="11"/>
  <c r="FD6" i="11"/>
  <c r="FB6" i="11"/>
  <c r="FA6" i="11"/>
  <c r="EZ6" i="11"/>
  <c r="EY6" i="11"/>
  <c r="EX6" i="11"/>
  <c r="EW6" i="11"/>
  <c r="EV6" i="11"/>
  <c r="EU6" i="11"/>
  <c r="ET6" i="11"/>
  <c r="ES6" i="11"/>
  <c r="ER6" i="11"/>
  <c r="EQ6" i="11"/>
  <c r="EP6" i="11"/>
  <c r="EO6" i="11"/>
  <c r="EN6" i="11"/>
  <c r="EM6" i="11"/>
  <c r="EL6" i="11"/>
  <c r="EK6" i="11"/>
  <c r="EJ6" i="11"/>
  <c r="EI6" i="11"/>
  <c r="EH6" i="11"/>
  <c r="EG6" i="11"/>
  <c r="EF6" i="11"/>
  <c r="EE6" i="11"/>
  <c r="ED6" i="11"/>
  <c r="EC6" i="11"/>
  <c r="EB6" i="11"/>
  <c r="EA6" i="11"/>
  <c r="DU6" i="11"/>
  <c r="DT6" i="11"/>
  <c r="DS6" i="11"/>
  <c r="DR6" i="11"/>
  <c r="DQ6" i="11"/>
  <c r="DP6" i="11"/>
  <c r="DO6" i="11"/>
  <c r="DN6" i="11"/>
  <c r="DK6" i="11"/>
  <c r="DJ6" i="11"/>
  <c r="DI6" i="11"/>
  <c r="DH6" i="11"/>
  <c r="DG6" i="11"/>
  <c r="DF6" i="11"/>
  <c r="DE6" i="11"/>
  <c r="DD6" i="11"/>
  <c r="DB6" i="11"/>
  <c r="DA6" i="11"/>
  <c r="CV6" i="11"/>
  <c r="CU6" i="11"/>
  <c r="CT6" i="11"/>
  <c r="CS6" i="11"/>
  <c r="GN6" i="11" s="1"/>
  <c r="CR6" i="11"/>
  <c r="CQ6" i="11"/>
  <c r="GL6" i="11" s="1"/>
  <c r="CP6" i="11"/>
  <c r="GJ6" i="11" s="1"/>
  <c r="GK6" i="11" s="1"/>
  <c r="CO6" i="11"/>
  <c r="DZ6" i="11" s="1"/>
  <c r="CN6" i="11"/>
  <c r="DY6" i="11" s="1"/>
  <c r="CM6" i="11"/>
  <c r="DX6" i="11" s="1"/>
  <c r="CL6" i="11"/>
  <c r="DW6" i="11" s="1"/>
  <c r="CG6" i="11" a="1"/>
  <c r="CG6" i="11" s="1"/>
  <c r="AW6" i="11"/>
  <c r="AV6" i="11"/>
  <c r="J6" i="11"/>
  <c r="G6" i="11"/>
  <c r="HX5" i="11" a="1"/>
  <c r="HX5" i="11" s="1"/>
  <c r="IW5" i="11" s="1"/>
  <c r="HW5" i="11" a="1"/>
  <c r="HW5" i="11" s="1"/>
  <c r="IV5" i="11" s="1"/>
  <c r="HV5" i="11" a="1"/>
  <c r="HV5" i="11" s="1"/>
  <c r="IU5" i="11" s="1"/>
  <c r="HU5" i="11" a="1"/>
  <c r="HU5" i="11" s="1"/>
  <c r="IT5" i="11" s="1"/>
  <c r="HT5" i="11" a="1"/>
  <c r="HT5" i="11" s="1"/>
  <c r="IS5" i="11" s="1"/>
  <c r="HS5" i="11" a="1"/>
  <c r="HS5" i="11" s="1"/>
  <c r="IR5" i="11" s="1"/>
  <c r="HR5" i="11" a="1"/>
  <c r="HR5" i="11" s="1"/>
  <c r="IQ5" i="11" s="1"/>
  <c r="HQ5" i="11" a="1"/>
  <c r="HQ5" i="11" s="1"/>
  <c r="IP5" i="11" s="1"/>
  <c r="HP5" i="11" a="1"/>
  <c r="HP5" i="11" s="1"/>
  <c r="IO5" i="11" s="1"/>
  <c r="HL5" i="11"/>
  <c r="HJ5" i="11"/>
  <c r="HH5" i="11"/>
  <c r="HB5" i="11"/>
  <c r="HA5" i="11"/>
  <c r="GZ5" i="11"/>
  <c r="GY5" i="11"/>
  <c r="GX5" i="11"/>
  <c r="GW5" i="11"/>
  <c r="GV5" i="11"/>
  <c r="GU5" i="11"/>
  <c r="GT5" i="11"/>
  <c r="GP5" i="11"/>
  <c r="GN5" i="11"/>
  <c r="GM5" i="11"/>
  <c r="GL5" i="11"/>
  <c r="GI5" i="11"/>
  <c r="GH5" i="11"/>
  <c r="GG5" i="11"/>
  <c r="GF5" i="11"/>
  <c r="GE5" i="11"/>
  <c r="GB5" i="11"/>
  <c r="GA5" i="11"/>
  <c r="FZ5" i="11"/>
  <c r="FY5" i="11"/>
  <c r="FW5" i="11"/>
  <c r="FV5" i="11"/>
  <c r="FU5" i="11"/>
  <c r="FT5" i="11"/>
  <c r="FS5" i="11"/>
  <c r="FR5" i="11"/>
  <c r="FQ5" i="11"/>
  <c r="FP5" i="11"/>
  <c r="FJ5" i="11"/>
  <c r="FI5" i="11"/>
  <c r="FL5" i="11" s="1"/>
  <c r="FH5" i="11"/>
  <c r="FG5" i="11"/>
  <c r="FF5" i="11"/>
  <c r="FK5" i="11" s="1"/>
  <c r="FE5" i="11"/>
  <c r="FO5" i="11" s="1"/>
  <c r="FD5" i="11"/>
  <c r="FB5" i="11"/>
  <c r="FA5" i="11"/>
  <c r="EZ5" i="11"/>
  <c r="EY5" i="11"/>
  <c r="EX5" i="11"/>
  <c r="EW5" i="11"/>
  <c r="EV5" i="11"/>
  <c r="EU5" i="11"/>
  <c r="ET5" i="11"/>
  <c r="ES5" i="11"/>
  <c r="ER5" i="11"/>
  <c r="EQ5" i="11"/>
  <c r="EP5" i="11"/>
  <c r="EO5" i="11"/>
  <c r="EN5" i="11"/>
  <c r="EM5" i="11"/>
  <c r="EL5" i="11"/>
  <c r="EK5" i="11"/>
  <c r="EJ5" i="11"/>
  <c r="EI5" i="11"/>
  <c r="EH5" i="11"/>
  <c r="EG5" i="11"/>
  <c r="EF5" i="11"/>
  <c r="EE5" i="11"/>
  <c r="ED5" i="11"/>
  <c r="EC5" i="11"/>
  <c r="EB5" i="11"/>
  <c r="EA5" i="11"/>
  <c r="DU5" i="11"/>
  <c r="DT5" i="11"/>
  <c r="DS5" i="11"/>
  <c r="DR5" i="11"/>
  <c r="DQ5" i="11"/>
  <c r="DP5" i="11"/>
  <c r="DO5" i="11"/>
  <c r="DN5" i="11"/>
  <c r="DK5" i="11"/>
  <c r="DJ5" i="11"/>
  <c r="DI5" i="11"/>
  <c r="DH5" i="11"/>
  <c r="DG5" i="11"/>
  <c r="DF5" i="11"/>
  <c r="DE5" i="11"/>
  <c r="DD5" i="11"/>
  <c r="DB5" i="11"/>
  <c r="DA5" i="11"/>
  <c r="CV5" i="11"/>
  <c r="CU5" i="11"/>
  <c r="CT5" i="11"/>
  <c r="CS5" i="11"/>
  <c r="CR5" i="11"/>
  <c r="CQ5" i="11"/>
  <c r="CP5" i="11"/>
  <c r="GJ5" i="11" s="1"/>
  <c r="GK5" i="11" s="1"/>
  <c r="CO5" i="11"/>
  <c r="DZ5" i="11" s="1"/>
  <c r="CN5" i="11"/>
  <c r="DY5" i="11" s="1"/>
  <c r="CM5" i="11"/>
  <c r="DX5" i="11" s="1"/>
  <c r="CL5" i="11"/>
  <c r="DW5" i="11" s="1"/>
  <c r="CG5" i="11" a="1"/>
  <c r="CG5" i="11" s="1"/>
  <c r="AW5" i="11"/>
  <c r="AV5" i="11"/>
  <c r="J5" i="11"/>
  <c r="HI5" i="11" s="1"/>
  <c r="G5" i="11"/>
  <c r="HX3" i="10" a="1"/>
  <c r="HX3" i="10" s="1"/>
  <c r="IW3" i="10" s="1"/>
  <c r="HW3" i="10" a="1"/>
  <c r="HW3" i="10" s="1"/>
  <c r="IV3" i="10" s="1"/>
  <c r="HV3" i="10" a="1"/>
  <c r="HV3" i="10" s="1"/>
  <c r="IU3" i="10" s="1"/>
  <c r="HU3" i="10" a="1"/>
  <c r="HU3" i="10" s="1"/>
  <c r="IT3" i="10" s="1"/>
  <c r="HT3" i="10" a="1"/>
  <c r="HT3" i="10" s="1"/>
  <c r="IS3" i="10" s="1"/>
  <c r="HS3" i="10" a="1"/>
  <c r="HS3" i="10" s="1"/>
  <c r="IR3" i="10" s="1"/>
  <c r="HR3" i="10" a="1"/>
  <c r="HR3" i="10" s="1"/>
  <c r="IQ3" i="10" s="1"/>
  <c r="HQ3" i="10" a="1"/>
  <c r="HQ3" i="10" s="1"/>
  <c r="IP3" i="10" s="1"/>
  <c r="HP3" i="10" a="1"/>
  <c r="HP3" i="10" s="1"/>
  <c r="IO3" i="10" s="1"/>
  <c r="HL3" i="10"/>
  <c r="HJ3" i="10"/>
  <c r="HH3" i="10"/>
  <c r="HI3" i="10" s="1"/>
  <c r="HB3" i="10"/>
  <c r="HA3" i="10"/>
  <c r="GZ3" i="10"/>
  <c r="GY3" i="10"/>
  <c r="GX3" i="10"/>
  <c r="GW3" i="10"/>
  <c r="GV3" i="10"/>
  <c r="GU3" i="10"/>
  <c r="GT3" i="10"/>
  <c r="HC3" i="10" s="1"/>
  <c r="GP3" i="10"/>
  <c r="GM3" i="10"/>
  <c r="GL3" i="10"/>
  <c r="GJ3" i="10"/>
  <c r="GK3" i="10" s="1"/>
  <c r="GI3" i="10"/>
  <c r="GH3" i="10"/>
  <c r="GG3" i="10"/>
  <c r="GF3" i="10"/>
  <c r="GE3" i="10"/>
  <c r="GB3" i="10"/>
  <c r="GA3" i="10"/>
  <c r="FZ3" i="10"/>
  <c r="FY3" i="10"/>
  <c r="FW3" i="10"/>
  <c r="FV3" i="10"/>
  <c r="FU3" i="10"/>
  <c r="FT3" i="10"/>
  <c r="FS3" i="10"/>
  <c r="FR3" i="10"/>
  <c r="FQ3" i="10"/>
  <c r="FP3" i="10"/>
  <c r="FJ3" i="10"/>
  <c r="FM3" i="10" s="1"/>
  <c r="FI3" i="10"/>
  <c r="FL3" i="10" s="1"/>
  <c r="FH3" i="10"/>
  <c r="FK3" i="10" s="1"/>
  <c r="FG3" i="10"/>
  <c r="FF3" i="10"/>
  <c r="FE3" i="10"/>
  <c r="FO3" i="10" s="1"/>
  <c r="FD3" i="10"/>
  <c r="FB3" i="10"/>
  <c r="FA3" i="10"/>
  <c r="EZ3" i="10"/>
  <c r="EY3" i="10"/>
  <c r="EX3" i="10"/>
  <c r="EW3" i="10"/>
  <c r="EV3" i="10"/>
  <c r="EU3" i="10"/>
  <c r="ET3" i="10"/>
  <c r="ES3" i="10"/>
  <c r="ER3" i="10"/>
  <c r="EQ3" i="10"/>
  <c r="EP3" i="10"/>
  <c r="EO3" i="10"/>
  <c r="EN3" i="10"/>
  <c r="EM3" i="10"/>
  <c r="EL3" i="10"/>
  <c r="EK3" i="10"/>
  <c r="EJ3" i="10"/>
  <c r="EI3" i="10"/>
  <c r="EH3" i="10"/>
  <c r="EG3" i="10"/>
  <c r="EF3" i="10"/>
  <c r="EE3" i="10"/>
  <c r="ED3" i="10"/>
  <c r="EC3" i="10"/>
  <c r="EB3" i="10"/>
  <c r="EA3" i="10"/>
  <c r="DU3" i="10"/>
  <c r="DT3" i="10"/>
  <c r="DS3" i="10"/>
  <c r="DR3" i="10"/>
  <c r="DQ3" i="10"/>
  <c r="DP3" i="10"/>
  <c r="DO3" i="10"/>
  <c r="DN3" i="10"/>
  <c r="DK3" i="10"/>
  <c r="DJ3" i="10"/>
  <c r="DI3" i="10"/>
  <c r="DH3" i="10"/>
  <c r="DG3" i="10"/>
  <c r="DF3" i="10"/>
  <c r="DE3" i="10"/>
  <c r="DD3" i="10"/>
  <c r="DB3" i="10"/>
  <c r="DA3" i="10"/>
  <c r="CV3" i="10"/>
  <c r="CU3" i="10"/>
  <c r="CT3" i="10"/>
  <c r="CS3" i="10"/>
  <c r="GN3" i="10" s="1"/>
  <c r="CR3" i="10"/>
  <c r="CQ3" i="10"/>
  <c r="CP3" i="10"/>
  <c r="CO3" i="10"/>
  <c r="DZ3" i="10" s="1"/>
  <c r="CN3" i="10"/>
  <c r="DY3" i="10" s="1"/>
  <c r="CM3" i="10"/>
  <c r="DX3" i="10" s="1"/>
  <c r="CL3" i="10"/>
  <c r="DW3" i="10" s="1"/>
  <c r="CG3" i="10" a="1"/>
  <c r="CG3" i="10" s="1"/>
  <c r="AW3" i="10"/>
  <c r="AV3" i="10"/>
  <c r="J3" i="10"/>
  <c r="G3" i="10"/>
  <c r="IL2" i="10"/>
  <c r="HX2" i="10" a="1"/>
  <c r="HX2" i="10" s="1"/>
  <c r="IW2" i="10" s="1"/>
  <c r="HW2" i="10" a="1"/>
  <c r="HW2" i="10" s="1"/>
  <c r="IV2" i="10" s="1"/>
  <c r="HV2" i="10" a="1"/>
  <c r="HV2" i="10" s="1"/>
  <c r="IU2" i="10" s="1"/>
  <c r="HU2" i="10" a="1"/>
  <c r="HU2" i="10" s="1"/>
  <c r="IT2" i="10" s="1"/>
  <c r="HT2" i="10" a="1"/>
  <c r="HT2" i="10" s="1"/>
  <c r="IS2" i="10" s="1"/>
  <c r="HS2" i="10"/>
  <c r="IR2" i="10" s="1"/>
  <c r="HS2" i="10" a="1"/>
  <c r="HR2" i="10" a="1"/>
  <c r="HR2" i="10" s="1"/>
  <c r="IQ2" i="10" s="1"/>
  <c r="HQ2" i="10" a="1"/>
  <c r="HQ2" i="10" s="1"/>
  <c r="IP2" i="10" s="1"/>
  <c r="HP2" i="10" a="1"/>
  <c r="HP2" i="10" s="1"/>
  <c r="IO2" i="10" s="1"/>
  <c r="HL2" i="10"/>
  <c r="HJ2" i="10"/>
  <c r="HI2" i="10"/>
  <c r="HH2" i="10"/>
  <c r="HB2" i="10"/>
  <c r="HA2" i="10"/>
  <c r="GZ2" i="10"/>
  <c r="GY2" i="10"/>
  <c r="GX2" i="10"/>
  <c r="GW2" i="10"/>
  <c r="GV2" i="10"/>
  <c r="GU2" i="10"/>
  <c r="GT2" i="10"/>
  <c r="HC2" i="10" s="1"/>
  <c r="GP2" i="10"/>
  <c r="GI2" i="10"/>
  <c r="GH2" i="10"/>
  <c r="GG2" i="10"/>
  <c r="GF2" i="10"/>
  <c r="GE2" i="10"/>
  <c r="GD2" i="10"/>
  <c r="GC2" i="10"/>
  <c r="GB2" i="10"/>
  <c r="GA2" i="10"/>
  <c r="FZ2" i="10"/>
  <c r="FY2" i="10"/>
  <c r="FX2" i="10"/>
  <c r="FW2" i="10"/>
  <c r="FV2" i="10"/>
  <c r="FU2" i="10"/>
  <c r="FT2" i="10"/>
  <c r="FS2" i="10"/>
  <c r="FR2" i="10"/>
  <c r="FQ2" i="10"/>
  <c r="FO2" i="10"/>
  <c r="FN2" i="10"/>
  <c r="FJ2" i="10"/>
  <c r="FM2" i="10" s="1"/>
  <c r="FI2" i="10"/>
  <c r="FL2" i="10" s="1"/>
  <c r="FH2" i="10"/>
  <c r="FK2" i="10" s="1"/>
  <c r="FG2" i="10"/>
  <c r="FF2" i="10"/>
  <c r="FP2" i="10" s="1"/>
  <c r="FE2" i="10"/>
  <c r="FD2" i="10"/>
  <c r="FC2" i="10"/>
  <c r="FB2" i="10"/>
  <c r="FA2" i="10"/>
  <c r="EZ2" i="10"/>
  <c r="EY2" i="10"/>
  <c r="EX2" i="10"/>
  <c r="EW2" i="10"/>
  <c r="EV2" i="10"/>
  <c r="EU2" i="10"/>
  <c r="ET2" i="10"/>
  <c r="ES2" i="10"/>
  <c r="ER2" i="10"/>
  <c r="EQ2" i="10"/>
  <c r="EP2" i="10"/>
  <c r="EO2" i="10"/>
  <c r="EN2" i="10"/>
  <c r="EM2" i="10"/>
  <c r="EL2" i="10"/>
  <c r="EK2" i="10"/>
  <c r="EJ2" i="10"/>
  <c r="EI2" i="10"/>
  <c r="EH2" i="10"/>
  <c r="EG2" i="10"/>
  <c r="EF2" i="10"/>
  <c r="EE2" i="10"/>
  <c r="ED2" i="10"/>
  <c r="EC2" i="10"/>
  <c r="EB2" i="10"/>
  <c r="EA2" i="10"/>
  <c r="DY2" i="10"/>
  <c r="DX2" i="10"/>
  <c r="DV2" i="10"/>
  <c r="DU2" i="10"/>
  <c r="DT2" i="10"/>
  <c r="DS2" i="10"/>
  <c r="DR2" i="10"/>
  <c r="DQ2" i="10"/>
  <c r="DP2" i="10"/>
  <c r="DO2" i="10"/>
  <c r="DN2" i="10"/>
  <c r="DK2" i="10"/>
  <c r="DJ2" i="10"/>
  <c r="DI2" i="10"/>
  <c r="DH2" i="10"/>
  <c r="DG2" i="10"/>
  <c r="DF2" i="10"/>
  <c r="DE2" i="10"/>
  <c r="DD2" i="10"/>
  <c r="DC2" i="10"/>
  <c r="DB2" i="10"/>
  <c r="DA2" i="10"/>
  <c r="CV2" i="10"/>
  <c r="CU2" i="10"/>
  <c r="CT2" i="10"/>
  <c r="CS2" i="10"/>
  <c r="GN2" i="10" s="1"/>
  <c r="CR2" i="10"/>
  <c r="GM2" i="10" s="1"/>
  <c r="CQ2" i="10"/>
  <c r="GL2" i="10" s="1"/>
  <c r="CP2" i="10"/>
  <c r="GJ2" i="10" s="1"/>
  <c r="GK2" i="10" s="1"/>
  <c r="CO2" i="10"/>
  <c r="DZ2" i="10" s="1"/>
  <c r="CN2" i="10"/>
  <c r="CM2" i="10"/>
  <c r="CL2" i="10"/>
  <c r="DW2" i="10" s="1"/>
  <c r="CG2" i="10" a="1"/>
  <c r="CG2" i="10" s="1"/>
  <c r="AW2" i="10"/>
  <c r="AV2" i="10"/>
  <c r="AX2" i="10" s="1"/>
  <c r="J2" i="10"/>
  <c r="G2" i="10"/>
  <c r="IQ2" i="7"/>
  <c r="IL2" i="7"/>
  <c r="HX2" i="7"/>
  <c r="IW2" i="7" s="1"/>
  <c r="HX2" i="7" a="1"/>
  <c r="HW2" i="7" a="1"/>
  <c r="HW2" i="7" s="1"/>
  <c r="IV2" i="7" s="1"/>
  <c r="HV2" i="7" a="1"/>
  <c r="HV2" i="7" s="1"/>
  <c r="IU2" i="7" s="1"/>
  <c r="HU2" i="7" a="1"/>
  <c r="HU2" i="7" s="1"/>
  <c r="IT2" i="7" s="1"/>
  <c r="HT2" i="7" a="1"/>
  <c r="HT2" i="7" s="1"/>
  <c r="IS2" i="7" s="1"/>
  <c r="HS2" i="7"/>
  <c r="IR2" i="7" s="1"/>
  <c r="HS2" i="7" a="1"/>
  <c r="HR2" i="7"/>
  <c r="HR2" i="7" a="1"/>
  <c r="HQ2" i="7" a="1"/>
  <c r="HQ2" i="7" s="1"/>
  <c r="IP2" i="7" s="1"/>
  <c r="HP2" i="7" a="1"/>
  <c r="HP2" i="7" s="1"/>
  <c r="IO2" i="7" s="1"/>
  <c r="HL2" i="7"/>
  <c r="HJ2" i="7"/>
  <c r="HI2" i="7"/>
  <c r="HH2" i="7"/>
  <c r="HB2" i="7"/>
  <c r="HA2" i="7"/>
  <c r="GZ2" i="7"/>
  <c r="GY2" i="7"/>
  <c r="GX2" i="7"/>
  <c r="GW2" i="7"/>
  <c r="GV2" i="7"/>
  <c r="GU2" i="7"/>
  <c r="HC2" i="7" s="1"/>
  <c r="GT2" i="7"/>
  <c r="GP2" i="7"/>
  <c r="GI2" i="7"/>
  <c r="GH2" i="7"/>
  <c r="GG2" i="7"/>
  <c r="GF2" i="7"/>
  <c r="GE2" i="7"/>
  <c r="GD2" i="7"/>
  <c r="GC2" i="7"/>
  <c r="GB2" i="7"/>
  <c r="GA2" i="7"/>
  <c r="FZ2" i="7"/>
  <c r="FY2" i="7"/>
  <c r="FX2" i="7"/>
  <c r="FW2" i="7"/>
  <c r="FV2" i="7"/>
  <c r="FU2" i="7"/>
  <c r="FT2" i="7"/>
  <c r="FS2" i="7"/>
  <c r="FR2" i="7"/>
  <c r="FQ2" i="7"/>
  <c r="FP2" i="7"/>
  <c r="FO2" i="7"/>
  <c r="FN2" i="7"/>
  <c r="FJ2" i="7"/>
  <c r="FM2" i="7" s="1"/>
  <c r="FI2" i="7"/>
  <c r="FL2" i="7" s="1"/>
  <c r="FH2" i="7"/>
  <c r="FK2" i="7" s="1"/>
  <c r="FG2" i="7"/>
  <c r="FF2" i="7"/>
  <c r="FE2" i="7"/>
  <c r="FD2" i="7"/>
  <c r="FC2" i="7"/>
  <c r="FB2" i="7"/>
  <c r="FA2" i="7"/>
  <c r="EZ2" i="7"/>
  <c r="EY2" i="7"/>
  <c r="EX2" i="7"/>
  <c r="EW2" i="7"/>
  <c r="EV2" i="7"/>
  <c r="EU2" i="7"/>
  <c r="ET2" i="7"/>
  <c r="ES2" i="7"/>
  <c r="ER2" i="7"/>
  <c r="EQ2" i="7"/>
  <c r="EP2" i="7"/>
  <c r="EO2" i="7"/>
  <c r="EN2" i="7"/>
  <c r="EM2" i="7"/>
  <c r="EL2" i="7"/>
  <c r="EK2" i="7"/>
  <c r="EJ2" i="7"/>
  <c r="EI2" i="7"/>
  <c r="EH2" i="7"/>
  <c r="EG2" i="7"/>
  <c r="EF2" i="7"/>
  <c r="EE2" i="7"/>
  <c r="ED2" i="7"/>
  <c r="EC2" i="7"/>
  <c r="EB2" i="7"/>
  <c r="EA2" i="7"/>
  <c r="DY2" i="7"/>
  <c r="DX2" i="7"/>
  <c r="DW2" i="7"/>
  <c r="DV2" i="7"/>
  <c r="DU2" i="7"/>
  <c r="DT2" i="7"/>
  <c r="DS2" i="7"/>
  <c r="DR2" i="7"/>
  <c r="DQ2" i="7"/>
  <c r="DP2" i="7"/>
  <c r="DO2" i="7"/>
  <c r="DN2" i="7"/>
  <c r="DK2" i="7"/>
  <c r="DJ2" i="7"/>
  <c r="DI2" i="7"/>
  <c r="DH2" i="7"/>
  <c r="DG2" i="7"/>
  <c r="DF2" i="7"/>
  <c r="DE2" i="7"/>
  <c r="DD2" i="7"/>
  <c r="DC2" i="7"/>
  <c r="DB2" i="7"/>
  <c r="DA2" i="7"/>
  <c r="CV2" i="7"/>
  <c r="CU2" i="7"/>
  <c r="CT2" i="7"/>
  <c r="CS2" i="7"/>
  <c r="GN2" i="7" s="1"/>
  <c r="CR2" i="7"/>
  <c r="GM2" i="7" s="1"/>
  <c r="CQ2" i="7"/>
  <c r="GL2" i="7" s="1"/>
  <c r="CP2" i="7"/>
  <c r="GJ2" i="7" s="1"/>
  <c r="GK2" i="7" s="1"/>
  <c r="CO2" i="7"/>
  <c r="DZ2" i="7" s="1"/>
  <c r="CN2" i="7"/>
  <c r="CM2" i="7"/>
  <c r="CL2" i="7"/>
  <c r="CG2" i="7" a="1"/>
  <c r="CG2" i="7" s="1"/>
  <c r="AW2" i="7"/>
  <c r="AV2" i="7"/>
  <c r="AX2" i="7" s="1"/>
  <c r="J2" i="7"/>
  <c r="G2" i="7"/>
  <c r="IQ3" i="7"/>
  <c r="IN3" i="7"/>
  <c r="IX3" i="7" s="1"/>
  <c r="IM3" i="7"/>
  <c r="HX3" i="7"/>
  <c r="IW3" i="7" s="1"/>
  <c r="HX3" i="7" a="1"/>
  <c r="HW3" i="7" a="1"/>
  <c r="HW3" i="7" s="1"/>
  <c r="IV3" i="7" s="1"/>
  <c r="HV3" i="7" a="1"/>
  <c r="HV3" i="7" s="1"/>
  <c r="IU3" i="7" s="1"/>
  <c r="HU3" i="7" a="1"/>
  <c r="HU3" i="7" s="1"/>
  <c r="IT3" i="7" s="1"/>
  <c r="HT3" i="7" a="1"/>
  <c r="HT3" i="7" s="1"/>
  <c r="IS3" i="7" s="1"/>
  <c r="HS3" i="7" a="1"/>
  <c r="HS3" i="7" s="1"/>
  <c r="IR3" i="7" s="1"/>
  <c r="HR3" i="7"/>
  <c r="HR3" i="7" a="1"/>
  <c r="HQ3" i="7" a="1"/>
  <c r="HQ3" i="7" s="1"/>
  <c r="IP3" i="7" s="1"/>
  <c r="HP3" i="7" a="1"/>
  <c r="HP3" i="7" s="1"/>
  <c r="IO3" i="7" s="1"/>
  <c r="HL3" i="7"/>
  <c r="HJ3" i="7"/>
  <c r="HH3" i="7"/>
  <c r="HI3" i="7" s="1"/>
  <c r="HB3" i="7"/>
  <c r="HA3" i="7"/>
  <c r="GZ3" i="7"/>
  <c r="GY3" i="7"/>
  <c r="GX3" i="7"/>
  <c r="GW3" i="7"/>
  <c r="GV3" i="7"/>
  <c r="GU3" i="7"/>
  <c r="GT3" i="7"/>
  <c r="HC3" i="7" s="1"/>
  <c r="GP3" i="7"/>
  <c r="GN3" i="7"/>
  <c r="GM3" i="7"/>
  <c r="GL3" i="7"/>
  <c r="GJ3" i="7"/>
  <c r="GK3" i="7" s="1"/>
  <c r="GI3" i="7"/>
  <c r="GH3" i="7"/>
  <c r="GG3" i="7"/>
  <c r="GF3" i="7"/>
  <c r="GE3" i="7"/>
  <c r="GB3" i="7"/>
  <c r="GA3" i="7"/>
  <c r="FZ3" i="7"/>
  <c r="FY3" i="7"/>
  <c r="FW3" i="7"/>
  <c r="FV3" i="7"/>
  <c r="FU3" i="7"/>
  <c r="FT3" i="7"/>
  <c r="FS3" i="7"/>
  <c r="FR3" i="7"/>
  <c r="FQ3" i="7"/>
  <c r="FP3" i="7"/>
  <c r="FJ3" i="7"/>
  <c r="FM3" i="7" s="1"/>
  <c r="FI3" i="7"/>
  <c r="FL3" i="7" s="1"/>
  <c r="FH3" i="7"/>
  <c r="FK3" i="7" s="1"/>
  <c r="FG3" i="7"/>
  <c r="FF3" i="7"/>
  <c r="FE3" i="7"/>
  <c r="FO3" i="7" s="1"/>
  <c r="FD3" i="7"/>
  <c r="FB3" i="7"/>
  <c r="FA3" i="7"/>
  <c r="EZ3" i="7"/>
  <c r="EY3" i="7"/>
  <c r="EX3" i="7"/>
  <c r="EW3" i="7"/>
  <c r="EV3" i="7"/>
  <c r="EU3" i="7"/>
  <c r="ET3" i="7"/>
  <c r="ES3" i="7"/>
  <c r="ER3" i="7"/>
  <c r="EQ3" i="7"/>
  <c r="EP3" i="7"/>
  <c r="EO3" i="7"/>
  <c r="EN3" i="7"/>
  <c r="EM3" i="7"/>
  <c r="EL3" i="7"/>
  <c r="EK3" i="7"/>
  <c r="EJ3" i="7"/>
  <c r="EI3" i="7"/>
  <c r="EH3" i="7"/>
  <c r="EG3" i="7"/>
  <c r="EF3" i="7"/>
  <c r="EE3" i="7"/>
  <c r="ED3" i="7"/>
  <c r="EC3" i="7"/>
  <c r="EB3" i="7"/>
  <c r="EA3" i="7"/>
  <c r="DU3" i="7"/>
  <c r="DT3" i="7"/>
  <c r="DS3" i="7"/>
  <c r="DR3" i="7"/>
  <c r="DQ3" i="7"/>
  <c r="DP3" i="7"/>
  <c r="DO3" i="7"/>
  <c r="DN3" i="7"/>
  <c r="DM3" i="7" a="1"/>
  <c r="DM3" i="7" s="1"/>
  <c r="DL3" i="7"/>
  <c r="DK3" i="7"/>
  <c r="DJ3" i="7"/>
  <c r="DI3" i="7"/>
  <c r="DH3" i="7"/>
  <c r="DG3" i="7"/>
  <c r="DF3" i="7"/>
  <c r="DE3" i="7"/>
  <c r="DD3" i="7"/>
  <c r="DB3" i="7"/>
  <c r="DA3" i="7"/>
  <c r="CV3" i="7"/>
  <c r="CU3" i="7"/>
  <c r="CT3" i="7"/>
  <c r="CS3" i="7"/>
  <c r="CR3" i="7"/>
  <c r="CQ3" i="7"/>
  <c r="CP3" i="7"/>
  <c r="CO3" i="7"/>
  <c r="DZ3" i="7" s="1"/>
  <c r="CN3" i="7"/>
  <c r="DY3" i="7" s="1"/>
  <c r="CM3" i="7"/>
  <c r="DX3" i="7" s="1"/>
  <c r="CL3" i="7"/>
  <c r="DW3" i="7" s="1"/>
  <c r="CK3" i="7"/>
  <c r="CZ3" i="7" s="1"/>
  <c r="CJ3" i="7"/>
  <c r="CY3" i="7" s="1"/>
  <c r="CI3" i="7"/>
  <c r="CX3" i="7" s="1"/>
  <c r="CH3" i="7"/>
  <c r="CW3" i="7" s="1"/>
  <c r="CG3" i="7"/>
  <c r="CG3" i="7" a="1"/>
  <c r="AW3" i="7"/>
  <c r="AV3" i="7"/>
  <c r="J3" i="7"/>
  <c r="G3" i="7"/>
  <c r="IL3" i="58"/>
  <c r="HX3" i="58" a="1"/>
  <c r="HX3" i="58" s="1"/>
  <c r="IW3" i="58" s="1"/>
  <c r="HW3" i="58" a="1"/>
  <c r="HW3" i="58" s="1"/>
  <c r="IV3" i="58" s="1"/>
  <c r="HV3" i="58" a="1"/>
  <c r="HV3" i="58" s="1"/>
  <c r="IU3" i="58" s="1"/>
  <c r="HU3" i="58" a="1"/>
  <c r="HU3" i="58" s="1"/>
  <c r="IT3" i="58" s="1"/>
  <c r="HT3" i="58" a="1"/>
  <c r="HT3" i="58" s="1"/>
  <c r="IS3" i="58" s="1"/>
  <c r="HS3" i="58"/>
  <c r="IR3" i="58" s="1"/>
  <c r="HS3" i="58" a="1"/>
  <c r="HR3" i="58" a="1"/>
  <c r="HR3" i="58" s="1"/>
  <c r="IQ3" i="58" s="1"/>
  <c r="HQ3" i="58" a="1"/>
  <c r="HQ3" i="58" s="1"/>
  <c r="IP3" i="58" s="1"/>
  <c r="HP3" i="58" a="1"/>
  <c r="HP3" i="58" s="1"/>
  <c r="IO3" i="58" s="1"/>
  <c r="HL3" i="58"/>
  <c r="HJ3" i="58"/>
  <c r="HH3" i="58"/>
  <c r="HB3" i="58"/>
  <c r="HA3" i="58"/>
  <c r="GZ3" i="58"/>
  <c r="GY3" i="58"/>
  <c r="GX3" i="58"/>
  <c r="GW3" i="58"/>
  <c r="GV3" i="58"/>
  <c r="GU3" i="58"/>
  <c r="HC3" i="58" s="1"/>
  <c r="GT3" i="58"/>
  <c r="GP3" i="58"/>
  <c r="GI3" i="58"/>
  <c r="GH3" i="58"/>
  <c r="GG3" i="58"/>
  <c r="GF3" i="58"/>
  <c r="GE3" i="58"/>
  <c r="GD3" i="58"/>
  <c r="GC3" i="58"/>
  <c r="GB3" i="58"/>
  <c r="GA3" i="58"/>
  <c r="FZ3" i="58"/>
  <c r="FY3" i="58"/>
  <c r="FX3" i="58"/>
  <c r="FW3" i="58"/>
  <c r="FV3" i="58"/>
  <c r="FU3" i="58"/>
  <c r="FT3" i="58"/>
  <c r="FS3" i="58"/>
  <c r="FR3" i="58"/>
  <c r="FQ3" i="58"/>
  <c r="FP3" i="58"/>
  <c r="FO3" i="58"/>
  <c r="FN3" i="58"/>
  <c r="FJ3" i="58"/>
  <c r="FM3" i="58" s="1"/>
  <c r="FI3" i="58"/>
  <c r="FL3" i="58" s="1"/>
  <c r="FH3" i="58"/>
  <c r="FK3" i="58" s="1"/>
  <c r="FG3" i="58"/>
  <c r="FF3" i="58"/>
  <c r="FE3" i="58"/>
  <c r="FD3" i="58"/>
  <c r="FC3" i="58"/>
  <c r="FB3" i="58"/>
  <c r="FA3" i="58"/>
  <c r="EZ3" i="58"/>
  <c r="EY3" i="58"/>
  <c r="EX3" i="58"/>
  <c r="EW3" i="58"/>
  <c r="EV3" i="58"/>
  <c r="EU3" i="58"/>
  <c r="ET3" i="58"/>
  <c r="ES3" i="58"/>
  <c r="ER3" i="58"/>
  <c r="EQ3" i="58"/>
  <c r="EP3" i="58"/>
  <c r="EO3" i="58"/>
  <c r="EN3" i="58"/>
  <c r="EM3" i="58"/>
  <c r="EL3" i="58"/>
  <c r="EK3" i="58"/>
  <c r="EJ3" i="58"/>
  <c r="EI3" i="58"/>
  <c r="EH3" i="58"/>
  <c r="EG3" i="58"/>
  <c r="EF3" i="58"/>
  <c r="EE3" i="58"/>
  <c r="ED3" i="58"/>
  <c r="EC3" i="58"/>
  <c r="EB3" i="58"/>
  <c r="EA3" i="58"/>
  <c r="DY3" i="58"/>
  <c r="DX3" i="58"/>
  <c r="DV3" i="58"/>
  <c r="DU3" i="58"/>
  <c r="DT3" i="58"/>
  <c r="DS3" i="58"/>
  <c r="DR3" i="58"/>
  <c r="DQ3" i="58"/>
  <c r="DP3" i="58"/>
  <c r="DO3" i="58"/>
  <c r="DN3" i="58"/>
  <c r="DK3" i="58"/>
  <c r="DJ3" i="58"/>
  <c r="DI3" i="58"/>
  <c r="DH3" i="58"/>
  <c r="DG3" i="58"/>
  <c r="DF3" i="58"/>
  <c r="DE3" i="58"/>
  <c r="DD3" i="58"/>
  <c r="DC3" i="58"/>
  <c r="DB3" i="58"/>
  <c r="DA3" i="58"/>
  <c r="CV3" i="58"/>
  <c r="CU3" i="58"/>
  <c r="CT3" i="58"/>
  <c r="CS3" i="58"/>
  <c r="GN3" i="58" s="1"/>
  <c r="CR3" i="58"/>
  <c r="GM3" i="58" s="1"/>
  <c r="CQ3" i="58"/>
  <c r="GL3" i="58" s="1"/>
  <c r="CP3" i="58"/>
  <c r="GJ3" i="58" s="1"/>
  <c r="GK3" i="58" s="1"/>
  <c r="CO3" i="58"/>
  <c r="DZ3" i="58" s="1"/>
  <c r="CN3" i="58"/>
  <c r="CM3" i="58"/>
  <c r="CL3" i="58"/>
  <c r="DW3" i="58" s="1"/>
  <c r="CG3" i="58" a="1"/>
  <c r="CG3" i="58" s="1"/>
  <c r="AW3" i="58"/>
  <c r="AV3" i="58"/>
  <c r="J3" i="58"/>
  <c r="HI3" i="58" s="1"/>
  <c r="G3" i="58"/>
  <c r="IL2" i="58"/>
  <c r="HX2" i="58"/>
  <c r="IW2" i="58" s="1"/>
  <c r="HX2" i="58" a="1"/>
  <c r="HW2" i="58" a="1"/>
  <c r="HW2" i="58" s="1"/>
  <c r="IV2" i="58" s="1"/>
  <c r="HV2" i="58" a="1"/>
  <c r="HV2" i="58" s="1"/>
  <c r="IU2" i="58" s="1"/>
  <c r="HU2" i="58" a="1"/>
  <c r="HU2" i="58" s="1"/>
  <c r="IT2" i="58" s="1"/>
  <c r="HT2" i="58" a="1"/>
  <c r="HT2" i="58" s="1"/>
  <c r="IS2" i="58" s="1"/>
  <c r="HS2" i="58"/>
  <c r="IR2" i="58" s="1"/>
  <c r="HS2" i="58" a="1"/>
  <c r="HR2" i="58"/>
  <c r="IQ2" i="58" s="1"/>
  <c r="HR2" i="58" a="1"/>
  <c r="HQ2" i="58" a="1"/>
  <c r="HQ2" i="58" s="1"/>
  <c r="IP2" i="58" s="1"/>
  <c r="HP2" i="58" a="1"/>
  <c r="HP2" i="58" s="1"/>
  <c r="IO2" i="58" s="1"/>
  <c r="HL2" i="58"/>
  <c r="HJ2" i="58"/>
  <c r="HI2" i="58"/>
  <c r="HH2" i="58"/>
  <c r="HB2" i="58"/>
  <c r="HA2" i="58"/>
  <c r="GZ2" i="58"/>
  <c r="GY2" i="58"/>
  <c r="GX2" i="58"/>
  <c r="GW2" i="58"/>
  <c r="GV2" i="58"/>
  <c r="GU2" i="58"/>
  <c r="HC2" i="58" s="1"/>
  <c r="GT2" i="58"/>
  <c r="GP2" i="58"/>
  <c r="GN2" i="58"/>
  <c r="GM2" i="58"/>
  <c r="GL2" i="58"/>
  <c r="GI2" i="58"/>
  <c r="GH2" i="58"/>
  <c r="GG2" i="58"/>
  <c r="GF2" i="58"/>
  <c r="GE2" i="58"/>
  <c r="GD2" i="58"/>
  <c r="GC2" i="58"/>
  <c r="GB2" i="58"/>
  <c r="GA2" i="58"/>
  <c r="FZ2" i="58"/>
  <c r="FY2" i="58"/>
  <c r="FX2" i="58"/>
  <c r="FW2" i="58"/>
  <c r="FV2" i="58"/>
  <c r="FU2" i="58"/>
  <c r="FT2" i="58"/>
  <c r="FS2" i="58"/>
  <c r="FR2" i="58"/>
  <c r="FQ2" i="58"/>
  <c r="FP2" i="58"/>
  <c r="FO2" i="58"/>
  <c r="FN2" i="58"/>
  <c r="FM2" i="58"/>
  <c r="FJ2" i="58"/>
  <c r="FI2" i="58"/>
  <c r="FL2" i="58" s="1"/>
  <c r="FH2" i="58"/>
  <c r="FK2" i="58" s="1"/>
  <c r="FG2" i="58"/>
  <c r="FF2" i="58"/>
  <c r="FE2" i="58"/>
  <c r="FD2" i="58"/>
  <c r="FC2" i="58"/>
  <c r="FB2" i="58"/>
  <c r="FA2" i="58"/>
  <c r="EZ2" i="58"/>
  <c r="EY2" i="58"/>
  <c r="EX2" i="58"/>
  <c r="EW2" i="58"/>
  <c r="EV2" i="58"/>
  <c r="EU2" i="58"/>
  <c r="ET2" i="58"/>
  <c r="ES2" i="58"/>
  <c r="ER2" i="58"/>
  <c r="EQ2" i="58"/>
  <c r="EP2" i="58"/>
  <c r="EO2" i="58"/>
  <c r="EN2" i="58"/>
  <c r="EM2" i="58"/>
  <c r="EL2" i="58"/>
  <c r="EK2" i="58"/>
  <c r="EJ2" i="58"/>
  <c r="EI2" i="58"/>
  <c r="EH2" i="58"/>
  <c r="EG2" i="58"/>
  <c r="EF2" i="58"/>
  <c r="EE2" i="58"/>
  <c r="ED2" i="58"/>
  <c r="EC2" i="58"/>
  <c r="EB2" i="58"/>
  <c r="EA2" i="58"/>
  <c r="DY2" i="58"/>
  <c r="DX2" i="58"/>
  <c r="DV2" i="58"/>
  <c r="DU2" i="58"/>
  <c r="DT2" i="58"/>
  <c r="DS2" i="58"/>
  <c r="DR2" i="58"/>
  <c r="DQ2" i="58"/>
  <c r="DP2" i="58"/>
  <c r="DO2" i="58"/>
  <c r="DN2" i="58"/>
  <c r="DK2" i="58"/>
  <c r="DJ2" i="58"/>
  <c r="DI2" i="58"/>
  <c r="DH2" i="58"/>
  <c r="DG2" i="58"/>
  <c r="DF2" i="58"/>
  <c r="DE2" i="58"/>
  <c r="DD2" i="58"/>
  <c r="DC2" i="58"/>
  <c r="DB2" i="58"/>
  <c r="DA2" i="58"/>
  <c r="CV2" i="58"/>
  <c r="CU2" i="58"/>
  <c r="CT2" i="58"/>
  <c r="CS2" i="58"/>
  <c r="CR2" i="58"/>
  <c r="CQ2" i="58"/>
  <c r="CP2" i="58"/>
  <c r="GJ2" i="58" s="1"/>
  <c r="GK2" i="58" s="1"/>
  <c r="CO2" i="58"/>
  <c r="DZ2" i="58" s="1"/>
  <c r="CN2" i="58"/>
  <c r="CM2" i="58"/>
  <c r="CL2" i="58"/>
  <c r="DW2" i="58" s="1"/>
  <c r="CG2" i="58" a="1"/>
  <c r="CG2" i="58" s="1"/>
  <c r="AW2" i="58"/>
  <c r="AV2" i="58"/>
  <c r="AX2" i="58" s="1"/>
  <c r="J2" i="58"/>
  <c r="G2" i="58"/>
  <c r="IQ2" i="26"/>
  <c r="IL2" i="26"/>
  <c r="HX2" i="26"/>
  <c r="IW2" i="26" s="1"/>
  <c r="HX2" i="26" a="1"/>
  <c r="HW2" i="26" a="1"/>
  <c r="HW2" i="26" s="1"/>
  <c r="IV2" i="26" s="1"/>
  <c r="HV2" i="26" a="1"/>
  <c r="HV2" i="26" s="1"/>
  <c r="IU2" i="26" s="1"/>
  <c r="HU2" i="26" a="1"/>
  <c r="HU2" i="26" s="1"/>
  <c r="IT2" i="26" s="1"/>
  <c r="HT2" i="26" a="1"/>
  <c r="HT2" i="26" s="1"/>
  <c r="IS2" i="26" s="1"/>
  <c r="HS2" i="26"/>
  <c r="IR2" i="26" s="1"/>
  <c r="HS2" i="26" a="1"/>
  <c r="HR2" i="26"/>
  <c r="HR2" i="26" a="1"/>
  <c r="HQ2" i="26" a="1"/>
  <c r="HQ2" i="26" s="1"/>
  <c r="IP2" i="26" s="1"/>
  <c r="HP2" i="26" a="1"/>
  <c r="HP2" i="26" s="1"/>
  <c r="IO2" i="26" s="1"/>
  <c r="HL2" i="26"/>
  <c r="HJ2" i="26"/>
  <c r="HI2" i="26"/>
  <c r="HH2" i="26"/>
  <c r="HB2" i="26"/>
  <c r="HA2" i="26"/>
  <c r="GZ2" i="26"/>
  <c r="GY2" i="26"/>
  <c r="GX2" i="26"/>
  <c r="GW2" i="26"/>
  <c r="GV2" i="26"/>
  <c r="GU2" i="26"/>
  <c r="HC2" i="26" s="1"/>
  <c r="GT2" i="26"/>
  <c r="GP2" i="26"/>
  <c r="GI2" i="26"/>
  <c r="GH2" i="26"/>
  <c r="GG2" i="26"/>
  <c r="GF2" i="26"/>
  <c r="GE2" i="26"/>
  <c r="GD2" i="26"/>
  <c r="GC2" i="26"/>
  <c r="GB2" i="26"/>
  <c r="GA2" i="26"/>
  <c r="FZ2" i="26"/>
  <c r="FY2" i="26"/>
  <c r="FX2" i="26"/>
  <c r="FW2" i="26"/>
  <c r="FV2" i="26"/>
  <c r="FU2" i="26"/>
  <c r="FT2" i="26"/>
  <c r="FS2" i="26"/>
  <c r="FR2" i="26"/>
  <c r="FQ2" i="26"/>
  <c r="FP2" i="26"/>
  <c r="FO2" i="26"/>
  <c r="FN2" i="26"/>
  <c r="FJ2" i="26"/>
  <c r="FM2" i="26" s="1"/>
  <c r="FI2" i="26"/>
  <c r="FL2" i="26" s="1"/>
  <c r="FH2" i="26"/>
  <c r="FK2" i="26" s="1"/>
  <c r="FG2" i="26"/>
  <c r="FF2" i="26"/>
  <c r="FE2" i="26"/>
  <c r="FD2" i="26"/>
  <c r="FC2" i="26"/>
  <c r="FB2" i="26"/>
  <c r="FA2" i="26"/>
  <c r="EZ2" i="26"/>
  <c r="EY2" i="26"/>
  <c r="EX2" i="26"/>
  <c r="EW2" i="26"/>
  <c r="EV2" i="26"/>
  <c r="EU2" i="26"/>
  <c r="ET2" i="26"/>
  <c r="ES2" i="26"/>
  <c r="ER2" i="26"/>
  <c r="EQ2" i="26"/>
  <c r="EP2" i="26"/>
  <c r="EO2" i="26"/>
  <c r="EN2" i="26"/>
  <c r="EM2" i="26"/>
  <c r="EL2" i="26"/>
  <c r="EK2" i="26"/>
  <c r="EJ2" i="26"/>
  <c r="EI2" i="26"/>
  <c r="EH2" i="26"/>
  <c r="EG2" i="26"/>
  <c r="EF2" i="26"/>
  <c r="EE2" i="26"/>
  <c r="ED2" i="26"/>
  <c r="EC2" i="26"/>
  <c r="EB2" i="26"/>
  <c r="EA2" i="26"/>
  <c r="DY2" i="26"/>
  <c r="DX2" i="26"/>
  <c r="DW2" i="26"/>
  <c r="DV2" i="26"/>
  <c r="DU2" i="26"/>
  <c r="DT2" i="26"/>
  <c r="DS2" i="26"/>
  <c r="DR2" i="26"/>
  <c r="DQ2" i="26"/>
  <c r="DP2" i="26"/>
  <c r="DO2" i="26"/>
  <c r="DN2" i="26"/>
  <c r="DK2" i="26"/>
  <c r="DJ2" i="26"/>
  <c r="DI2" i="26"/>
  <c r="DH2" i="26"/>
  <c r="DG2" i="26"/>
  <c r="DF2" i="26"/>
  <c r="DE2" i="26"/>
  <c r="DD2" i="26"/>
  <c r="DC2" i="26"/>
  <c r="DB2" i="26"/>
  <c r="DA2" i="26"/>
  <c r="CV2" i="26"/>
  <c r="CU2" i="26"/>
  <c r="CT2" i="26"/>
  <c r="CS2" i="26"/>
  <c r="GN2" i="26" s="1"/>
  <c r="CR2" i="26"/>
  <c r="GM2" i="26" s="1"/>
  <c r="CQ2" i="26"/>
  <c r="GL2" i="26" s="1"/>
  <c r="CP2" i="26"/>
  <c r="GJ2" i="26" s="1"/>
  <c r="GK2" i="26" s="1"/>
  <c r="CO2" i="26"/>
  <c r="DZ2" i="26" s="1"/>
  <c r="CN2" i="26"/>
  <c r="CM2" i="26"/>
  <c r="CL2" i="26"/>
  <c r="CG2" i="26" a="1"/>
  <c r="CG2" i="26" s="1"/>
  <c r="AW2" i="26"/>
  <c r="AV2" i="26"/>
  <c r="AX2" i="26" s="1"/>
  <c r="J2" i="26"/>
  <c r="G2" i="26"/>
  <c r="IQ4" i="26"/>
  <c r="IN4" i="26"/>
  <c r="IX4" i="26" s="1"/>
  <c r="IM4" i="26"/>
  <c r="HX4" i="26"/>
  <c r="IW4" i="26" s="1"/>
  <c r="HX4" i="26" a="1"/>
  <c r="HW4" i="26"/>
  <c r="IV4" i="26" s="1"/>
  <c r="HW4" i="26" a="1"/>
  <c r="HV4" i="26" a="1"/>
  <c r="HV4" i="26" s="1"/>
  <c r="IU4" i="26" s="1"/>
  <c r="HU4" i="26" a="1"/>
  <c r="HU4" i="26" s="1"/>
  <c r="IT4" i="26" s="1"/>
  <c r="HT4" i="26" a="1"/>
  <c r="HT4" i="26" s="1"/>
  <c r="IS4" i="26" s="1"/>
  <c r="HS4" i="26" a="1"/>
  <c r="HS4" i="26" s="1"/>
  <c r="IR4" i="26" s="1"/>
  <c r="HR4" i="26"/>
  <c r="HR4" i="26" a="1"/>
  <c r="HQ4" i="26"/>
  <c r="IP4" i="26" s="1"/>
  <c r="HQ4" i="26" a="1"/>
  <c r="HP4" i="26" a="1"/>
  <c r="HP4" i="26" s="1"/>
  <c r="IO4" i="26" s="1"/>
  <c r="HL4" i="26"/>
  <c r="HJ4" i="26"/>
  <c r="HH4" i="26"/>
  <c r="HI4" i="26" s="1"/>
  <c r="HB4" i="26"/>
  <c r="HA4" i="26"/>
  <c r="GZ4" i="26"/>
  <c r="GY4" i="26"/>
  <c r="GX4" i="26"/>
  <c r="GW4" i="26"/>
  <c r="GV4" i="26"/>
  <c r="GU4" i="26"/>
  <c r="GT4" i="26"/>
  <c r="HC4" i="26" s="1"/>
  <c r="GP4" i="26"/>
  <c r="GL4" i="26"/>
  <c r="GJ4" i="26"/>
  <c r="GK4" i="26" s="1"/>
  <c r="GI4" i="26"/>
  <c r="GH4" i="26"/>
  <c r="GG4" i="26"/>
  <c r="GF4" i="26"/>
  <c r="GE4" i="26"/>
  <c r="GB4" i="26"/>
  <c r="GA4" i="26"/>
  <c r="FZ4" i="26"/>
  <c r="FY4" i="26"/>
  <c r="FW4" i="26"/>
  <c r="FV4" i="26"/>
  <c r="FU4" i="26"/>
  <c r="FT4" i="26"/>
  <c r="FS4" i="26"/>
  <c r="FR4" i="26"/>
  <c r="FQ4" i="26"/>
  <c r="FP4" i="26"/>
  <c r="FJ4" i="26"/>
  <c r="FM4" i="26" s="1"/>
  <c r="FI4" i="26"/>
  <c r="FL4" i="26" s="1"/>
  <c r="FH4" i="26"/>
  <c r="FK4" i="26" s="1"/>
  <c r="FG4" i="26"/>
  <c r="FF4" i="26"/>
  <c r="FE4" i="26"/>
  <c r="FO4" i="26" s="1"/>
  <c r="FD4" i="26"/>
  <c r="FB4" i="26"/>
  <c r="FA4" i="26"/>
  <c r="EZ4" i="26"/>
  <c r="EY4" i="26"/>
  <c r="EX4" i="26"/>
  <c r="EW4" i="26"/>
  <c r="EV4" i="26"/>
  <c r="EU4" i="26"/>
  <c r="ET4" i="26"/>
  <c r="ES4" i="26"/>
  <c r="ER4" i="26"/>
  <c r="EQ4" i="26"/>
  <c r="EP4" i="26"/>
  <c r="EO4" i="26"/>
  <c r="EN4" i="26"/>
  <c r="EM4" i="26"/>
  <c r="EL4" i="26"/>
  <c r="EK4" i="26"/>
  <c r="EJ4" i="26"/>
  <c r="EI4" i="26"/>
  <c r="EH4" i="26"/>
  <c r="EG4" i="26"/>
  <c r="EF4" i="26"/>
  <c r="EE4" i="26"/>
  <c r="ED4" i="26"/>
  <c r="EC4" i="26"/>
  <c r="EB4" i="26"/>
  <c r="EA4" i="26"/>
  <c r="DU4" i="26"/>
  <c r="DT4" i="26"/>
  <c r="DS4" i="26"/>
  <c r="DR4" i="26"/>
  <c r="DQ4" i="26"/>
  <c r="DP4" i="26"/>
  <c r="DO4" i="26"/>
  <c r="DN4" i="26"/>
  <c r="DM4" i="26" a="1"/>
  <c r="DM4" i="26" s="1"/>
  <c r="DL4" i="26"/>
  <c r="DK4" i="26"/>
  <c r="DJ4" i="26"/>
  <c r="DI4" i="26"/>
  <c r="DH4" i="26"/>
  <c r="DG4" i="26"/>
  <c r="DF4" i="26"/>
  <c r="DE4" i="26"/>
  <c r="DD4" i="26"/>
  <c r="DB4" i="26"/>
  <c r="DA4" i="26"/>
  <c r="CY4" i="26"/>
  <c r="CX4" i="26"/>
  <c r="CV4" i="26"/>
  <c r="CU4" i="26"/>
  <c r="CT4" i="26"/>
  <c r="CS4" i="26"/>
  <c r="GN4" i="26" s="1"/>
  <c r="CR4" i="26"/>
  <c r="GM4" i="26" s="1"/>
  <c r="CQ4" i="26"/>
  <c r="CP4" i="26"/>
  <c r="CO4" i="26"/>
  <c r="DZ4" i="26" s="1"/>
  <c r="CN4" i="26"/>
  <c r="DY4" i="26" s="1"/>
  <c r="CM4" i="26"/>
  <c r="DX4" i="26" s="1"/>
  <c r="CL4" i="26"/>
  <c r="DW4" i="26" s="1"/>
  <c r="CJ4" i="26"/>
  <c r="CI4" i="26"/>
  <c r="CH4" i="26"/>
  <c r="CW4" i="26" s="1"/>
  <c r="CG4" i="26"/>
  <c r="CK4" i="26" s="1"/>
  <c r="CZ4" i="26" s="1"/>
  <c r="CG4" i="26" a="1"/>
  <c r="AW4" i="26"/>
  <c r="AV4" i="26"/>
  <c r="J4" i="26"/>
  <c r="G4" i="26"/>
  <c r="IS3" i="26"/>
  <c r="HX3" i="26" a="1"/>
  <c r="HX3" i="26" s="1"/>
  <c r="IW3" i="26" s="1"/>
  <c r="HW3" i="26" a="1"/>
  <c r="HW3" i="26" s="1"/>
  <c r="IV3" i="26" s="1"/>
  <c r="HV3" i="26" a="1"/>
  <c r="HV3" i="26" s="1"/>
  <c r="IU3" i="26" s="1"/>
  <c r="HU3" i="26" a="1"/>
  <c r="HU3" i="26" s="1"/>
  <c r="IT3" i="26" s="1"/>
  <c r="HT3" i="26"/>
  <c r="HT3" i="26" a="1"/>
  <c r="HS3" i="26" a="1"/>
  <c r="HS3" i="26" s="1"/>
  <c r="IR3" i="26" s="1"/>
  <c r="HR3" i="26" a="1"/>
  <c r="HR3" i="26" s="1"/>
  <c r="IQ3" i="26" s="1"/>
  <c r="HQ3" i="26" a="1"/>
  <c r="HQ3" i="26" s="1"/>
  <c r="IP3" i="26" s="1"/>
  <c r="HP3" i="26" a="1"/>
  <c r="HP3" i="26" s="1"/>
  <c r="IO3" i="26" s="1"/>
  <c r="HL3" i="26"/>
  <c r="HJ3" i="26"/>
  <c r="HH3" i="26"/>
  <c r="HB3" i="26"/>
  <c r="HA3" i="26"/>
  <c r="GZ3" i="26"/>
  <c r="GY3" i="26"/>
  <c r="GX3" i="26"/>
  <c r="GW3" i="26"/>
  <c r="GV3" i="26"/>
  <c r="GU3" i="26"/>
  <c r="GT3" i="26"/>
  <c r="HC3" i="26" s="1"/>
  <c r="GP3" i="26"/>
  <c r="GL3" i="26"/>
  <c r="GI3" i="26"/>
  <c r="GH3" i="26"/>
  <c r="GG3" i="26"/>
  <c r="GF3" i="26"/>
  <c r="GE3" i="26"/>
  <c r="GB3" i="26"/>
  <c r="GA3" i="26"/>
  <c r="FZ3" i="26"/>
  <c r="FY3" i="26"/>
  <c r="FW3" i="26"/>
  <c r="FV3" i="26"/>
  <c r="FU3" i="26"/>
  <c r="FT3" i="26"/>
  <c r="FS3" i="26"/>
  <c r="FR3" i="26"/>
  <c r="FQ3" i="26"/>
  <c r="FP3" i="26"/>
  <c r="FO3" i="26"/>
  <c r="FN3" i="26"/>
  <c r="FL3" i="26"/>
  <c r="FK3" i="26"/>
  <c r="FJ3" i="26"/>
  <c r="FM3" i="26" s="1"/>
  <c r="FI3" i="26"/>
  <c r="FH3" i="26"/>
  <c r="FG3" i="26"/>
  <c r="FF3" i="26"/>
  <c r="FE3" i="26"/>
  <c r="FD3" i="26"/>
  <c r="FB3" i="26"/>
  <c r="FA3" i="26"/>
  <c r="EZ3" i="26"/>
  <c r="EY3" i="26"/>
  <c r="EX3" i="26"/>
  <c r="EW3" i="26"/>
  <c r="EV3" i="26"/>
  <c r="EU3" i="26"/>
  <c r="ET3" i="26"/>
  <c r="ES3" i="26"/>
  <c r="ER3" i="26"/>
  <c r="EQ3" i="26"/>
  <c r="EP3" i="26"/>
  <c r="EO3" i="26"/>
  <c r="EN3" i="26"/>
  <c r="EM3" i="26"/>
  <c r="EL3" i="26"/>
  <c r="EK3" i="26"/>
  <c r="EJ3" i="26"/>
  <c r="EI3" i="26"/>
  <c r="EH3" i="26"/>
  <c r="EG3" i="26"/>
  <c r="EF3" i="26"/>
  <c r="EE3" i="26"/>
  <c r="ED3" i="26"/>
  <c r="EC3" i="26"/>
  <c r="EB3" i="26"/>
  <c r="EA3" i="26"/>
  <c r="DU3" i="26"/>
  <c r="DT3" i="26"/>
  <c r="DS3" i="26"/>
  <c r="DR3" i="26"/>
  <c r="DQ3" i="26"/>
  <c r="DP3" i="26"/>
  <c r="DO3" i="26"/>
  <c r="DN3" i="26"/>
  <c r="DK3" i="26"/>
  <c r="DJ3" i="26"/>
  <c r="DI3" i="26"/>
  <c r="DH3" i="26"/>
  <c r="DG3" i="26"/>
  <c r="DF3" i="26"/>
  <c r="DE3" i="26"/>
  <c r="DD3" i="26"/>
  <c r="DB3" i="26"/>
  <c r="DA3" i="26"/>
  <c r="CV3" i="26"/>
  <c r="CU3" i="26"/>
  <c r="CT3" i="26"/>
  <c r="CS3" i="26"/>
  <c r="GN3" i="26" s="1"/>
  <c r="CR3" i="26"/>
  <c r="GM3" i="26" s="1"/>
  <c r="CQ3" i="26"/>
  <c r="CP3" i="26"/>
  <c r="GJ3" i="26" s="1"/>
  <c r="GK3" i="26" s="1"/>
  <c r="CO3" i="26"/>
  <c r="DZ3" i="26" s="1"/>
  <c r="CN3" i="26"/>
  <c r="DY3" i="26" s="1"/>
  <c r="CM3" i="26"/>
  <c r="DX3" i="26" s="1"/>
  <c r="CL3" i="26"/>
  <c r="DW3" i="26" s="1"/>
  <c r="CG3" i="26" a="1"/>
  <c r="CG3" i="26" s="1"/>
  <c r="AW3" i="26"/>
  <c r="AV3" i="26"/>
  <c r="J3" i="26"/>
  <c r="HI3" i="26" s="1"/>
  <c r="G3" i="26"/>
  <c r="IQ3" i="54"/>
  <c r="IN3" i="54"/>
  <c r="IX3" i="54" s="1"/>
  <c r="IM3" i="54"/>
  <c r="HX3" i="54"/>
  <c r="IW3" i="54" s="1"/>
  <c r="HX3" i="54" a="1"/>
  <c r="HW3" i="54" a="1"/>
  <c r="HW3" i="54" s="1"/>
  <c r="IV3" i="54" s="1"/>
  <c r="HV3" i="54" a="1"/>
  <c r="HV3" i="54" s="1"/>
  <c r="IU3" i="54" s="1"/>
  <c r="HU3" i="54" a="1"/>
  <c r="HU3" i="54" s="1"/>
  <c r="IT3" i="54" s="1"/>
  <c r="HT3" i="54" a="1"/>
  <c r="HT3" i="54" s="1"/>
  <c r="IS3" i="54" s="1"/>
  <c r="HS3" i="54" a="1"/>
  <c r="HS3" i="54" s="1"/>
  <c r="IR3" i="54" s="1"/>
  <c r="HR3" i="54"/>
  <c r="HR3" i="54" a="1"/>
  <c r="HQ3" i="54" a="1"/>
  <c r="HQ3" i="54" s="1"/>
  <c r="IP3" i="54" s="1"/>
  <c r="HP3" i="54" a="1"/>
  <c r="HP3" i="54" s="1"/>
  <c r="HL3" i="54"/>
  <c r="HJ3" i="54"/>
  <c r="HH3" i="54"/>
  <c r="HI3" i="54" s="1"/>
  <c r="HB3" i="54"/>
  <c r="HA3" i="54"/>
  <c r="GZ3" i="54"/>
  <c r="GY3" i="54"/>
  <c r="GX3" i="54"/>
  <c r="GW3" i="54"/>
  <c r="GV3" i="54"/>
  <c r="GU3" i="54"/>
  <c r="GT3" i="54"/>
  <c r="HC3" i="54" s="1"/>
  <c r="GP3" i="54"/>
  <c r="GN3" i="54"/>
  <c r="GM3" i="54"/>
  <c r="GL3" i="54"/>
  <c r="GJ3" i="54"/>
  <c r="GK3" i="54" s="1"/>
  <c r="GI3" i="54"/>
  <c r="GH3" i="54"/>
  <c r="GG3" i="54"/>
  <c r="GF3" i="54"/>
  <c r="GE3" i="54"/>
  <c r="GB3" i="54"/>
  <c r="GA3" i="54"/>
  <c r="FZ3" i="54"/>
  <c r="FY3" i="54"/>
  <c r="FW3" i="54"/>
  <c r="FV3" i="54"/>
  <c r="FU3" i="54"/>
  <c r="FT3" i="54"/>
  <c r="FS3" i="54"/>
  <c r="FR3" i="54"/>
  <c r="FQ3" i="54"/>
  <c r="FP3" i="54"/>
  <c r="FJ3" i="54"/>
  <c r="FM3" i="54" s="1"/>
  <c r="FI3" i="54"/>
  <c r="FL3" i="54" s="1"/>
  <c r="FH3" i="54"/>
  <c r="FK3" i="54" s="1"/>
  <c r="FG3" i="54"/>
  <c r="FF3" i="54"/>
  <c r="FE3" i="54"/>
  <c r="FO3" i="54" s="1"/>
  <c r="FD3" i="54"/>
  <c r="FB3" i="54"/>
  <c r="FA3" i="54"/>
  <c r="EZ3" i="54"/>
  <c r="EY3" i="54"/>
  <c r="EX3" i="54"/>
  <c r="EW3" i="54"/>
  <c r="EV3" i="54"/>
  <c r="EU3" i="54"/>
  <c r="ET3" i="54"/>
  <c r="ES3" i="54"/>
  <c r="ER3" i="54"/>
  <c r="EQ3" i="54"/>
  <c r="EP3" i="54"/>
  <c r="EO3" i="54"/>
  <c r="EN3" i="54"/>
  <c r="EM3" i="54"/>
  <c r="EL3" i="54"/>
  <c r="EK3" i="54"/>
  <c r="EJ3" i="54"/>
  <c r="EI3" i="54"/>
  <c r="EH3" i="54"/>
  <c r="EG3" i="54"/>
  <c r="EF3" i="54"/>
  <c r="EE3" i="54"/>
  <c r="ED3" i="54"/>
  <c r="EC3" i="54"/>
  <c r="EB3" i="54"/>
  <c r="EA3" i="54"/>
  <c r="DU3" i="54"/>
  <c r="DT3" i="54"/>
  <c r="DS3" i="54"/>
  <c r="DR3" i="54"/>
  <c r="DQ3" i="54"/>
  <c r="DP3" i="54"/>
  <c r="DO3" i="54"/>
  <c r="DN3" i="54"/>
  <c r="DL3" i="54"/>
  <c r="DK3" i="54"/>
  <c r="DJ3" i="54"/>
  <c r="DI3" i="54"/>
  <c r="DH3" i="54"/>
  <c r="DG3" i="54"/>
  <c r="DF3" i="54"/>
  <c r="DE3" i="54"/>
  <c r="DD3" i="54"/>
  <c r="DB3" i="54"/>
  <c r="DA3" i="54"/>
  <c r="CV3" i="54"/>
  <c r="CU3" i="54"/>
  <c r="CT3" i="54"/>
  <c r="CS3" i="54"/>
  <c r="CR3" i="54"/>
  <c r="CQ3" i="54"/>
  <c r="CP3" i="54"/>
  <c r="CO3" i="54"/>
  <c r="DZ3" i="54" s="1"/>
  <c r="CN3" i="54"/>
  <c r="DY3" i="54" s="1"/>
  <c r="CM3" i="54"/>
  <c r="DX3" i="54" s="1"/>
  <c r="CL3" i="54"/>
  <c r="DW3" i="54" s="1"/>
  <c r="CK3" i="54"/>
  <c r="CZ3" i="54" s="1"/>
  <c r="CJ3" i="54"/>
  <c r="CY3" i="54" s="1"/>
  <c r="CI3" i="54"/>
  <c r="CX3" i="54" s="1"/>
  <c r="CH3" i="54"/>
  <c r="CW3" i="54" s="1"/>
  <c r="CG3" i="54"/>
  <c r="CG3" i="54" a="1"/>
  <c r="AW3" i="54"/>
  <c r="AV3" i="54"/>
  <c r="J3" i="54"/>
  <c r="G3" i="54"/>
  <c r="IL2" i="54"/>
  <c r="HX2" i="54" a="1"/>
  <c r="HX2" i="54" s="1"/>
  <c r="IW2" i="54" s="1"/>
  <c r="HW2" i="54" a="1"/>
  <c r="HW2" i="54" s="1"/>
  <c r="IV2" i="54" s="1"/>
  <c r="HV2" i="54" a="1"/>
  <c r="HV2" i="54" s="1"/>
  <c r="IU2" i="54" s="1"/>
  <c r="HU2" i="54" a="1"/>
  <c r="HU2" i="54" s="1"/>
  <c r="IT2" i="54" s="1"/>
  <c r="HT2" i="54" a="1"/>
  <c r="HT2" i="54" s="1"/>
  <c r="IS2" i="54" s="1"/>
  <c r="HS2" i="54"/>
  <c r="IR2" i="54" s="1"/>
  <c r="HS2" i="54" a="1"/>
  <c r="HR2" i="54" a="1"/>
  <c r="HR2" i="54" s="1"/>
  <c r="IQ2" i="54" s="1"/>
  <c r="HQ2" i="54" a="1"/>
  <c r="HQ2" i="54" s="1"/>
  <c r="IP2" i="54" s="1"/>
  <c r="HP2" i="54" a="1"/>
  <c r="HP2" i="54" s="1"/>
  <c r="IO2" i="54" s="1"/>
  <c r="HL2" i="54"/>
  <c r="HJ2" i="54"/>
  <c r="HI2" i="54"/>
  <c r="HH2" i="54"/>
  <c r="HB2" i="54"/>
  <c r="HA2" i="54"/>
  <c r="GZ2" i="54"/>
  <c r="GY2" i="54"/>
  <c r="GX2" i="54"/>
  <c r="GW2" i="54"/>
  <c r="GV2" i="54"/>
  <c r="GU2" i="54"/>
  <c r="HC2" i="54" s="1"/>
  <c r="GT2" i="54"/>
  <c r="GP2" i="54"/>
  <c r="GI2" i="54"/>
  <c r="GH2" i="54"/>
  <c r="GG2" i="54"/>
  <c r="GF2" i="54"/>
  <c r="GE2" i="54"/>
  <c r="GD2" i="54"/>
  <c r="GC2" i="54"/>
  <c r="GB2" i="54"/>
  <c r="GA2" i="54"/>
  <c r="FZ2" i="54"/>
  <c r="FY2" i="54"/>
  <c r="FX2" i="54"/>
  <c r="FW2" i="54"/>
  <c r="FV2" i="54"/>
  <c r="FU2" i="54"/>
  <c r="FT2" i="54"/>
  <c r="FS2" i="54"/>
  <c r="FR2" i="54"/>
  <c r="FQ2" i="54"/>
  <c r="FP2" i="54"/>
  <c r="FO2" i="54"/>
  <c r="FN2" i="54"/>
  <c r="FJ2" i="54"/>
  <c r="FM2" i="54" s="1"/>
  <c r="FI2" i="54"/>
  <c r="FL2" i="54" s="1"/>
  <c r="FH2" i="54"/>
  <c r="FK2" i="54" s="1"/>
  <c r="FG2" i="54"/>
  <c r="FF2" i="54"/>
  <c r="FE2" i="54"/>
  <c r="FD2" i="54"/>
  <c r="FC2" i="54"/>
  <c r="FB2" i="54"/>
  <c r="FA2" i="54"/>
  <c r="EZ2" i="54"/>
  <c r="EY2" i="54"/>
  <c r="EX2" i="54"/>
  <c r="EW2" i="54"/>
  <c r="EV2" i="54"/>
  <c r="EU2" i="54"/>
  <c r="ET2" i="54"/>
  <c r="ES2" i="54"/>
  <c r="ER2" i="54"/>
  <c r="EQ2" i="54"/>
  <c r="EP2" i="54"/>
  <c r="EO2" i="54"/>
  <c r="EN2" i="54"/>
  <c r="EM2" i="54"/>
  <c r="EL2" i="54"/>
  <c r="EK2" i="54"/>
  <c r="EJ2" i="54"/>
  <c r="EI2" i="54"/>
  <c r="EH2" i="54"/>
  <c r="EG2" i="54"/>
  <c r="EF2" i="54"/>
  <c r="EE2" i="54"/>
  <c r="ED2" i="54"/>
  <c r="EC2" i="54"/>
  <c r="EB2" i="54"/>
  <c r="EA2" i="54"/>
  <c r="DY2" i="54"/>
  <c r="DX2" i="54"/>
  <c r="DW2" i="54"/>
  <c r="DV2" i="54"/>
  <c r="DU2" i="54"/>
  <c r="DT2" i="54"/>
  <c r="DS2" i="54"/>
  <c r="DR2" i="54"/>
  <c r="DQ2" i="54"/>
  <c r="DP2" i="54"/>
  <c r="DO2" i="54"/>
  <c r="DN2" i="54"/>
  <c r="DK2" i="54"/>
  <c r="DJ2" i="54"/>
  <c r="DI2" i="54"/>
  <c r="DH2" i="54"/>
  <c r="DG2" i="54"/>
  <c r="DF2" i="54"/>
  <c r="DE2" i="54"/>
  <c r="DD2" i="54"/>
  <c r="DC2" i="54"/>
  <c r="DB2" i="54"/>
  <c r="DA2" i="54"/>
  <c r="CV2" i="54"/>
  <c r="CU2" i="54"/>
  <c r="CT2" i="54"/>
  <c r="CS2" i="54"/>
  <c r="GN2" i="54" s="1"/>
  <c r="CR2" i="54"/>
  <c r="GM2" i="54" s="1"/>
  <c r="CQ2" i="54"/>
  <c r="GL2" i="54" s="1"/>
  <c r="CP2" i="54"/>
  <c r="GJ2" i="54" s="1"/>
  <c r="GK2" i="54" s="1"/>
  <c r="CO2" i="54"/>
  <c r="DZ2" i="54" s="1"/>
  <c r="CN2" i="54"/>
  <c r="CM2" i="54"/>
  <c r="CL2" i="54"/>
  <c r="CG2" i="54" a="1"/>
  <c r="CG2" i="54" s="1"/>
  <c r="AW2" i="54"/>
  <c r="AV2" i="54"/>
  <c r="AX2" i="54" s="1"/>
  <c r="J2" i="54"/>
  <c r="G2" i="54"/>
  <c r="IO2" i="56"/>
  <c r="IL2" i="56"/>
  <c r="HX2" i="56" a="1"/>
  <c r="HX2" i="56" s="1"/>
  <c r="IW2" i="56" s="1"/>
  <c r="HW2" i="56" a="1"/>
  <c r="HW2" i="56" s="1"/>
  <c r="IV2" i="56" s="1"/>
  <c r="HV2" i="56"/>
  <c r="IU2" i="56" s="1"/>
  <c r="HV2" i="56" a="1"/>
  <c r="HU2" i="56" a="1"/>
  <c r="HU2" i="56" s="1"/>
  <c r="IT2" i="56" s="1"/>
  <c r="HT2" i="56" a="1"/>
  <c r="HT2" i="56" s="1"/>
  <c r="IS2" i="56" s="1"/>
  <c r="HS2" i="56"/>
  <c r="IR2" i="56" s="1"/>
  <c r="HS2" i="56" a="1"/>
  <c r="HR2" i="56" a="1"/>
  <c r="HR2" i="56" s="1"/>
  <c r="IQ2" i="56" s="1"/>
  <c r="HQ2" i="56" a="1"/>
  <c r="HQ2" i="56" s="1"/>
  <c r="IP2" i="56" s="1"/>
  <c r="HP2" i="56"/>
  <c r="HP2" i="56" a="1"/>
  <c r="HL2" i="56"/>
  <c r="HJ2" i="56"/>
  <c r="HI2" i="56"/>
  <c r="HH2" i="56"/>
  <c r="HB2" i="56"/>
  <c r="HA2" i="56"/>
  <c r="GZ2" i="56"/>
  <c r="GY2" i="56"/>
  <c r="GX2" i="56"/>
  <c r="GW2" i="56"/>
  <c r="GV2" i="56"/>
  <c r="GU2" i="56"/>
  <c r="GT2" i="56"/>
  <c r="HC2" i="56" s="1"/>
  <c r="GP2" i="56"/>
  <c r="GJ2" i="56"/>
  <c r="GK2" i="56" s="1"/>
  <c r="GI2" i="56"/>
  <c r="GH2" i="56"/>
  <c r="GG2" i="56"/>
  <c r="GF2" i="56"/>
  <c r="GE2" i="56"/>
  <c r="GD2" i="56"/>
  <c r="GC2" i="56"/>
  <c r="GB2" i="56"/>
  <c r="GA2" i="56"/>
  <c r="FZ2" i="56"/>
  <c r="FY2" i="56"/>
  <c r="FW2" i="56"/>
  <c r="FV2" i="56"/>
  <c r="FU2" i="56"/>
  <c r="FT2" i="56"/>
  <c r="FS2" i="56"/>
  <c r="FR2" i="56"/>
  <c r="FQ2" i="56"/>
  <c r="FP2" i="56"/>
  <c r="FJ2" i="56"/>
  <c r="FM2" i="56" s="1"/>
  <c r="FI2" i="56"/>
  <c r="FL2" i="56" s="1"/>
  <c r="FH2" i="56"/>
  <c r="FK2" i="56" s="1"/>
  <c r="FG2" i="56"/>
  <c r="FF2" i="56"/>
  <c r="FN2" i="56" s="1"/>
  <c r="FE2" i="56"/>
  <c r="FO2" i="56" s="1"/>
  <c r="FD2" i="56"/>
  <c r="FB2" i="56"/>
  <c r="FA2" i="56"/>
  <c r="EZ2" i="56"/>
  <c r="EY2" i="56"/>
  <c r="EX2" i="56"/>
  <c r="EW2" i="56"/>
  <c r="EV2" i="56"/>
  <c r="EU2" i="56"/>
  <c r="ET2" i="56"/>
  <c r="ES2" i="56"/>
  <c r="ER2" i="56"/>
  <c r="EQ2" i="56"/>
  <c r="EP2" i="56"/>
  <c r="EO2" i="56"/>
  <c r="EN2" i="56"/>
  <c r="EM2" i="56"/>
  <c r="EL2" i="56"/>
  <c r="EK2" i="56"/>
  <c r="EJ2" i="56"/>
  <c r="EI2" i="56"/>
  <c r="EH2" i="56"/>
  <c r="EG2" i="56"/>
  <c r="EF2" i="56"/>
  <c r="EE2" i="56"/>
  <c r="ED2" i="56"/>
  <c r="EC2" i="56"/>
  <c r="EB2" i="56"/>
  <c r="EA2" i="56"/>
  <c r="DU2" i="56"/>
  <c r="DT2" i="56"/>
  <c r="DS2" i="56"/>
  <c r="DR2" i="56"/>
  <c r="DQ2" i="56"/>
  <c r="DP2" i="56"/>
  <c r="DO2" i="56"/>
  <c r="DN2" i="56"/>
  <c r="DK2" i="56"/>
  <c r="DJ2" i="56"/>
  <c r="DI2" i="56"/>
  <c r="DH2" i="56"/>
  <c r="DG2" i="56"/>
  <c r="DF2" i="56"/>
  <c r="DE2" i="56"/>
  <c r="DD2" i="56"/>
  <c r="DB2" i="56"/>
  <c r="DA2" i="56"/>
  <c r="CV2" i="56"/>
  <c r="CU2" i="56"/>
  <c r="CT2" i="56"/>
  <c r="CS2" i="56"/>
  <c r="GN2" i="56" s="1"/>
  <c r="CR2" i="56"/>
  <c r="GM2" i="56" s="1"/>
  <c r="CQ2" i="56"/>
  <c r="GL2" i="56" s="1"/>
  <c r="CP2" i="56"/>
  <c r="CO2" i="56"/>
  <c r="DZ2" i="56" s="1"/>
  <c r="CN2" i="56"/>
  <c r="DY2" i="56" s="1"/>
  <c r="CM2" i="56"/>
  <c r="DX2" i="56" s="1"/>
  <c r="CL2" i="56"/>
  <c r="DW2" i="56" s="1"/>
  <c r="CG2" i="56" a="1"/>
  <c r="CG2" i="56" s="1"/>
  <c r="AW2" i="56"/>
  <c r="AV2" i="56"/>
  <c r="J2" i="56"/>
  <c r="G2" i="56"/>
  <c r="HX3" i="56" a="1"/>
  <c r="HX3" i="56" s="1"/>
  <c r="IW3" i="56" s="1"/>
  <c r="HW3" i="56" a="1"/>
  <c r="HW3" i="56" s="1"/>
  <c r="IV3" i="56" s="1"/>
  <c r="HV3" i="56" a="1"/>
  <c r="HV3" i="56" s="1"/>
  <c r="IU3" i="56" s="1"/>
  <c r="HU3" i="56" a="1"/>
  <c r="HU3" i="56" s="1"/>
  <c r="IT3" i="56" s="1"/>
  <c r="HT3" i="56" a="1"/>
  <c r="HT3" i="56" s="1"/>
  <c r="IS3" i="56" s="1"/>
  <c r="HS3" i="56" a="1"/>
  <c r="HS3" i="56" s="1"/>
  <c r="IR3" i="56" s="1"/>
  <c r="HR3" i="56" a="1"/>
  <c r="HR3" i="56" s="1"/>
  <c r="IQ3" i="56" s="1"/>
  <c r="HQ3" i="56" a="1"/>
  <c r="HQ3" i="56" s="1"/>
  <c r="IP3" i="56" s="1"/>
  <c r="HP3" i="56" a="1"/>
  <c r="HP3" i="56" s="1"/>
  <c r="IO3" i="56" s="1"/>
  <c r="HL3" i="56"/>
  <c r="HJ3" i="56"/>
  <c r="HH3" i="56"/>
  <c r="HI3" i="56" s="1"/>
  <c r="HB3" i="56"/>
  <c r="HA3" i="56"/>
  <c r="GZ3" i="56"/>
  <c r="GY3" i="56"/>
  <c r="GX3" i="56"/>
  <c r="GW3" i="56"/>
  <c r="GV3" i="56"/>
  <c r="GU3" i="56"/>
  <c r="GT3" i="56"/>
  <c r="HC3" i="56" s="1"/>
  <c r="GP3" i="56"/>
  <c r="GM3" i="56"/>
  <c r="GL3" i="56"/>
  <c r="GJ3" i="56"/>
  <c r="GK3" i="56" s="1"/>
  <c r="GI3" i="56"/>
  <c r="GH3" i="56"/>
  <c r="GG3" i="56"/>
  <c r="GF3" i="56"/>
  <c r="GE3" i="56"/>
  <c r="GB3" i="56"/>
  <c r="GA3" i="56"/>
  <c r="FZ3" i="56"/>
  <c r="FY3" i="56"/>
  <c r="FW3" i="56"/>
  <c r="FV3" i="56"/>
  <c r="FU3" i="56"/>
  <c r="FT3" i="56"/>
  <c r="FS3" i="56"/>
  <c r="FR3" i="56"/>
  <c r="FQ3" i="56"/>
  <c r="FP3" i="56"/>
  <c r="FJ3" i="56"/>
  <c r="FM3" i="56" s="1"/>
  <c r="FI3" i="56"/>
  <c r="FL3" i="56" s="1"/>
  <c r="FH3" i="56"/>
  <c r="FK3" i="56" s="1"/>
  <c r="FG3" i="56"/>
  <c r="FF3" i="56"/>
  <c r="FE3" i="56"/>
  <c r="FO3" i="56" s="1"/>
  <c r="FD3" i="56"/>
  <c r="FB3" i="56"/>
  <c r="FA3" i="56"/>
  <c r="EZ3" i="56"/>
  <c r="EY3" i="56"/>
  <c r="EX3" i="56"/>
  <c r="EW3" i="56"/>
  <c r="EV3" i="56"/>
  <c r="EU3" i="56"/>
  <c r="ET3" i="56"/>
  <c r="ES3" i="56"/>
  <c r="ER3" i="56"/>
  <c r="EQ3" i="56"/>
  <c r="EP3" i="56"/>
  <c r="EO3" i="56"/>
  <c r="EN3" i="56"/>
  <c r="EM3" i="56"/>
  <c r="EL3" i="56"/>
  <c r="EK3" i="56"/>
  <c r="EJ3" i="56"/>
  <c r="EI3" i="56"/>
  <c r="EH3" i="56"/>
  <c r="EG3" i="56"/>
  <c r="EF3" i="56"/>
  <c r="EE3" i="56"/>
  <c r="ED3" i="56"/>
  <c r="EC3" i="56"/>
  <c r="EB3" i="56"/>
  <c r="EA3" i="56"/>
  <c r="DU3" i="56"/>
  <c r="DT3" i="56"/>
  <c r="DS3" i="56"/>
  <c r="DR3" i="56"/>
  <c r="DQ3" i="56"/>
  <c r="DP3" i="56"/>
  <c r="DO3" i="56"/>
  <c r="DN3" i="56"/>
  <c r="DK3" i="56"/>
  <c r="DJ3" i="56"/>
  <c r="DI3" i="56"/>
  <c r="DH3" i="56"/>
  <c r="DG3" i="56"/>
  <c r="DF3" i="56"/>
  <c r="DE3" i="56"/>
  <c r="DD3" i="56"/>
  <c r="CV3" i="56"/>
  <c r="CU3" i="56"/>
  <c r="CT3" i="56"/>
  <c r="CS3" i="56"/>
  <c r="GN3" i="56" s="1"/>
  <c r="CR3" i="56"/>
  <c r="CQ3" i="56"/>
  <c r="CP3" i="56"/>
  <c r="CO3" i="56"/>
  <c r="DZ3" i="56" s="1"/>
  <c r="CN3" i="56"/>
  <c r="DY3" i="56" s="1"/>
  <c r="CM3" i="56"/>
  <c r="DX3" i="56" s="1"/>
  <c r="CL3" i="56"/>
  <c r="DW3" i="56" s="1"/>
  <c r="CG3" i="56" a="1"/>
  <c r="CG3" i="56" s="1"/>
  <c r="AW3" i="56"/>
  <c r="AV3" i="56"/>
  <c r="Q3" i="56"/>
  <c r="DB3" i="56" s="1"/>
  <c r="J3" i="56"/>
  <c r="G3" i="56"/>
  <c r="IW2" i="53"/>
  <c r="IQ2" i="53"/>
  <c r="IL2" i="53"/>
  <c r="HX2" i="53"/>
  <c r="HX2" i="53" a="1"/>
  <c r="HW2" i="53" a="1"/>
  <c r="HW2" i="53" s="1"/>
  <c r="IV2" i="53" s="1"/>
  <c r="HV2" i="53" a="1"/>
  <c r="HV2" i="53" s="1"/>
  <c r="IU2" i="53" s="1"/>
  <c r="HU2" i="53" a="1"/>
  <c r="HU2" i="53" s="1"/>
  <c r="IT2" i="53" s="1"/>
  <c r="HT2" i="53" a="1"/>
  <c r="HT2" i="53" s="1"/>
  <c r="IS2" i="53" s="1"/>
  <c r="HS2" i="53"/>
  <c r="IR2" i="53" s="1"/>
  <c r="HS2" i="53" a="1"/>
  <c r="HR2" i="53"/>
  <c r="HR2" i="53" a="1"/>
  <c r="HQ2" i="53" a="1"/>
  <c r="HQ2" i="53" s="1"/>
  <c r="IP2" i="53" s="1"/>
  <c r="HP2" i="53" a="1"/>
  <c r="HP2" i="53" s="1"/>
  <c r="IO2" i="53" s="1"/>
  <c r="HL2" i="53"/>
  <c r="HJ2" i="53"/>
  <c r="HI2" i="53"/>
  <c r="HH2" i="53"/>
  <c r="HB2" i="53"/>
  <c r="HA2" i="53"/>
  <c r="GZ2" i="53"/>
  <c r="GY2" i="53"/>
  <c r="GX2" i="53"/>
  <c r="GW2" i="53"/>
  <c r="GV2" i="53"/>
  <c r="GU2" i="53"/>
  <c r="HC2" i="53" s="1"/>
  <c r="GT2" i="53"/>
  <c r="GP2" i="53"/>
  <c r="GI2" i="53"/>
  <c r="GH2" i="53"/>
  <c r="GG2" i="53"/>
  <c r="GF2" i="53"/>
  <c r="GE2" i="53"/>
  <c r="GD2" i="53"/>
  <c r="GC2" i="53"/>
  <c r="GB2" i="53"/>
  <c r="GA2" i="53"/>
  <c r="FZ2" i="53"/>
  <c r="FY2" i="53"/>
  <c r="FX2" i="53"/>
  <c r="FW2" i="53"/>
  <c r="FV2" i="53"/>
  <c r="FU2" i="53"/>
  <c r="FT2" i="53"/>
  <c r="FS2" i="53"/>
  <c r="FR2" i="53"/>
  <c r="FQ2" i="53"/>
  <c r="FO2" i="53"/>
  <c r="FN2" i="53"/>
  <c r="FJ2" i="53"/>
  <c r="FM2" i="53" s="1"/>
  <c r="FI2" i="53"/>
  <c r="FL2" i="53" s="1"/>
  <c r="FH2" i="53"/>
  <c r="FK2" i="53" s="1"/>
  <c r="FG2" i="53"/>
  <c r="FF2" i="53"/>
  <c r="FP2" i="53" s="1"/>
  <c r="FE2" i="53"/>
  <c r="FD2" i="53"/>
  <c r="FC2" i="53"/>
  <c r="FB2" i="53"/>
  <c r="FA2" i="53"/>
  <c r="EZ2" i="53"/>
  <c r="EY2" i="53"/>
  <c r="EX2" i="53"/>
  <c r="EW2" i="53"/>
  <c r="EV2" i="53"/>
  <c r="EU2" i="53"/>
  <c r="ET2" i="53"/>
  <c r="ES2" i="53"/>
  <c r="ER2" i="53"/>
  <c r="EQ2" i="53"/>
  <c r="EP2" i="53"/>
  <c r="EO2" i="53"/>
  <c r="EN2" i="53"/>
  <c r="EM2" i="53"/>
  <c r="EL2" i="53"/>
  <c r="EK2" i="53"/>
  <c r="EJ2" i="53"/>
  <c r="EI2" i="53"/>
  <c r="EH2" i="53"/>
  <c r="EG2" i="53"/>
  <c r="EF2" i="53"/>
  <c r="EE2" i="53"/>
  <c r="ED2" i="53"/>
  <c r="EC2" i="53"/>
  <c r="EB2" i="53"/>
  <c r="EA2" i="53"/>
  <c r="DY2" i="53"/>
  <c r="DX2" i="53"/>
  <c r="DW2" i="53"/>
  <c r="DV2" i="53"/>
  <c r="DU2" i="53"/>
  <c r="DT2" i="53"/>
  <c r="DS2" i="53"/>
  <c r="DR2" i="53"/>
  <c r="DQ2" i="53"/>
  <c r="DP2" i="53"/>
  <c r="DO2" i="53"/>
  <c r="DN2" i="53"/>
  <c r="DK2" i="53"/>
  <c r="DJ2" i="53"/>
  <c r="DI2" i="53"/>
  <c r="DH2" i="53"/>
  <c r="DG2" i="53"/>
  <c r="DF2" i="53"/>
  <c r="DE2" i="53"/>
  <c r="DD2" i="53"/>
  <c r="DC2" i="53"/>
  <c r="DB2" i="53"/>
  <c r="DA2" i="53"/>
  <c r="CV2" i="53"/>
  <c r="CU2" i="53"/>
  <c r="CT2" i="53"/>
  <c r="CS2" i="53"/>
  <c r="GN2" i="53" s="1"/>
  <c r="CR2" i="53"/>
  <c r="GM2" i="53" s="1"/>
  <c r="CQ2" i="53"/>
  <c r="GL2" i="53" s="1"/>
  <c r="CP2" i="53"/>
  <c r="GJ2" i="53" s="1"/>
  <c r="GK2" i="53" s="1"/>
  <c r="CO2" i="53"/>
  <c r="DZ2" i="53" s="1"/>
  <c r="CN2" i="53"/>
  <c r="CM2" i="53"/>
  <c r="CL2" i="53"/>
  <c r="CG2" i="53" a="1"/>
  <c r="CG2" i="53" s="1"/>
  <c r="AW2" i="53"/>
  <c r="AV2" i="53"/>
  <c r="AX2" i="53" s="1"/>
  <c r="J2" i="53"/>
  <c r="G2" i="53"/>
  <c r="IL6" i="53"/>
  <c r="HX6" i="53" a="1"/>
  <c r="HX6" i="53" s="1"/>
  <c r="IW6" i="53" s="1"/>
  <c r="HW6" i="53" a="1"/>
  <c r="HW6" i="53" s="1"/>
  <c r="IV6" i="53" s="1"/>
  <c r="HV6" i="53" a="1"/>
  <c r="HV6" i="53" s="1"/>
  <c r="IU6" i="53" s="1"/>
  <c r="HU6" i="53" a="1"/>
  <c r="HU6" i="53" s="1"/>
  <c r="IT6" i="53" s="1"/>
  <c r="HT6" i="53" a="1"/>
  <c r="HT6" i="53" s="1"/>
  <c r="IS6" i="53" s="1"/>
  <c r="HS6" i="53"/>
  <c r="IR6" i="53" s="1"/>
  <c r="HS6" i="53" a="1"/>
  <c r="HR6" i="53" a="1"/>
  <c r="HR6" i="53" s="1"/>
  <c r="IQ6" i="53" s="1"/>
  <c r="HQ6" i="53" a="1"/>
  <c r="HQ6" i="53" s="1"/>
  <c r="IP6" i="53" s="1"/>
  <c r="HP6" i="53" a="1"/>
  <c r="HP6" i="53" s="1"/>
  <c r="IO6" i="53" s="1"/>
  <c r="HL6" i="53"/>
  <c r="HJ6" i="53"/>
  <c r="HH6" i="53"/>
  <c r="HB6" i="53"/>
  <c r="HA6" i="53"/>
  <c r="GZ6" i="53"/>
  <c r="GY6" i="53"/>
  <c r="GX6" i="53"/>
  <c r="GW6" i="53"/>
  <c r="GV6" i="53"/>
  <c r="GU6" i="53"/>
  <c r="GT6" i="53"/>
  <c r="HC6" i="53" s="1"/>
  <c r="GP6" i="53"/>
  <c r="GI6" i="53"/>
  <c r="GH6" i="53"/>
  <c r="GG6" i="53"/>
  <c r="GF6" i="53"/>
  <c r="GE6" i="53"/>
  <c r="GD6" i="53"/>
  <c r="GC6" i="53"/>
  <c r="GB6" i="53"/>
  <c r="GA6" i="53"/>
  <c r="FZ6" i="53"/>
  <c r="FY6" i="53"/>
  <c r="FX6" i="53"/>
  <c r="FW6" i="53"/>
  <c r="FV6" i="53"/>
  <c r="FU6" i="53"/>
  <c r="FT6" i="53"/>
  <c r="FS6" i="53"/>
  <c r="FR6" i="53"/>
  <c r="FQ6" i="53"/>
  <c r="FO6" i="53"/>
  <c r="FN6" i="53"/>
  <c r="FJ6" i="53"/>
  <c r="FM6" i="53" s="1"/>
  <c r="FI6" i="53"/>
  <c r="FL6" i="53" s="1"/>
  <c r="FH6" i="53"/>
  <c r="FK6" i="53" s="1"/>
  <c r="FG6" i="53"/>
  <c r="FF6" i="53"/>
  <c r="FP6" i="53" s="1"/>
  <c r="FE6" i="53"/>
  <c r="FD6" i="53"/>
  <c r="FC6" i="53"/>
  <c r="FB6" i="53"/>
  <c r="FA6" i="53"/>
  <c r="EZ6" i="53"/>
  <c r="EY6" i="53"/>
  <c r="EX6" i="53"/>
  <c r="EW6" i="53"/>
  <c r="EV6" i="53"/>
  <c r="EU6" i="53"/>
  <c r="ET6" i="53"/>
  <c r="ES6" i="53"/>
  <c r="ER6" i="53"/>
  <c r="EQ6" i="53"/>
  <c r="EP6" i="53"/>
  <c r="EO6" i="53"/>
  <c r="EN6" i="53"/>
  <c r="EM6" i="53"/>
  <c r="EL6" i="53"/>
  <c r="EK6" i="53"/>
  <c r="EJ6" i="53"/>
  <c r="EI6" i="53"/>
  <c r="EH6" i="53"/>
  <c r="EG6" i="53"/>
  <c r="EF6" i="53"/>
  <c r="EE6" i="53"/>
  <c r="ED6" i="53"/>
  <c r="EC6" i="53"/>
  <c r="EB6" i="53"/>
  <c r="EA6" i="53"/>
  <c r="DY6" i="53"/>
  <c r="DX6" i="53"/>
  <c r="DV6" i="53"/>
  <c r="DU6" i="53"/>
  <c r="DT6" i="53"/>
  <c r="DS6" i="53"/>
  <c r="DR6" i="53"/>
  <c r="DQ6" i="53"/>
  <c r="DP6" i="53"/>
  <c r="DO6" i="53"/>
  <c r="DN6" i="53"/>
  <c r="DK6" i="53"/>
  <c r="DJ6" i="53"/>
  <c r="DI6" i="53"/>
  <c r="DH6" i="53"/>
  <c r="DG6" i="53"/>
  <c r="DF6" i="53"/>
  <c r="DE6" i="53"/>
  <c r="DD6" i="53"/>
  <c r="DC6" i="53"/>
  <c r="DB6" i="53"/>
  <c r="DA6" i="53"/>
  <c r="CV6" i="53"/>
  <c r="CU6" i="53"/>
  <c r="CT6" i="53"/>
  <c r="CS6" i="53"/>
  <c r="GN6" i="53" s="1"/>
  <c r="CR6" i="53"/>
  <c r="GM6" i="53" s="1"/>
  <c r="CQ6" i="53"/>
  <c r="GL6" i="53" s="1"/>
  <c r="CP6" i="53"/>
  <c r="GJ6" i="53" s="1"/>
  <c r="GK6" i="53" s="1"/>
  <c r="CO6" i="53"/>
  <c r="DZ6" i="53" s="1"/>
  <c r="CN6" i="53"/>
  <c r="CM6" i="53"/>
  <c r="CL6" i="53"/>
  <c r="DW6" i="53" s="1"/>
  <c r="CG6" i="53" a="1"/>
  <c r="CG6" i="53" s="1"/>
  <c r="AW6" i="53"/>
  <c r="AV6" i="53"/>
  <c r="J6" i="53"/>
  <c r="HI6" i="53" s="1"/>
  <c r="G6" i="53"/>
  <c r="IQ5" i="53"/>
  <c r="IL5" i="53"/>
  <c r="HX5" i="53"/>
  <c r="IW5" i="53" s="1"/>
  <c r="HX5" i="53" a="1"/>
  <c r="HW5" i="53" a="1"/>
  <c r="HW5" i="53" s="1"/>
  <c r="IV5" i="53" s="1"/>
  <c r="HV5" i="53" a="1"/>
  <c r="HV5" i="53" s="1"/>
  <c r="IU5" i="53" s="1"/>
  <c r="HU5" i="53" a="1"/>
  <c r="HU5" i="53" s="1"/>
  <c r="IT5" i="53" s="1"/>
  <c r="HT5" i="53" a="1"/>
  <c r="HT5" i="53" s="1"/>
  <c r="IS5" i="53" s="1"/>
  <c r="HS5" i="53" a="1"/>
  <c r="HS5" i="53" s="1"/>
  <c r="IR5" i="53" s="1"/>
  <c r="HR5" i="53"/>
  <c r="HR5" i="53" a="1"/>
  <c r="HQ5" i="53" a="1"/>
  <c r="HQ5" i="53" s="1"/>
  <c r="IP5" i="53" s="1"/>
  <c r="HP5" i="53" a="1"/>
  <c r="HP5" i="53" s="1"/>
  <c r="IO5" i="53" s="1"/>
  <c r="HL5" i="53"/>
  <c r="HJ5" i="53"/>
  <c r="HH5" i="53"/>
  <c r="HB5" i="53"/>
  <c r="HA5" i="53"/>
  <c r="GZ5" i="53"/>
  <c r="GY5" i="53"/>
  <c r="GX5" i="53"/>
  <c r="GW5" i="53"/>
  <c r="GV5" i="53"/>
  <c r="HC5" i="53" s="1"/>
  <c r="GU5" i="53"/>
  <c r="GT5" i="53"/>
  <c r="GP5" i="53"/>
  <c r="GI5" i="53"/>
  <c r="GH5" i="53"/>
  <c r="GG5" i="53"/>
  <c r="GF5" i="53"/>
  <c r="GE5" i="53"/>
  <c r="GD5" i="53"/>
  <c r="GC5" i="53"/>
  <c r="GB5" i="53"/>
  <c r="GA5" i="53"/>
  <c r="FZ5" i="53"/>
  <c r="FY5" i="53"/>
  <c r="FX5" i="53"/>
  <c r="FW5" i="53"/>
  <c r="FV5" i="53"/>
  <c r="FU5" i="53"/>
  <c r="FT5" i="53"/>
  <c r="FS5" i="53"/>
  <c r="FR5" i="53"/>
  <c r="FQ5" i="53"/>
  <c r="FP5" i="53"/>
  <c r="FO5" i="53"/>
  <c r="FN5" i="53"/>
  <c r="FK5" i="53"/>
  <c r="FJ5" i="53"/>
  <c r="FM5" i="53" s="1"/>
  <c r="FI5" i="53"/>
  <c r="FL5" i="53" s="1"/>
  <c r="FH5" i="53"/>
  <c r="FG5" i="53"/>
  <c r="FF5" i="53"/>
  <c r="FE5" i="53"/>
  <c r="FD5" i="53"/>
  <c r="FC5" i="53"/>
  <c r="FB5" i="53"/>
  <c r="FA5" i="53"/>
  <c r="EZ5" i="53"/>
  <c r="EY5" i="53"/>
  <c r="EX5" i="53"/>
  <c r="EW5" i="53"/>
  <c r="EV5" i="53"/>
  <c r="EU5" i="53"/>
  <c r="ET5" i="53"/>
  <c r="ES5" i="53"/>
  <c r="ER5" i="53"/>
  <c r="EQ5" i="53"/>
  <c r="EP5" i="53"/>
  <c r="EO5" i="53"/>
  <c r="EN5" i="53"/>
  <c r="EM5" i="53"/>
  <c r="EL5" i="53"/>
  <c r="EK5" i="53"/>
  <c r="EJ5" i="53"/>
  <c r="EI5" i="53"/>
  <c r="EH5" i="53"/>
  <c r="EG5" i="53"/>
  <c r="EF5" i="53"/>
  <c r="EE5" i="53"/>
  <c r="ED5" i="53"/>
  <c r="EC5" i="53"/>
  <c r="EB5" i="53"/>
  <c r="EA5" i="53"/>
  <c r="DZ5" i="53"/>
  <c r="DY5" i="53"/>
  <c r="DV5" i="53"/>
  <c r="DU5" i="53"/>
  <c r="DT5" i="53"/>
  <c r="DS5" i="53"/>
  <c r="DR5" i="53"/>
  <c r="DQ5" i="53"/>
  <c r="DP5" i="53"/>
  <c r="DO5" i="53"/>
  <c r="DN5" i="53"/>
  <c r="DK5" i="53"/>
  <c r="DJ5" i="53"/>
  <c r="DI5" i="53"/>
  <c r="DH5" i="53"/>
  <c r="DG5" i="53"/>
  <c r="DF5" i="53"/>
  <c r="DE5" i="53"/>
  <c r="DD5" i="53"/>
  <c r="DC5" i="53"/>
  <c r="DB5" i="53"/>
  <c r="DA5" i="53"/>
  <c r="CV5" i="53"/>
  <c r="CU5" i="53"/>
  <c r="CT5" i="53"/>
  <c r="CS5" i="53"/>
  <c r="GN5" i="53" s="1"/>
  <c r="CR5" i="53"/>
  <c r="GM5" i="53" s="1"/>
  <c r="CQ5" i="53"/>
  <c r="GL5" i="53" s="1"/>
  <c r="CP5" i="53"/>
  <c r="GJ5" i="53" s="1"/>
  <c r="GK5" i="53" s="1"/>
  <c r="CO5" i="53"/>
  <c r="CN5" i="53"/>
  <c r="CM5" i="53"/>
  <c r="DX5" i="53" s="1"/>
  <c r="CL5" i="53"/>
  <c r="DW5" i="53" s="1"/>
  <c r="CG5" i="53" a="1"/>
  <c r="CG5" i="53" s="1"/>
  <c r="AW5" i="53"/>
  <c r="AV5" i="53"/>
  <c r="J5" i="53"/>
  <c r="HI5" i="53" s="1"/>
  <c r="G5" i="53"/>
  <c r="IR4" i="53"/>
  <c r="IL4" i="53"/>
  <c r="HX4" i="53" a="1"/>
  <c r="HX4" i="53" s="1"/>
  <c r="IW4" i="53" s="1"/>
  <c r="HW4" i="53" a="1"/>
  <c r="HW4" i="53" s="1"/>
  <c r="IV4" i="53" s="1"/>
  <c r="HV4" i="53" a="1"/>
  <c r="HV4" i="53" s="1"/>
  <c r="IU4" i="53" s="1"/>
  <c r="HU4" i="53" a="1"/>
  <c r="HU4" i="53" s="1"/>
  <c r="IT4" i="53" s="1"/>
  <c r="HT4" i="53"/>
  <c r="IS4" i="53" s="1"/>
  <c r="HT4" i="53" a="1"/>
  <c r="HS4" i="53"/>
  <c r="HS4" i="53" a="1"/>
  <c r="HR4" i="53" a="1"/>
  <c r="HR4" i="53" s="1"/>
  <c r="IQ4" i="53" s="1"/>
  <c r="HQ4" i="53" a="1"/>
  <c r="HQ4" i="53" s="1"/>
  <c r="IP4" i="53" s="1"/>
  <c r="HP4" i="53" a="1"/>
  <c r="HP4" i="53" s="1"/>
  <c r="IO4" i="53" s="1"/>
  <c r="HL4" i="53"/>
  <c r="HJ4" i="53"/>
  <c r="HH4" i="53"/>
  <c r="HB4" i="53"/>
  <c r="HA4" i="53"/>
  <c r="GZ4" i="53"/>
  <c r="GY4" i="53"/>
  <c r="GX4" i="53"/>
  <c r="GW4" i="53"/>
  <c r="HC4" i="53" s="1"/>
  <c r="GV4" i="53"/>
  <c r="GU4" i="53"/>
  <c r="GT4" i="53"/>
  <c r="GP4" i="53"/>
  <c r="GJ4" i="53"/>
  <c r="GK4" i="53" s="1"/>
  <c r="GI4" i="53"/>
  <c r="GH4" i="53"/>
  <c r="GG4" i="53"/>
  <c r="GF4" i="53"/>
  <c r="GE4" i="53"/>
  <c r="GD4" i="53"/>
  <c r="GC4" i="53"/>
  <c r="GB4" i="53"/>
  <c r="GA4" i="53"/>
  <c r="FZ4" i="53"/>
  <c r="FY4" i="53"/>
  <c r="FX4" i="53"/>
  <c r="FW4" i="53"/>
  <c r="FV4" i="53"/>
  <c r="FU4" i="53"/>
  <c r="FT4" i="53"/>
  <c r="FS4" i="53"/>
  <c r="FR4" i="53"/>
  <c r="FQ4" i="53"/>
  <c r="FP4" i="53"/>
  <c r="FO4" i="53"/>
  <c r="FN4" i="53"/>
  <c r="FL4" i="53"/>
  <c r="FK4" i="53"/>
  <c r="FJ4" i="53"/>
  <c r="FM4" i="53" s="1"/>
  <c r="FI4" i="53"/>
  <c r="FH4" i="53"/>
  <c r="FG4" i="53"/>
  <c r="FF4" i="53"/>
  <c r="FE4" i="53"/>
  <c r="FD4" i="53"/>
  <c r="FC4" i="53"/>
  <c r="FB4" i="53"/>
  <c r="FA4" i="53"/>
  <c r="EZ4" i="53"/>
  <c r="EY4" i="53"/>
  <c r="EX4" i="53"/>
  <c r="EW4" i="53"/>
  <c r="EV4" i="53"/>
  <c r="EU4" i="53"/>
  <c r="ET4" i="53"/>
  <c r="ES4" i="53"/>
  <c r="ER4" i="53"/>
  <c r="EQ4" i="53"/>
  <c r="EP4" i="53"/>
  <c r="EO4" i="53"/>
  <c r="EN4" i="53"/>
  <c r="EM4" i="53"/>
  <c r="EL4" i="53"/>
  <c r="EK4" i="53"/>
  <c r="EJ4" i="53"/>
  <c r="EI4" i="53"/>
  <c r="EH4" i="53"/>
  <c r="EG4" i="53"/>
  <c r="EF4" i="53"/>
  <c r="EE4" i="53"/>
  <c r="ED4" i="53"/>
  <c r="EC4" i="53"/>
  <c r="EB4" i="53"/>
  <c r="EA4" i="53"/>
  <c r="DZ4" i="53"/>
  <c r="DY4" i="53"/>
  <c r="DV4" i="53"/>
  <c r="DU4" i="53"/>
  <c r="DT4" i="53"/>
  <c r="DS4" i="53"/>
  <c r="DR4" i="53"/>
  <c r="DQ4" i="53"/>
  <c r="DP4" i="53"/>
  <c r="DO4" i="53"/>
  <c r="DN4" i="53"/>
  <c r="DK4" i="53"/>
  <c r="DJ4" i="53"/>
  <c r="DI4" i="53"/>
  <c r="DH4" i="53"/>
  <c r="DG4" i="53"/>
  <c r="DF4" i="53"/>
  <c r="DE4" i="53"/>
  <c r="DD4" i="53"/>
  <c r="DC4" i="53"/>
  <c r="DB4" i="53"/>
  <c r="DA4" i="53"/>
  <c r="CV4" i="53"/>
  <c r="CU4" i="53"/>
  <c r="CT4" i="53"/>
  <c r="CS4" i="53"/>
  <c r="GN4" i="53" s="1"/>
  <c r="CR4" i="53"/>
  <c r="GM4" i="53" s="1"/>
  <c r="CQ4" i="53"/>
  <c r="GL4" i="53" s="1"/>
  <c r="CP4" i="53"/>
  <c r="CO4" i="53"/>
  <c r="CN4" i="53"/>
  <c r="CM4" i="53"/>
  <c r="DX4" i="53" s="1"/>
  <c r="CL4" i="53"/>
  <c r="DW4" i="53" s="1"/>
  <c r="CG4" i="53" a="1"/>
  <c r="CG4" i="53" s="1"/>
  <c r="AW4" i="53"/>
  <c r="AV4" i="53"/>
  <c r="J4" i="53"/>
  <c r="HI4" i="53" s="1"/>
  <c r="G4" i="53"/>
  <c r="IL3" i="53"/>
  <c r="HX3" i="53" a="1"/>
  <c r="HX3" i="53" s="1"/>
  <c r="IW3" i="53" s="1"/>
  <c r="HW3" i="53" a="1"/>
  <c r="HW3" i="53" s="1"/>
  <c r="IV3" i="53" s="1"/>
  <c r="HV3" i="53" a="1"/>
  <c r="HV3" i="53" s="1"/>
  <c r="IU3" i="53" s="1"/>
  <c r="HU3" i="53" a="1"/>
  <c r="HU3" i="53" s="1"/>
  <c r="IT3" i="53" s="1"/>
  <c r="HT3" i="53" a="1"/>
  <c r="HT3" i="53" s="1"/>
  <c r="IS3" i="53" s="1"/>
  <c r="HS3" i="53" a="1"/>
  <c r="HS3" i="53" s="1"/>
  <c r="IR3" i="53" s="1"/>
  <c r="HR3" i="53" a="1"/>
  <c r="HR3" i="53" s="1"/>
  <c r="IQ3" i="53" s="1"/>
  <c r="HQ3" i="53" a="1"/>
  <c r="HQ3" i="53" s="1"/>
  <c r="IP3" i="53" s="1"/>
  <c r="HP3" i="53" a="1"/>
  <c r="HP3" i="53" s="1"/>
  <c r="IO3" i="53" s="1"/>
  <c r="HL3" i="53"/>
  <c r="HJ3" i="53"/>
  <c r="HH3" i="53"/>
  <c r="HB3" i="53"/>
  <c r="HA3" i="53"/>
  <c r="GZ3" i="53"/>
  <c r="GY3" i="53"/>
  <c r="GX3" i="53"/>
  <c r="HC3" i="53" s="1"/>
  <c r="GW3" i="53"/>
  <c r="GV3" i="53"/>
  <c r="GU3" i="53"/>
  <c r="GT3" i="53"/>
  <c r="GP3" i="53"/>
  <c r="GL3" i="53"/>
  <c r="GJ3" i="53"/>
  <c r="GK3" i="53" s="1"/>
  <c r="GI3" i="53"/>
  <c r="GH3" i="53"/>
  <c r="GG3" i="53"/>
  <c r="GF3" i="53"/>
  <c r="GE3" i="53"/>
  <c r="GD3" i="53"/>
  <c r="GC3" i="53"/>
  <c r="GB3" i="53"/>
  <c r="GA3" i="53"/>
  <c r="FZ3" i="53"/>
  <c r="FY3" i="53"/>
  <c r="FX3" i="53"/>
  <c r="FW3" i="53"/>
  <c r="FV3" i="53"/>
  <c r="FU3" i="53"/>
  <c r="FT3" i="53"/>
  <c r="FS3" i="53"/>
  <c r="FR3" i="53"/>
  <c r="FQ3" i="53"/>
  <c r="FP3" i="53"/>
  <c r="FO3" i="53"/>
  <c r="FN3" i="53"/>
  <c r="FM3" i="53"/>
  <c r="FL3" i="53"/>
  <c r="FK3" i="53"/>
  <c r="FJ3" i="53"/>
  <c r="FI3" i="53"/>
  <c r="FH3" i="53"/>
  <c r="FG3" i="53"/>
  <c r="FF3" i="53"/>
  <c r="FE3" i="53"/>
  <c r="FD3" i="53"/>
  <c r="FC3" i="53"/>
  <c r="FB3" i="53"/>
  <c r="FA3" i="53"/>
  <c r="EZ3" i="53"/>
  <c r="EY3" i="53"/>
  <c r="EX3" i="53"/>
  <c r="EW3" i="53"/>
  <c r="EV3" i="53"/>
  <c r="EU3" i="53"/>
  <c r="ET3" i="53"/>
  <c r="ES3" i="53"/>
  <c r="ER3" i="53"/>
  <c r="EQ3" i="53"/>
  <c r="EP3" i="53"/>
  <c r="EO3" i="53"/>
  <c r="EN3" i="53"/>
  <c r="EM3" i="53"/>
  <c r="EL3" i="53"/>
  <c r="EK3" i="53"/>
  <c r="EJ3" i="53"/>
  <c r="EI3" i="53"/>
  <c r="EH3" i="53"/>
  <c r="EG3" i="53"/>
  <c r="EF3" i="53"/>
  <c r="EE3" i="53"/>
  <c r="ED3" i="53"/>
  <c r="EC3" i="53"/>
  <c r="EB3" i="53"/>
  <c r="EA3" i="53"/>
  <c r="DZ3" i="53"/>
  <c r="DV3" i="53"/>
  <c r="DU3" i="53"/>
  <c r="DT3" i="53"/>
  <c r="DS3" i="53"/>
  <c r="DR3" i="53"/>
  <c r="DQ3" i="53"/>
  <c r="DP3" i="53"/>
  <c r="DO3" i="53"/>
  <c r="DN3" i="53"/>
  <c r="DK3" i="53"/>
  <c r="DJ3" i="53"/>
  <c r="DI3" i="53"/>
  <c r="DH3" i="53"/>
  <c r="DG3" i="53"/>
  <c r="DF3" i="53"/>
  <c r="DE3" i="53"/>
  <c r="DD3" i="53"/>
  <c r="DC3" i="53"/>
  <c r="DB3" i="53"/>
  <c r="DA3" i="53"/>
  <c r="CV3" i="53"/>
  <c r="CU3" i="53"/>
  <c r="CT3" i="53"/>
  <c r="CS3" i="53"/>
  <c r="GN3" i="53" s="1"/>
  <c r="CR3" i="53"/>
  <c r="GM3" i="53" s="1"/>
  <c r="CQ3" i="53"/>
  <c r="CP3" i="53"/>
  <c r="CO3" i="53"/>
  <c r="CN3" i="53"/>
  <c r="DY3" i="53" s="1"/>
  <c r="CM3" i="53"/>
  <c r="DX3" i="53" s="1"/>
  <c r="CL3" i="53"/>
  <c r="DW3" i="53" s="1"/>
  <c r="CG3" i="53" a="1"/>
  <c r="CG3" i="53" s="1"/>
  <c r="AW3" i="53"/>
  <c r="AV3" i="53"/>
  <c r="J3" i="53"/>
  <c r="HI3" i="53" s="1"/>
  <c r="G3" i="53"/>
  <c r="HX3" i="52" a="1"/>
  <c r="HX3" i="52" s="1"/>
  <c r="IW3" i="52" s="1"/>
  <c r="HW3" i="52" a="1"/>
  <c r="HW3" i="52" s="1"/>
  <c r="IV3" i="52" s="1"/>
  <c r="HV3" i="52" a="1"/>
  <c r="HV3" i="52" s="1"/>
  <c r="IU3" i="52" s="1"/>
  <c r="HU3" i="52" a="1"/>
  <c r="HU3" i="52" s="1"/>
  <c r="IT3" i="52" s="1"/>
  <c r="HT3" i="52" a="1"/>
  <c r="HT3" i="52" s="1"/>
  <c r="IS3" i="52" s="1"/>
  <c r="HS3" i="52" a="1"/>
  <c r="HS3" i="52" s="1"/>
  <c r="IR3" i="52" s="1"/>
  <c r="HR3" i="52" a="1"/>
  <c r="HR3" i="52" s="1"/>
  <c r="IQ3" i="52" s="1"/>
  <c r="HQ3" i="52" a="1"/>
  <c r="HQ3" i="52" s="1"/>
  <c r="IP3" i="52" s="1"/>
  <c r="HP3" i="52" a="1"/>
  <c r="HP3" i="52" s="1"/>
  <c r="IO3" i="52" s="1"/>
  <c r="HL3" i="52"/>
  <c r="HJ3" i="52"/>
  <c r="HH3" i="52"/>
  <c r="HI3" i="52" s="1"/>
  <c r="HB3" i="52"/>
  <c r="HA3" i="52"/>
  <c r="GZ3" i="52"/>
  <c r="GY3" i="52"/>
  <c r="GX3" i="52"/>
  <c r="GW3" i="52"/>
  <c r="GV3" i="52"/>
  <c r="GU3" i="52"/>
  <c r="GT3" i="52"/>
  <c r="HC3" i="52" s="1"/>
  <c r="GP3" i="52"/>
  <c r="GN3" i="52"/>
  <c r="GM3" i="52"/>
  <c r="GL3" i="52"/>
  <c r="GJ3" i="52"/>
  <c r="GK3" i="52" s="1"/>
  <c r="GI3" i="52"/>
  <c r="GH3" i="52"/>
  <c r="GG3" i="52"/>
  <c r="GF3" i="52"/>
  <c r="GE3" i="52"/>
  <c r="GB3" i="52"/>
  <c r="GA3" i="52"/>
  <c r="FZ3" i="52"/>
  <c r="FY3" i="52"/>
  <c r="FW3" i="52"/>
  <c r="FV3" i="52"/>
  <c r="FU3" i="52"/>
  <c r="FT3" i="52"/>
  <c r="FS3" i="52"/>
  <c r="FR3" i="52"/>
  <c r="FQ3" i="52"/>
  <c r="FP3" i="52"/>
  <c r="FJ3" i="52"/>
  <c r="FM3" i="52" s="1"/>
  <c r="FI3" i="52"/>
  <c r="FL3" i="52" s="1"/>
  <c r="FH3" i="52"/>
  <c r="FK3" i="52" s="1"/>
  <c r="FG3" i="52"/>
  <c r="FF3" i="52"/>
  <c r="FE3" i="52"/>
  <c r="FO3" i="52" s="1"/>
  <c r="FD3" i="52"/>
  <c r="FB3" i="52"/>
  <c r="FA3" i="52"/>
  <c r="EZ3" i="52"/>
  <c r="EY3" i="52"/>
  <c r="EX3" i="52"/>
  <c r="EW3" i="52"/>
  <c r="EV3" i="52"/>
  <c r="EU3" i="52"/>
  <c r="ET3" i="52"/>
  <c r="ES3" i="52"/>
  <c r="ER3" i="52"/>
  <c r="EQ3" i="52"/>
  <c r="EP3" i="52"/>
  <c r="EO3" i="52"/>
  <c r="EN3" i="52"/>
  <c r="EM3" i="52"/>
  <c r="EL3" i="52"/>
  <c r="EK3" i="52"/>
  <c r="EJ3" i="52"/>
  <c r="EI3" i="52"/>
  <c r="EH3" i="52"/>
  <c r="EG3" i="52"/>
  <c r="EF3" i="52"/>
  <c r="EE3" i="52"/>
  <c r="ED3" i="52"/>
  <c r="EC3" i="52"/>
  <c r="EB3" i="52"/>
  <c r="EA3" i="52"/>
  <c r="DU3" i="52"/>
  <c r="DT3" i="52"/>
  <c r="DS3" i="52"/>
  <c r="DR3" i="52"/>
  <c r="DQ3" i="52"/>
  <c r="DP3" i="52"/>
  <c r="DO3" i="52"/>
  <c r="DN3" i="52"/>
  <c r="DK3" i="52"/>
  <c r="DJ3" i="52"/>
  <c r="DI3" i="52"/>
  <c r="DH3" i="52"/>
  <c r="DG3" i="52"/>
  <c r="DF3" i="52"/>
  <c r="DE3" i="52"/>
  <c r="DD3" i="52"/>
  <c r="DB3" i="52"/>
  <c r="DA3" i="52"/>
  <c r="CV3" i="52"/>
  <c r="CU3" i="52"/>
  <c r="CT3" i="52"/>
  <c r="CS3" i="52"/>
  <c r="CR3" i="52"/>
  <c r="CQ3" i="52"/>
  <c r="CP3" i="52"/>
  <c r="CO3" i="52"/>
  <c r="DZ3" i="52" s="1"/>
  <c r="CN3" i="52"/>
  <c r="DY3" i="52" s="1"/>
  <c r="CM3" i="52"/>
  <c r="DX3" i="52" s="1"/>
  <c r="CL3" i="52"/>
  <c r="DW3" i="52" s="1"/>
  <c r="CG3" i="52" a="1"/>
  <c r="CG3" i="52" s="1"/>
  <c r="AW3" i="52"/>
  <c r="AV3" i="52"/>
  <c r="J3" i="52"/>
  <c r="G3" i="52"/>
  <c r="IL2" i="52"/>
  <c r="HX2" i="52" a="1"/>
  <c r="HX2" i="52" s="1"/>
  <c r="IW2" i="52" s="1"/>
  <c r="HW2" i="52" a="1"/>
  <c r="HW2" i="52" s="1"/>
  <c r="IV2" i="52" s="1"/>
  <c r="HV2" i="52" a="1"/>
  <c r="HV2" i="52" s="1"/>
  <c r="IU2" i="52" s="1"/>
  <c r="HU2" i="52" a="1"/>
  <c r="HU2" i="52" s="1"/>
  <c r="IT2" i="52" s="1"/>
  <c r="HT2" i="52" a="1"/>
  <c r="HT2" i="52" s="1"/>
  <c r="IS2" i="52" s="1"/>
  <c r="HS2" i="52" a="1"/>
  <c r="HS2" i="52" s="1"/>
  <c r="IR2" i="52" s="1"/>
  <c r="HR2" i="52" a="1"/>
  <c r="HR2" i="52" s="1"/>
  <c r="IQ2" i="52" s="1"/>
  <c r="HQ2" i="52" a="1"/>
  <c r="HQ2" i="52" s="1"/>
  <c r="IP2" i="52" s="1"/>
  <c r="HP2" i="52" a="1"/>
  <c r="HP2" i="52" s="1"/>
  <c r="IO2" i="52" s="1"/>
  <c r="HL2" i="52"/>
  <c r="HJ2" i="52"/>
  <c r="HH2" i="52"/>
  <c r="HI2" i="52" s="1"/>
  <c r="HB2" i="52"/>
  <c r="HA2" i="52"/>
  <c r="GZ2" i="52"/>
  <c r="GY2" i="52"/>
  <c r="GX2" i="52"/>
  <c r="GW2" i="52"/>
  <c r="GV2" i="52"/>
  <c r="GU2" i="52"/>
  <c r="GT2" i="52"/>
  <c r="GP2" i="52"/>
  <c r="GI2" i="52"/>
  <c r="GH2" i="52"/>
  <c r="GG2" i="52"/>
  <c r="GF2" i="52"/>
  <c r="GE2" i="52"/>
  <c r="GD2" i="52"/>
  <c r="GC2" i="52"/>
  <c r="GB2" i="52"/>
  <c r="GA2" i="52"/>
  <c r="FZ2" i="52"/>
  <c r="FY2" i="52"/>
  <c r="FX2" i="52"/>
  <c r="FW2" i="52"/>
  <c r="FV2" i="52"/>
  <c r="FU2" i="52"/>
  <c r="FT2" i="52"/>
  <c r="FS2" i="52"/>
  <c r="FR2" i="52"/>
  <c r="FQ2" i="52"/>
  <c r="FP2" i="52"/>
  <c r="FJ2" i="52"/>
  <c r="FI2" i="52"/>
  <c r="FH2" i="52"/>
  <c r="FG2" i="52"/>
  <c r="FF2" i="52"/>
  <c r="FE2" i="52"/>
  <c r="FO2" i="52" s="1"/>
  <c r="FD2" i="52"/>
  <c r="FC2" i="52"/>
  <c r="FB2" i="52"/>
  <c r="FA2" i="52"/>
  <c r="EZ2" i="52"/>
  <c r="EY2" i="52"/>
  <c r="EX2" i="52"/>
  <c r="EW2" i="52"/>
  <c r="EV2" i="52"/>
  <c r="EU2" i="52"/>
  <c r="ET2" i="52"/>
  <c r="ES2" i="52"/>
  <c r="ER2" i="52"/>
  <c r="EQ2" i="52"/>
  <c r="EP2" i="52"/>
  <c r="EO2" i="52"/>
  <c r="EN2" i="52"/>
  <c r="EM2" i="52"/>
  <c r="EL2" i="52"/>
  <c r="EK2" i="52"/>
  <c r="EJ2" i="52"/>
  <c r="EI2" i="52"/>
  <c r="EH2" i="52"/>
  <c r="EG2" i="52"/>
  <c r="EF2" i="52"/>
  <c r="EE2" i="52"/>
  <c r="ED2" i="52"/>
  <c r="EC2" i="52"/>
  <c r="EB2" i="52"/>
  <c r="EA2" i="52"/>
  <c r="DV2" i="52"/>
  <c r="DU2" i="52"/>
  <c r="DT2" i="52"/>
  <c r="DS2" i="52"/>
  <c r="DR2" i="52"/>
  <c r="DQ2" i="52"/>
  <c r="DP2" i="52"/>
  <c r="DO2" i="52"/>
  <c r="DN2" i="52"/>
  <c r="DK2" i="52"/>
  <c r="DJ2" i="52"/>
  <c r="DI2" i="52"/>
  <c r="DH2" i="52"/>
  <c r="DG2" i="52"/>
  <c r="DF2" i="52"/>
  <c r="DE2" i="52"/>
  <c r="DD2" i="52"/>
  <c r="DC2" i="52"/>
  <c r="DB2" i="52"/>
  <c r="DA2" i="52"/>
  <c r="CV2" i="52"/>
  <c r="CU2" i="52"/>
  <c r="CT2" i="52"/>
  <c r="CS2" i="52"/>
  <c r="GN2" i="52" s="1"/>
  <c r="CR2" i="52"/>
  <c r="GM2" i="52" s="1"/>
  <c r="CQ2" i="52"/>
  <c r="GL2" i="52" s="1"/>
  <c r="CP2" i="52"/>
  <c r="GJ2" i="52" s="1"/>
  <c r="GK2" i="52" s="1"/>
  <c r="CO2" i="52"/>
  <c r="DZ2" i="52" s="1"/>
  <c r="CN2" i="52"/>
  <c r="DY2" i="52" s="1"/>
  <c r="CM2" i="52"/>
  <c r="DX2" i="52" s="1"/>
  <c r="CL2" i="52"/>
  <c r="DW2" i="52" s="1"/>
  <c r="CG2" i="52" a="1"/>
  <c r="CG2" i="52" s="1"/>
  <c r="AW2" i="52"/>
  <c r="AV2" i="52"/>
  <c r="AX2" i="52" s="1"/>
  <c r="J2" i="52"/>
  <c r="G2" i="52"/>
  <c r="IR2" i="55"/>
  <c r="IL2" i="55"/>
  <c r="HX2" i="55" a="1"/>
  <c r="HX2" i="55" s="1"/>
  <c r="IW2" i="55" s="1"/>
  <c r="HW2" i="55" a="1"/>
  <c r="HW2" i="55" s="1"/>
  <c r="IV2" i="55" s="1"/>
  <c r="HV2" i="55" a="1"/>
  <c r="HV2" i="55" s="1"/>
  <c r="IU2" i="55" s="1"/>
  <c r="HU2" i="55"/>
  <c r="IT2" i="55" s="1"/>
  <c r="HU2" i="55" a="1"/>
  <c r="HT2" i="55" a="1"/>
  <c r="HT2" i="55" s="1"/>
  <c r="IS2" i="55" s="1"/>
  <c r="HS2" i="55"/>
  <c r="HS2" i="55" a="1"/>
  <c r="HR2" i="55" a="1"/>
  <c r="HR2" i="55" s="1"/>
  <c r="IQ2" i="55" s="1"/>
  <c r="HQ2" i="55" a="1"/>
  <c r="HQ2" i="55" s="1"/>
  <c r="IP2" i="55" s="1"/>
  <c r="HP2" i="55" a="1"/>
  <c r="HP2" i="55" s="1"/>
  <c r="IO2" i="55" s="1"/>
  <c r="HL2" i="55"/>
  <c r="HJ2" i="55"/>
  <c r="HI2" i="55"/>
  <c r="HH2" i="55"/>
  <c r="HB2" i="55"/>
  <c r="HA2" i="55"/>
  <c r="GZ2" i="55"/>
  <c r="GY2" i="55"/>
  <c r="GX2" i="55"/>
  <c r="GW2" i="55"/>
  <c r="GV2" i="55"/>
  <c r="GU2" i="55"/>
  <c r="HC2" i="55" s="1"/>
  <c r="GT2" i="55"/>
  <c r="GP2" i="55"/>
  <c r="GM2" i="55"/>
  <c r="GL2" i="55"/>
  <c r="GJ2" i="55"/>
  <c r="GK2" i="55" s="1"/>
  <c r="GI2" i="55"/>
  <c r="GH2" i="55"/>
  <c r="GG2" i="55"/>
  <c r="GF2" i="55"/>
  <c r="GE2" i="55"/>
  <c r="GD2" i="55"/>
  <c r="GC2" i="55"/>
  <c r="GB2" i="55"/>
  <c r="GA2" i="55"/>
  <c r="FZ2" i="55"/>
  <c r="FY2" i="55"/>
  <c r="FX2" i="55"/>
  <c r="FW2" i="55"/>
  <c r="FV2" i="55"/>
  <c r="FU2" i="55"/>
  <c r="FT2" i="55"/>
  <c r="FS2" i="55"/>
  <c r="FR2" i="55"/>
  <c r="FQ2" i="55"/>
  <c r="FP2" i="55"/>
  <c r="FO2" i="55"/>
  <c r="FN2" i="55"/>
  <c r="FM2" i="55"/>
  <c r="FL2" i="55"/>
  <c r="FJ2" i="55"/>
  <c r="FI2" i="55"/>
  <c r="FH2" i="55"/>
  <c r="FK2" i="55" s="1"/>
  <c r="FG2" i="55"/>
  <c r="FF2" i="55"/>
  <c r="FE2" i="55"/>
  <c r="FD2" i="55"/>
  <c r="FC2" i="55"/>
  <c r="FB2" i="55"/>
  <c r="FA2" i="55"/>
  <c r="EZ2" i="55"/>
  <c r="EY2" i="55"/>
  <c r="EX2" i="55"/>
  <c r="EW2" i="55"/>
  <c r="EV2" i="55"/>
  <c r="EU2" i="55"/>
  <c r="ET2" i="55"/>
  <c r="ES2" i="55"/>
  <c r="ER2" i="55"/>
  <c r="EQ2" i="55"/>
  <c r="EP2" i="55"/>
  <c r="EO2" i="55"/>
  <c r="EN2" i="55"/>
  <c r="EM2" i="55"/>
  <c r="EL2" i="55"/>
  <c r="EK2" i="55"/>
  <c r="EJ2" i="55"/>
  <c r="EI2" i="55"/>
  <c r="EH2" i="55"/>
  <c r="EG2" i="55"/>
  <c r="EF2" i="55"/>
  <c r="EE2" i="55"/>
  <c r="ED2" i="55"/>
  <c r="EC2" i="55"/>
  <c r="EB2" i="55"/>
  <c r="EA2" i="55"/>
  <c r="DY2" i="55"/>
  <c r="DX2" i="55"/>
  <c r="DW2" i="55"/>
  <c r="DV2" i="55"/>
  <c r="DU2" i="55"/>
  <c r="DT2" i="55"/>
  <c r="DS2" i="55"/>
  <c r="DR2" i="55"/>
  <c r="DQ2" i="55"/>
  <c r="DP2" i="55"/>
  <c r="DO2" i="55"/>
  <c r="DN2" i="55"/>
  <c r="DK2" i="55"/>
  <c r="DJ2" i="55"/>
  <c r="DI2" i="55"/>
  <c r="DH2" i="55"/>
  <c r="DG2" i="55"/>
  <c r="DF2" i="55"/>
  <c r="DE2" i="55"/>
  <c r="DD2" i="55"/>
  <c r="DC2" i="55"/>
  <c r="DB2" i="55"/>
  <c r="DA2" i="55"/>
  <c r="CV2" i="55"/>
  <c r="CU2" i="55"/>
  <c r="CT2" i="55"/>
  <c r="CS2" i="55"/>
  <c r="GN2" i="55" s="1"/>
  <c r="CR2" i="55"/>
  <c r="CQ2" i="55"/>
  <c r="CP2" i="55"/>
  <c r="CO2" i="55"/>
  <c r="DZ2" i="55" s="1"/>
  <c r="CN2" i="55"/>
  <c r="CM2" i="55"/>
  <c r="CL2" i="55"/>
  <c r="CG2" i="55"/>
  <c r="DL2" i="55" s="1"/>
  <c r="CG2" i="55" a="1"/>
  <c r="AW2" i="55"/>
  <c r="AV2" i="55"/>
  <c r="AX2" i="55" s="1"/>
  <c r="J2" i="55"/>
  <c r="G2" i="55"/>
  <c r="HX3" i="55" a="1"/>
  <c r="HX3" i="55" s="1"/>
  <c r="IW3" i="55" s="1"/>
  <c r="HW3" i="55" a="1"/>
  <c r="HW3" i="55" s="1"/>
  <c r="IV3" i="55" s="1"/>
  <c r="HV3" i="55" a="1"/>
  <c r="HV3" i="55" s="1"/>
  <c r="IU3" i="55" s="1"/>
  <c r="HU3" i="55" a="1"/>
  <c r="HU3" i="55" s="1"/>
  <c r="IT3" i="55" s="1"/>
  <c r="HT3" i="55" a="1"/>
  <c r="HT3" i="55" s="1"/>
  <c r="IS3" i="55" s="1"/>
  <c r="HS3" i="55" a="1"/>
  <c r="HS3" i="55" s="1"/>
  <c r="IR3" i="55" s="1"/>
  <c r="HR3" i="55" a="1"/>
  <c r="HR3" i="55" s="1"/>
  <c r="IQ3" i="55" s="1"/>
  <c r="HQ3" i="55" a="1"/>
  <c r="HQ3" i="55" s="1"/>
  <c r="IP3" i="55" s="1"/>
  <c r="HP3" i="55" a="1"/>
  <c r="HP3" i="55" s="1"/>
  <c r="IO3" i="55" s="1"/>
  <c r="HL3" i="55"/>
  <c r="HJ3" i="55"/>
  <c r="HH3" i="55"/>
  <c r="HI3" i="55" s="1"/>
  <c r="HB3" i="55"/>
  <c r="HA3" i="55"/>
  <c r="GZ3" i="55"/>
  <c r="GY3" i="55"/>
  <c r="GX3" i="55"/>
  <c r="GW3" i="55"/>
  <c r="GV3" i="55"/>
  <c r="GU3" i="55"/>
  <c r="GT3" i="55"/>
  <c r="HC3" i="55" s="1"/>
  <c r="GP3" i="55"/>
  <c r="GL3" i="55"/>
  <c r="GJ3" i="55"/>
  <c r="GK3" i="55" s="1"/>
  <c r="GI3" i="55"/>
  <c r="GH3" i="55"/>
  <c r="GG3" i="55"/>
  <c r="GF3" i="55"/>
  <c r="GE3" i="55"/>
  <c r="GB3" i="55"/>
  <c r="GA3" i="55"/>
  <c r="FZ3" i="55"/>
  <c r="FY3" i="55"/>
  <c r="FW3" i="55"/>
  <c r="FV3" i="55"/>
  <c r="FU3" i="55"/>
  <c r="FT3" i="55"/>
  <c r="FS3" i="55"/>
  <c r="FR3" i="55"/>
  <c r="FQ3" i="55"/>
  <c r="FP3" i="55"/>
  <c r="FJ3" i="55"/>
  <c r="FM3" i="55" s="1"/>
  <c r="FI3" i="55"/>
  <c r="FL3" i="55" s="1"/>
  <c r="FH3" i="55"/>
  <c r="FK3" i="55" s="1"/>
  <c r="FG3" i="55"/>
  <c r="FF3" i="55"/>
  <c r="FE3" i="55"/>
  <c r="FO3" i="55" s="1"/>
  <c r="FD3" i="55"/>
  <c r="FB3" i="55"/>
  <c r="FA3" i="55"/>
  <c r="EZ3" i="55"/>
  <c r="EY3" i="55"/>
  <c r="EX3" i="55"/>
  <c r="EW3" i="55"/>
  <c r="EV3" i="55"/>
  <c r="EU3" i="55"/>
  <c r="ET3" i="55"/>
  <c r="ES3" i="55"/>
  <c r="ER3" i="55"/>
  <c r="EQ3" i="55"/>
  <c r="EP3" i="55"/>
  <c r="EO3" i="55"/>
  <c r="EN3" i="55"/>
  <c r="EM3" i="55"/>
  <c r="EL3" i="55"/>
  <c r="EK3" i="55"/>
  <c r="EJ3" i="55"/>
  <c r="EI3" i="55"/>
  <c r="EH3" i="55"/>
  <c r="EG3" i="55"/>
  <c r="EF3" i="55"/>
  <c r="EE3" i="55"/>
  <c r="ED3" i="55"/>
  <c r="EC3" i="55"/>
  <c r="EB3" i="55"/>
  <c r="EA3" i="55"/>
  <c r="DU3" i="55"/>
  <c r="DT3" i="55"/>
  <c r="DS3" i="55"/>
  <c r="DR3" i="55"/>
  <c r="DQ3" i="55"/>
  <c r="DP3" i="55"/>
  <c r="DO3" i="55"/>
  <c r="DN3" i="55"/>
  <c r="DK3" i="55"/>
  <c r="DJ3" i="55"/>
  <c r="DI3" i="55"/>
  <c r="DH3" i="55"/>
  <c r="DG3" i="55"/>
  <c r="DF3" i="55"/>
  <c r="DE3" i="55"/>
  <c r="DD3" i="55"/>
  <c r="DB3" i="55"/>
  <c r="DA3" i="55"/>
  <c r="CV3" i="55"/>
  <c r="CU3" i="55"/>
  <c r="CT3" i="55"/>
  <c r="CS3" i="55"/>
  <c r="GN3" i="55" s="1"/>
  <c r="CR3" i="55"/>
  <c r="GM3" i="55" s="1"/>
  <c r="CQ3" i="55"/>
  <c r="CP3" i="55"/>
  <c r="CO3" i="55"/>
  <c r="DZ3" i="55" s="1"/>
  <c r="CN3" i="55"/>
  <c r="DY3" i="55" s="1"/>
  <c r="CM3" i="55"/>
  <c r="DX3" i="55" s="1"/>
  <c r="CL3" i="55"/>
  <c r="DW3" i="55" s="1"/>
  <c r="CG3" i="55" a="1"/>
  <c r="CG3" i="55" s="1"/>
  <c r="AW3" i="55"/>
  <c r="AV3" i="55"/>
  <c r="J3" i="55"/>
  <c r="G3" i="55"/>
  <c r="IL4" i="50"/>
  <c r="HX4" i="50" a="1"/>
  <c r="HX4" i="50" s="1"/>
  <c r="IW4" i="50" s="1"/>
  <c r="HW4" i="50" a="1"/>
  <c r="HW4" i="50" s="1"/>
  <c r="IV4" i="50" s="1"/>
  <c r="HV4" i="50" a="1"/>
  <c r="HV4" i="50" s="1"/>
  <c r="IU4" i="50" s="1"/>
  <c r="HU4" i="50" a="1"/>
  <c r="HU4" i="50" s="1"/>
  <c r="IT4" i="50" s="1"/>
  <c r="HT4" i="50" a="1"/>
  <c r="HT4" i="50" s="1"/>
  <c r="IS4" i="50" s="1"/>
  <c r="HS4" i="50"/>
  <c r="IR4" i="50" s="1"/>
  <c r="HS4" i="50" a="1"/>
  <c r="HR4" i="50" a="1"/>
  <c r="HR4" i="50" s="1"/>
  <c r="IQ4" i="50" s="1"/>
  <c r="HQ4" i="50" a="1"/>
  <c r="HQ4" i="50" s="1"/>
  <c r="IP4" i="50" s="1"/>
  <c r="HP4" i="50" a="1"/>
  <c r="HP4" i="50" s="1"/>
  <c r="IO4" i="50" s="1"/>
  <c r="HL4" i="50"/>
  <c r="HJ4" i="50"/>
  <c r="HI4" i="50"/>
  <c r="HH4" i="50"/>
  <c r="HB4" i="50"/>
  <c r="HA4" i="50"/>
  <c r="GZ4" i="50"/>
  <c r="GY4" i="50"/>
  <c r="GX4" i="50"/>
  <c r="GW4" i="50"/>
  <c r="GV4" i="50"/>
  <c r="GU4" i="50"/>
  <c r="HC4" i="50" s="1"/>
  <c r="GT4" i="50"/>
  <c r="GP4" i="50"/>
  <c r="GN4" i="50"/>
  <c r="GM4" i="50"/>
  <c r="GL4" i="50"/>
  <c r="GJ4" i="50"/>
  <c r="GK4" i="50" s="1"/>
  <c r="GI4" i="50"/>
  <c r="GH4" i="50"/>
  <c r="GG4" i="50"/>
  <c r="GF4" i="50"/>
  <c r="GE4" i="50"/>
  <c r="GB4" i="50"/>
  <c r="GA4" i="50"/>
  <c r="FZ4" i="50"/>
  <c r="FY4" i="50"/>
  <c r="FW4" i="50"/>
  <c r="FV4" i="50"/>
  <c r="FU4" i="50"/>
  <c r="FT4" i="50"/>
  <c r="FS4" i="50"/>
  <c r="FR4" i="50"/>
  <c r="FQ4" i="50"/>
  <c r="FJ4" i="50"/>
  <c r="FM4" i="50" s="1"/>
  <c r="FI4" i="50"/>
  <c r="FL4" i="50" s="1"/>
  <c r="FH4" i="50"/>
  <c r="FK4" i="50" s="1"/>
  <c r="FG4" i="50"/>
  <c r="FF4" i="50"/>
  <c r="FP4" i="50" s="1"/>
  <c r="FE4" i="50"/>
  <c r="FO4" i="50" s="1"/>
  <c r="FD4" i="50"/>
  <c r="FB4" i="50"/>
  <c r="FA4" i="50"/>
  <c r="EZ4" i="50"/>
  <c r="EY4" i="50"/>
  <c r="EX4" i="50"/>
  <c r="EW4" i="50"/>
  <c r="EV4" i="50"/>
  <c r="EU4" i="50"/>
  <c r="ET4" i="50"/>
  <c r="ES4" i="50"/>
  <c r="ER4" i="50"/>
  <c r="EQ4" i="50"/>
  <c r="EP4" i="50"/>
  <c r="EO4" i="50"/>
  <c r="EN4" i="50"/>
  <c r="EM4" i="50"/>
  <c r="EL4" i="50"/>
  <c r="EK4" i="50"/>
  <c r="EJ4" i="50"/>
  <c r="EI4" i="50"/>
  <c r="EH4" i="50"/>
  <c r="EG4" i="50"/>
  <c r="EF4" i="50"/>
  <c r="EE4" i="50"/>
  <c r="ED4" i="50"/>
  <c r="EC4" i="50"/>
  <c r="EB4" i="50"/>
  <c r="EA4" i="50"/>
  <c r="DU4" i="50"/>
  <c r="DT4" i="50"/>
  <c r="DS4" i="50"/>
  <c r="DR4" i="50"/>
  <c r="DQ4" i="50"/>
  <c r="DP4" i="50"/>
  <c r="DO4" i="50"/>
  <c r="DN4" i="50"/>
  <c r="DK4" i="50"/>
  <c r="DJ4" i="50"/>
  <c r="DI4" i="50"/>
  <c r="DH4" i="50"/>
  <c r="DG4" i="50"/>
  <c r="DF4" i="50"/>
  <c r="DE4" i="50"/>
  <c r="DD4" i="50"/>
  <c r="DB4" i="50"/>
  <c r="DA4" i="50"/>
  <c r="CV4" i="50"/>
  <c r="CU4" i="50"/>
  <c r="CT4" i="50"/>
  <c r="CS4" i="50"/>
  <c r="CR4" i="50"/>
  <c r="CQ4" i="50"/>
  <c r="CP4" i="50"/>
  <c r="CO4" i="50"/>
  <c r="DZ4" i="50" s="1"/>
  <c r="CN4" i="50"/>
  <c r="DY4" i="50" s="1"/>
  <c r="CM4" i="50"/>
  <c r="DX4" i="50" s="1"/>
  <c r="CL4" i="50"/>
  <c r="DW4" i="50" s="1"/>
  <c r="CG4" i="50" a="1"/>
  <c r="CG4" i="50" s="1"/>
  <c r="AW4" i="50"/>
  <c r="AV4" i="50"/>
  <c r="J4" i="50"/>
  <c r="G4" i="50"/>
  <c r="HX3" i="50" a="1"/>
  <c r="HX3" i="50" s="1"/>
  <c r="IW3" i="50" s="1"/>
  <c r="HW3" i="50" a="1"/>
  <c r="HW3" i="50" s="1"/>
  <c r="IV3" i="50" s="1"/>
  <c r="HV3" i="50"/>
  <c r="IU3" i="50" s="1"/>
  <c r="HV3" i="50" a="1"/>
  <c r="HU3" i="50" a="1"/>
  <c r="HU3" i="50" s="1"/>
  <c r="IT3" i="50" s="1"/>
  <c r="HT3" i="50" a="1"/>
  <c r="HT3" i="50" s="1"/>
  <c r="IS3" i="50" s="1"/>
  <c r="HS3" i="50" a="1"/>
  <c r="HS3" i="50" s="1"/>
  <c r="IR3" i="50" s="1"/>
  <c r="HR3" i="50" a="1"/>
  <c r="HR3" i="50" s="1"/>
  <c r="IQ3" i="50" s="1"/>
  <c r="HQ3" i="50" a="1"/>
  <c r="HQ3" i="50" s="1"/>
  <c r="IP3" i="50" s="1"/>
  <c r="HP3" i="50"/>
  <c r="IO3" i="50" s="1"/>
  <c r="HP3" i="50" a="1"/>
  <c r="HL3" i="50"/>
  <c r="HJ3" i="50"/>
  <c r="HH3" i="50"/>
  <c r="HB3" i="50"/>
  <c r="HA3" i="50"/>
  <c r="HC3" i="50" s="1"/>
  <c r="GZ3" i="50"/>
  <c r="GY3" i="50"/>
  <c r="GX3" i="50"/>
  <c r="GW3" i="50"/>
  <c r="GV3" i="50"/>
  <c r="GU3" i="50"/>
  <c r="GT3" i="50"/>
  <c r="GP3" i="50"/>
  <c r="GN3" i="50"/>
  <c r="GM3" i="50"/>
  <c r="GL3" i="50"/>
  <c r="GI3" i="50"/>
  <c r="GH3" i="50"/>
  <c r="GG3" i="50"/>
  <c r="GF3" i="50"/>
  <c r="GE3" i="50"/>
  <c r="GB3" i="50"/>
  <c r="GA3" i="50"/>
  <c r="FZ3" i="50"/>
  <c r="FY3" i="50"/>
  <c r="FW3" i="50"/>
  <c r="FV3" i="50"/>
  <c r="FU3" i="50"/>
  <c r="FT3" i="50"/>
  <c r="FS3" i="50"/>
  <c r="FR3" i="50"/>
  <c r="FQ3" i="50"/>
  <c r="FP3" i="50"/>
  <c r="FO3" i="50"/>
  <c r="FN3" i="50"/>
  <c r="FM3" i="50"/>
  <c r="FL3" i="50"/>
  <c r="FK3" i="50"/>
  <c r="FJ3" i="50"/>
  <c r="FI3" i="50"/>
  <c r="FH3" i="50"/>
  <c r="FG3" i="50"/>
  <c r="FF3" i="50"/>
  <c r="FE3" i="50"/>
  <c r="FD3" i="50"/>
  <c r="FB3" i="50"/>
  <c r="FA3" i="50"/>
  <c r="EZ3" i="50"/>
  <c r="EY3" i="50"/>
  <c r="EX3" i="50"/>
  <c r="EW3" i="50"/>
  <c r="EV3" i="50"/>
  <c r="EU3" i="50"/>
  <c r="ET3" i="50"/>
  <c r="ES3" i="50"/>
  <c r="ER3" i="50"/>
  <c r="EQ3" i="50"/>
  <c r="EP3" i="50"/>
  <c r="EO3" i="50"/>
  <c r="EN3" i="50"/>
  <c r="EM3" i="50"/>
  <c r="EL3" i="50"/>
  <c r="EK3" i="50"/>
  <c r="EJ3" i="50"/>
  <c r="EI3" i="50"/>
  <c r="EH3" i="50"/>
  <c r="EG3" i="50"/>
  <c r="EF3" i="50"/>
  <c r="EE3" i="50"/>
  <c r="ED3" i="50"/>
  <c r="EC3" i="50"/>
  <c r="EB3" i="50"/>
  <c r="EA3" i="50"/>
  <c r="DU3" i="50"/>
  <c r="DT3" i="50"/>
  <c r="DS3" i="50"/>
  <c r="DR3" i="50"/>
  <c r="DQ3" i="50"/>
  <c r="DP3" i="50"/>
  <c r="DO3" i="50"/>
  <c r="DN3" i="50"/>
  <c r="DK3" i="50"/>
  <c r="DJ3" i="50"/>
  <c r="DI3" i="50"/>
  <c r="DH3" i="50"/>
  <c r="DG3" i="50"/>
  <c r="DF3" i="50"/>
  <c r="DE3" i="50"/>
  <c r="DD3" i="50"/>
  <c r="DB3" i="50"/>
  <c r="DA3" i="50"/>
  <c r="CV3" i="50"/>
  <c r="CU3" i="50"/>
  <c r="CT3" i="50"/>
  <c r="CS3" i="50"/>
  <c r="CR3" i="50"/>
  <c r="CQ3" i="50"/>
  <c r="CP3" i="50"/>
  <c r="GJ3" i="50" s="1"/>
  <c r="GK3" i="50" s="1"/>
  <c r="CO3" i="50"/>
  <c r="DZ3" i="50" s="1"/>
  <c r="CN3" i="50"/>
  <c r="DY3" i="50" s="1"/>
  <c r="CM3" i="50"/>
  <c r="DX3" i="50" s="1"/>
  <c r="CL3" i="50"/>
  <c r="DW3" i="50" s="1"/>
  <c r="CG3" i="50" a="1"/>
  <c r="CG3" i="50" s="1"/>
  <c r="AW3" i="50"/>
  <c r="AV3" i="50"/>
  <c r="J3" i="50"/>
  <c r="HI3" i="50" s="1"/>
  <c r="G3" i="50"/>
  <c r="IQ2" i="50"/>
  <c r="IL2" i="50"/>
  <c r="HX2" i="50"/>
  <c r="IW2" i="50" s="1"/>
  <c r="HX2" i="50" a="1"/>
  <c r="HW2" i="50" a="1"/>
  <c r="HW2" i="50" s="1"/>
  <c r="IV2" i="50" s="1"/>
  <c r="HV2" i="50" a="1"/>
  <c r="HV2" i="50" s="1"/>
  <c r="IU2" i="50" s="1"/>
  <c r="HU2" i="50" a="1"/>
  <c r="HU2" i="50" s="1"/>
  <c r="IT2" i="50" s="1"/>
  <c r="HT2" i="50" a="1"/>
  <c r="HT2" i="50" s="1"/>
  <c r="IS2" i="50" s="1"/>
  <c r="HS2" i="50"/>
  <c r="IR2" i="50" s="1"/>
  <c r="HS2" i="50" a="1"/>
  <c r="HR2" i="50"/>
  <c r="HR2" i="50" a="1"/>
  <c r="HQ2" i="50" a="1"/>
  <c r="HQ2" i="50" s="1"/>
  <c r="IP2" i="50" s="1"/>
  <c r="HP2" i="50" a="1"/>
  <c r="HP2" i="50" s="1"/>
  <c r="IO2" i="50" s="1"/>
  <c r="HL2" i="50"/>
  <c r="HJ2" i="50"/>
  <c r="HI2" i="50"/>
  <c r="HH2" i="50"/>
  <c r="HB2" i="50"/>
  <c r="HA2" i="50"/>
  <c r="GZ2" i="50"/>
  <c r="GY2" i="50"/>
  <c r="GX2" i="50"/>
  <c r="GW2" i="50"/>
  <c r="GV2" i="50"/>
  <c r="GU2" i="50"/>
  <c r="HC2" i="50" s="1"/>
  <c r="GT2" i="50"/>
  <c r="GP2" i="50"/>
  <c r="GI2" i="50"/>
  <c r="GH2" i="50"/>
  <c r="GG2" i="50"/>
  <c r="GF2" i="50"/>
  <c r="GE2" i="50"/>
  <c r="GD2" i="50"/>
  <c r="GC2" i="50"/>
  <c r="GB2" i="50"/>
  <c r="GA2" i="50"/>
  <c r="FZ2" i="50"/>
  <c r="FY2" i="50"/>
  <c r="FX2" i="50"/>
  <c r="FW2" i="50"/>
  <c r="FV2" i="50"/>
  <c r="FU2" i="50"/>
  <c r="FT2" i="50"/>
  <c r="FS2" i="50"/>
  <c r="FR2" i="50"/>
  <c r="FQ2" i="50"/>
  <c r="FP2" i="50"/>
  <c r="FO2" i="50"/>
  <c r="FN2" i="50"/>
  <c r="FJ2" i="50"/>
  <c r="FM2" i="50" s="1"/>
  <c r="FI2" i="50"/>
  <c r="FL2" i="50" s="1"/>
  <c r="FH2" i="50"/>
  <c r="FK2" i="50" s="1"/>
  <c r="FG2" i="50"/>
  <c r="FF2" i="50"/>
  <c r="FE2" i="50"/>
  <c r="FD2" i="50"/>
  <c r="FC2" i="50"/>
  <c r="FB2" i="50"/>
  <c r="FA2" i="50"/>
  <c r="EZ2" i="50"/>
  <c r="EY2" i="50"/>
  <c r="EX2" i="50"/>
  <c r="EW2" i="50"/>
  <c r="EV2" i="50"/>
  <c r="EU2" i="50"/>
  <c r="ET2" i="50"/>
  <c r="ES2" i="50"/>
  <c r="ER2" i="50"/>
  <c r="EQ2" i="50"/>
  <c r="EP2" i="50"/>
  <c r="EO2" i="50"/>
  <c r="EN2" i="50"/>
  <c r="EM2" i="50"/>
  <c r="EL2" i="50"/>
  <c r="EK2" i="50"/>
  <c r="EJ2" i="50"/>
  <c r="EI2" i="50"/>
  <c r="EH2" i="50"/>
  <c r="EG2" i="50"/>
  <c r="EF2" i="50"/>
  <c r="EE2" i="50"/>
  <c r="ED2" i="50"/>
  <c r="EC2" i="50"/>
  <c r="EB2" i="50"/>
  <c r="EA2" i="50"/>
  <c r="DY2" i="50"/>
  <c r="DX2" i="50"/>
  <c r="DW2" i="50"/>
  <c r="DV2" i="50"/>
  <c r="DU2" i="50"/>
  <c r="DT2" i="50"/>
  <c r="DS2" i="50"/>
  <c r="DR2" i="50"/>
  <c r="DQ2" i="50"/>
  <c r="DP2" i="50"/>
  <c r="DO2" i="50"/>
  <c r="DN2" i="50"/>
  <c r="DK2" i="50"/>
  <c r="DJ2" i="50"/>
  <c r="DI2" i="50"/>
  <c r="DH2" i="50"/>
  <c r="DG2" i="50"/>
  <c r="DF2" i="50"/>
  <c r="DE2" i="50"/>
  <c r="DD2" i="50"/>
  <c r="DC2" i="50"/>
  <c r="DB2" i="50"/>
  <c r="DA2" i="50"/>
  <c r="CV2" i="50"/>
  <c r="CU2" i="50"/>
  <c r="CT2" i="50"/>
  <c r="CS2" i="50"/>
  <c r="GN2" i="50" s="1"/>
  <c r="CR2" i="50"/>
  <c r="GM2" i="50" s="1"/>
  <c r="CQ2" i="50"/>
  <c r="GL2" i="50" s="1"/>
  <c r="CP2" i="50"/>
  <c r="GJ2" i="50" s="1"/>
  <c r="GK2" i="50" s="1"/>
  <c r="CO2" i="50"/>
  <c r="DZ2" i="50" s="1"/>
  <c r="CN2" i="50"/>
  <c r="CM2" i="50"/>
  <c r="CL2" i="50"/>
  <c r="CG2" i="50" a="1"/>
  <c r="CG2" i="50" s="1"/>
  <c r="AW2" i="50"/>
  <c r="AV2" i="50"/>
  <c r="AX2" i="50" s="1"/>
  <c r="J2" i="50"/>
  <c r="G2" i="50"/>
  <c r="IL2" i="46"/>
  <c r="HX2" i="46" a="1"/>
  <c r="HX2" i="46" s="1"/>
  <c r="IW2" i="46" s="1"/>
  <c r="HW2" i="46" a="1"/>
  <c r="HW2" i="46" s="1"/>
  <c r="IV2" i="46" s="1"/>
  <c r="HV2" i="46" a="1"/>
  <c r="HV2" i="46" s="1"/>
  <c r="IU2" i="46" s="1"/>
  <c r="HU2" i="46" a="1"/>
  <c r="HU2" i="46" s="1"/>
  <c r="IT2" i="46" s="1"/>
  <c r="HT2" i="46" a="1"/>
  <c r="HT2" i="46" s="1"/>
  <c r="IS2" i="46" s="1"/>
  <c r="HS2" i="46" a="1"/>
  <c r="HS2" i="46" s="1"/>
  <c r="IR2" i="46" s="1"/>
  <c r="HR2" i="46" a="1"/>
  <c r="HR2" i="46" s="1"/>
  <c r="IQ2" i="46" s="1"/>
  <c r="HQ2" i="46" a="1"/>
  <c r="HQ2" i="46" s="1"/>
  <c r="IP2" i="46" s="1"/>
  <c r="HP2" i="46" a="1"/>
  <c r="HP2" i="46" s="1"/>
  <c r="IO2" i="46" s="1"/>
  <c r="HL2" i="46"/>
  <c r="HJ2" i="46"/>
  <c r="HI2" i="46"/>
  <c r="HH2" i="46"/>
  <c r="HB2" i="46"/>
  <c r="HA2" i="46"/>
  <c r="GZ2" i="46"/>
  <c r="GY2" i="46"/>
  <c r="GX2" i="46"/>
  <c r="GW2" i="46"/>
  <c r="GV2" i="46"/>
  <c r="GU2" i="46"/>
  <c r="GT2" i="46"/>
  <c r="GP2" i="46"/>
  <c r="GI2" i="46"/>
  <c r="GH2" i="46"/>
  <c r="GG2" i="46"/>
  <c r="GF2" i="46"/>
  <c r="GE2" i="46"/>
  <c r="GD2" i="46"/>
  <c r="GC2" i="46"/>
  <c r="GB2" i="46"/>
  <c r="GA2" i="46"/>
  <c r="FZ2" i="46"/>
  <c r="FY2" i="46"/>
  <c r="FX2" i="46"/>
  <c r="FW2" i="46"/>
  <c r="FV2" i="46"/>
  <c r="FU2" i="46"/>
  <c r="FT2" i="46"/>
  <c r="FS2" i="46"/>
  <c r="FR2" i="46"/>
  <c r="FQ2" i="46"/>
  <c r="FO2" i="46"/>
  <c r="FN2" i="46"/>
  <c r="FJ2" i="46"/>
  <c r="FM2" i="46" s="1"/>
  <c r="FI2" i="46"/>
  <c r="FL2" i="46" s="1"/>
  <c r="FH2" i="46"/>
  <c r="FG2" i="46"/>
  <c r="FF2" i="46"/>
  <c r="FP2" i="46" s="1"/>
  <c r="FE2" i="46"/>
  <c r="FD2" i="46"/>
  <c r="FC2" i="46"/>
  <c r="FB2" i="46"/>
  <c r="FA2" i="46"/>
  <c r="EZ2" i="46"/>
  <c r="EY2" i="46"/>
  <c r="EX2" i="46"/>
  <c r="EW2" i="46"/>
  <c r="EV2" i="46"/>
  <c r="EU2" i="46"/>
  <c r="ET2" i="46"/>
  <c r="ES2" i="46"/>
  <c r="ER2" i="46"/>
  <c r="EQ2" i="46"/>
  <c r="EP2" i="46"/>
  <c r="EO2" i="46"/>
  <c r="EN2" i="46"/>
  <c r="EM2" i="46"/>
  <c r="EL2" i="46"/>
  <c r="EK2" i="46"/>
  <c r="EJ2" i="46"/>
  <c r="EI2" i="46"/>
  <c r="EH2" i="46"/>
  <c r="EG2" i="46"/>
  <c r="EF2" i="46"/>
  <c r="EE2" i="46"/>
  <c r="ED2" i="46"/>
  <c r="EC2" i="46"/>
  <c r="EB2" i="46"/>
  <c r="EA2" i="46"/>
  <c r="DY2" i="46"/>
  <c r="DW2" i="46"/>
  <c r="DV2" i="46"/>
  <c r="DU2" i="46"/>
  <c r="DT2" i="46"/>
  <c r="DS2" i="46"/>
  <c r="DR2" i="46"/>
  <c r="DQ2" i="46"/>
  <c r="DP2" i="46"/>
  <c r="DO2" i="46"/>
  <c r="DN2" i="46"/>
  <c r="DK2" i="46"/>
  <c r="DJ2" i="46"/>
  <c r="DI2" i="46"/>
  <c r="DH2" i="46"/>
  <c r="DG2" i="46"/>
  <c r="DF2" i="46"/>
  <c r="DE2" i="46"/>
  <c r="DD2" i="46"/>
  <c r="DC2" i="46"/>
  <c r="DB2" i="46"/>
  <c r="DA2" i="46"/>
  <c r="CV2" i="46"/>
  <c r="CU2" i="46"/>
  <c r="CT2" i="46"/>
  <c r="CS2" i="46"/>
  <c r="GN2" i="46" s="1"/>
  <c r="CR2" i="46"/>
  <c r="GM2" i="46" s="1"/>
  <c r="CQ2" i="46"/>
  <c r="GL2" i="46" s="1"/>
  <c r="CP2" i="46"/>
  <c r="GJ2" i="46" s="1"/>
  <c r="GK2" i="46" s="1"/>
  <c r="CO2" i="46"/>
  <c r="DZ2" i="46" s="1"/>
  <c r="CN2" i="46"/>
  <c r="CM2" i="46"/>
  <c r="DX2" i="46" s="1"/>
  <c r="CL2" i="46"/>
  <c r="CG2" i="46" a="1"/>
  <c r="CG2" i="46" s="1"/>
  <c r="AW2" i="46"/>
  <c r="AV2" i="46"/>
  <c r="AX2" i="46" s="1"/>
  <c r="J2" i="46"/>
  <c r="G2" i="46"/>
  <c r="IL3" i="46"/>
  <c r="HX3" i="46" a="1"/>
  <c r="HX3" i="46" s="1"/>
  <c r="IW3" i="46" s="1"/>
  <c r="HW3" i="46" a="1"/>
  <c r="HW3" i="46" s="1"/>
  <c r="IV3" i="46" s="1"/>
  <c r="HV3" i="46" a="1"/>
  <c r="HV3" i="46" s="1"/>
  <c r="IU3" i="46" s="1"/>
  <c r="HU3" i="46" a="1"/>
  <c r="HU3" i="46" s="1"/>
  <c r="IT3" i="46" s="1"/>
  <c r="HT3" i="46" a="1"/>
  <c r="HT3" i="46" s="1"/>
  <c r="IS3" i="46" s="1"/>
  <c r="HS3" i="46" a="1"/>
  <c r="HS3" i="46" s="1"/>
  <c r="IR3" i="46" s="1"/>
  <c r="HR3" i="46" a="1"/>
  <c r="HR3" i="46" s="1"/>
  <c r="IQ3" i="46" s="1"/>
  <c r="HQ3" i="46" a="1"/>
  <c r="HQ3" i="46" s="1"/>
  <c r="IP3" i="46" s="1"/>
  <c r="HP3" i="46" a="1"/>
  <c r="HP3" i="46" s="1"/>
  <c r="IO3" i="46" s="1"/>
  <c r="HL3" i="46"/>
  <c r="HJ3" i="46"/>
  <c r="HH3" i="46"/>
  <c r="HB3" i="46"/>
  <c r="HA3" i="46"/>
  <c r="GZ3" i="46"/>
  <c r="GY3" i="46"/>
  <c r="GX3" i="46"/>
  <c r="GW3" i="46"/>
  <c r="GV3" i="46"/>
  <c r="GU3" i="46"/>
  <c r="HC3" i="46" s="1"/>
  <c r="GT3" i="46"/>
  <c r="GP3" i="46"/>
  <c r="GI3" i="46"/>
  <c r="GH3" i="46"/>
  <c r="GG3" i="46"/>
  <c r="GF3" i="46"/>
  <c r="GE3" i="46"/>
  <c r="GD3" i="46"/>
  <c r="GC3" i="46"/>
  <c r="GB3" i="46"/>
  <c r="GA3" i="46"/>
  <c r="FZ3" i="46"/>
  <c r="FY3" i="46"/>
  <c r="FX3" i="46"/>
  <c r="FW3" i="46"/>
  <c r="FV3" i="46"/>
  <c r="FU3" i="46"/>
  <c r="FT3" i="46"/>
  <c r="FS3" i="46"/>
  <c r="FR3" i="46"/>
  <c r="FQ3" i="46"/>
  <c r="FP3" i="46"/>
  <c r="FO3" i="46"/>
  <c r="FN3" i="46"/>
  <c r="FJ3" i="46"/>
  <c r="FI3" i="46"/>
  <c r="FH3" i="46"/>
  <c r="FG3" i="46"/>
  <c r="FF3" i="46"/>
  <c r="FE3" i="46"/>
  <c r="FD3" i="46"/>
  <c r="FC3" i="46"/>
  <c r="FB3" i="46"/>
  <c r="FA3" i="46"/>
  <c r="EZ3" i="46"/>
  <c r="EY3" i="46"/>
  <c r="EX3" i="46"/>
  <c r="EW3" i="46"/>
  <c r="EV3" i="46"/>
  <c r="EU3" i="46"/>
  <c r="ET3" i="46"/>
  <c r="ES3" i="46"/>
  <c r="ER3" i="46"/>
  <c r="EQ3" i="46"/>
  <c r="EP3" i="46"/>
  <c r="EO3" i="46"/>
  <c r="EN3" i="46"/>
  <c r="EM3" i="46"/>
  <c r="EL3" i="46"/>
  <c r="EK3" i="46"/>
  <c r="EJ3" i="46"/>
  <c r="EI3" i="46"/>
  <c r="EH3" i="46"/>
  <c r="EG3" i="46"/>
  <c r="EF3" i="46"/>
  <c r="EE3" i="46"/>
  <c r="ED3" i="46"/>
  <c r="EC3" i="46"/>
  <c r="EB3" i="46"/>
  <c r="EA3" i="46"/>
  <c r="DX3" i="46"/>
  <c r="DV3" i="46"/>
  <c r="DU3" i="46"/>
  <c r="DT3" i="46"/>
  <c r="DS3" i="46"/>
  <c r="DR3" i="46"/>
  <c r="DQ3" i="46"/>
  <c r="DP3" i="46"/>
  <c r="DO3" i="46"/>
  <c r="DN3" i="46"/>
  <c r="DK3" i="46"/>
  <c r="DJ3" i="46"/>
  <c r="DI3" i="46"/>
  <c r="DH3" i="46"/>
  <c r="DG3" i="46"/>
  <c r="DF3" i="46"/>
  <c r="DE3" i="46"/>
  <c r="DD3" i="46"/>
  <c r="DC3" i="46"/>
  <c r="DB3" i="46"/>
  <c r="DA3" i="46"/>
  <c r="CV3" i="46"/>
  <c r="CU3" i="46"/>
  <c r="CT3" i="46"/>
  <c r="CS3" i="46"/>
  <c r="GN3" i="46" s="1"/>
  <c r="CR3" i="46"/>
  <c r="GM3" i="46" s="1"/>
  <c r="CQ3" i="46"/>
  <c r="GL3" i="46" s="1"/>
  <c r="CP3" i="46"/>
  <c r="GJ3" i="46" s="1"/>
  <c r="GK3" i="46" s="1"/>
  <c r="CO3" i="46"/>
  <c r="DZ3" i="46" s="1"/>
  <c r="CN3" i="46"/>
  <c r="DY3" i="46" s="1"/>
  <c r="CM3" i="46"/>
  <c r="CL3" i="46"/>
  <c r="DW3" i="46" s="1"/>
  <c r="CG3" i="46" a="1"/>
  <c r="CG3" i="46" s="1"/>
  <c r="AW3" i="46"/>
  <c r="AV3" i="46"/>
  <c r="J3" i="46"/>
  <c r="HI3" i="46" s="1"/>
  <c r="G3" i="46"/>
  <c r="IL4" i="46"/>
  <c r="HX4" i="46" a="1"/>
  <c r="HX4" i="46" s="1"/>
  <c r="IW4" i="46" s="1"/>
  <c r="HW4" i="46" a="1"/>
  <c r="HW4" i="46" s="1"/>
  <c r="IV4" i="46" s="1"/>
  <c r="HV4" i="46" a="1"/>
  <c r="HV4" i="46" s="1"/>
  <c r="IU4" i="46" s="1"/>
  <c r="HU4" i="46" a="1"/>
  <c r="HU4" i="46" s="1"/>
  <c r="IT4" i="46" s="1"/>
  <c r="HT4" i="46" a="1"/>
  <c r="HT4" i="46" s="1"/>
  <c r="IS4" i="46" s="1"/>
  <c r="HS4" i="46" a="1"/>
  <c r="HS4" i="46" s="1"/>
  <c r="IR4" i="46" s="1"/>
  <c r="HR4" i="46" a="1"/>
  <c r="HR4" i="46" s="1"/>
  <c r="IQ4" i="46" s="1"/>
  <c r="HQ4" i="46" a="1"/>
  <c r="HQ4" i="46" s="1"/>
  <c r="IP4" i="46" s="1"/>
  <c r="HP4" i="46" a="1"/>
  <c r="HP4" i="46" s="1"/>
  <c r="IO4" i="46" s="1"/>
  <c r="HL4" i="46"/>
  <c r="HJ4" i="46"/>
  <c r="HH4" i="46"/>
  <c r="HB4" i="46"/>
  <c r="HA4" i="46"/>
  <c r="GZ4" i="46"/>
  <c r="GY4" i="46"/>
  <c r="GX4" i="46"/>
  <c r="GW4" i="46"/>
  <c r="GV4" i="46"/>
  <c r="GU4" i="46"/>
  <c r="GT4" i="46"/>
  <c r="GP4" i="46"/>
  <c r="GI4" i="46"/>
  <c r="GH4" i="46"/>
  <c r="GG4" i="46"/>
  <c r="GF4" i="46"/>
  <c r="GE4" i="46"/>
  <c r="GD4" i="46"/>
  <c r="GC4" i="46"/>
  <c r="GB4" i="46"/>
  <c r="GA4" i="46"/>
  <c r="FZ4" i="46"/>
  <c r="FY4" i="46"/>
  <c r="FX4" i="46"/>
  <c r="FW4" i="46"/>
  <c r="FV4" i="46"/>
  <c r="FU4" i="46"/>
  <c r="FT4" i="46"/>
  <c r="FS4" i="46"/>
  <c r="FR4" i="46"/>
  <c r="FQ4" i="46"/>
  <c r="FP4" i="46"/>
  <c r="FJ4" i="46"/>
  <c r="FI4" i="46"/>
  <c r="FH4" i="46"/>
  <c r="FK4" i="46" s="1"/>
  <c r="FG4" i="46"/>
  <c r="FO4" i="46" s="1"/>
  <c r="FF4" i="46"/>
  <c r="FN4" i="46" s="1"/>
  <c r="FE4" i="46"/>
  <c r="FD4" i="46"/>
  <c r="FC4" i="46"/>
  <c r="FB4" i="46"/>
  <c r="FA4" i="46"/>
  <c r="EZ4" i="46"/>
  <c r="EY4" i="46"/>
  <c r="EX4" i="46"/>
  <c r="EW4" i="46"/>
  <c r="EV4" i="46"/>
  <c r="EU4" i="46"/>
  <c r="ET4" i="46"/>
  <c r="ES4" i="46"/>
  <c r="ER4" i="46"/>
  <c r="EQ4" i="46"/>
  <c r="EP4" i="46"/>
  <c r="EO4" i="46"/>
  <c r="EN4" i="46"/>
  <c r="EM4" i="46"/>
  <c r="EL4" i="46"/>
  <c r="EK4" i="46"/>
  <c r="EJ4" i="46"/>
  <c r="EI4" i="46"/>
  <c r="EH4" i="46"/>
  <c r="EG4" i="46"/>
  <c r="EF4" i="46"/>
  <c r="EE4" i="46"/>
  <c r="ED4" i="46"/>
  <c r="EC4" i="46"/>
  <c r="EB4" i="46"/>
  <c r="EA4" i="46"/>
  <c r="DV4" i="46"/>
  <c r="DU4" i="46"/>
  <c r="DT4" i="46"/>
  <c r="DS4" i="46"/>
  <c r="DR4" i="46"/>
  <c r="DQ4" i="46"/>
  <c r="DP4" i="46"/>
  <c r="DO4" i="46"/>
  <c r="DN4" i="46"/>
  <c r="DK4" i="46"/>
  <c r="DJ4" i="46"/>
  <c r="DI4" i="46"/>
  <c r="DH4" i="46"/>
  <c r="DG4" i="46"/>
  <c r="DF4" i="46"/>
  <c r="DE4" i="46"/>
  <c r="DD4" i="46"/>
  <c r="DC4" i="46"/>
  <c r="DA4" i="46"/>
  <c r="CV4" i="46"/>
  <c r="CU4" i="46"/>
  <c r="CT4" i="46"/>
  <c r="CS4" i="46"/>
  <c r="GN4" i="46" s="1"/>
  <c r="CR4" i="46"/>
  <c r="GM4" i="46" s="1"/>
  <c r="CQ4" i="46"/>
  <c r="GL4" i="46" s="1"/>
  <c r="CP4" i="46"/>
  <c r="GJ4" i="46" s="1"/>
  <c r="GK4" i="46" s="1"/>
  <c r="CO4" i="46"/>
  <c r="DZ4" i="46" s="1"/>
  <c r="CN4" i="46"/>
  <c r="DY4" i="46" s="1"/>
  <c r="CM4" i="46"/>
  <c r="DX4" i="46" s="1"/>
  <c r="CL4" i="46"/>
  <c r="DW4" i="46" s="1"/>
  <c r="CG4" i="46" a="1"/>
  <c r="CG4" i="46" s="1"/>
  <c r="AW4" i="46"/>
  <c r="AV4" i="46"/>
  <c r="J4" i="46"/>
  <c r="G4" i="46"/>
  <c r="HX3" i="45" a="1"/>
  <c r="HX3" i="45" s="1"/>
  <c r="IW3" i="45" s="1"/>
  <c r="HW3" i="45"/>
  <c r="IV3" i="45" s="1"/>
  <c r="HW3" i="45" a="1"/>
  <c r="HV3" i="45" a="1"/>
  <c r="HV3" i="45" s="1"/>
  <c r="IU3" i="45" s="1"/>
  <c r="HU3" i="45" a="1"/>
  <c r="HU3" i="45" s="1"/>
  <c r="IT3" i="45" s="1"/>
  <c r="HT3" i="45" a="1"/>
  <c r="HT3" i="45" s="1"/>
  <c r="IS3" i="45" s="1"/>
  <c r="HS3" i="45" a="1"/>
  <c r="HS3" i="45" s="1"/>
  <c r="IR3" i="45" s="1"/>
  <c r="HR3" i="45" a="1"/>
  <c r="HR3" i="45" s="1"/>
  <c r="IQ3" i="45" s="1"/>
  <c r="HQ3" i="45"/>
  <c r="IP3" i="45" s="1"/>
  <c r="HQ3" i="45" a="1"/>
  <c r="HP3" i="45" a="1"/>
  <c r="HP3" i="45" s="1"/>
  <c r="IO3" i="45" s="1"/>
  <c r="HL3" i="45"/>
  <c r="HJ3" i="45"/>
  <c r="HH3" i="45"/>
  <c r="HI3" i="45" s="1"/>
  <c r="HB3" i="45"/>
  <c r="HA3" i="45"/>
  <c r="GZ3" i="45"/>
  <c r="GY3" i="45"/>
  <c r="GX3" i="45"/>
  <c r="GW3" i="45"/>
  <c r="GV3" i="45"/>
  <c r="GU3" i="45"/>
  <c r="GT3" i="45"/>
  <c r="HC3" i="45" s="1"/>
  <c r="GP3" i="45"/>
  <c r="GN3" i="45"/>
  <c r="GK3" i="45"/>
  <c r="GJ3" i="45"/>
  <c r="GI3" i="45"/>
  <c r="GH3" i="45"/>
  <c r="GG3" i="45"/>
  <c r="GF3" i="45"/>
  <c r="GE3" i="45"/>
  <c r="GB3" i="45"/>
  <c r="GA3" i="45"/>
  <c r="FZ3" i="45"/>
  <c r="FY3" i="45"/>
  <c r="FW3" i="45"/>
  <c r="FV3" i="45"/>
  <c r="FU3" i="45"/>
  <c r="FT3" i="45"/>
  <c r="FS3" i="45"/>
  <c r="FR3" i="45"/>
  <c r="FQ3" i="45"/>
  <c r="FP3" i="45"/>
  <c r="FJ3" i="45"/>
  <c r="FM3" i="45" s="1"/>
  <c r="FI3" i="45"/>
  <c r="FL3" i="45" s="1"/>
  <c r="FH3" i="45"/>
  <c r="FK3" i="45" s="1"/>
  <c r="FG3" i="45"/>
  <c r="FF3" i="45"/>
  <c r="FE3" i="45"/>
  <c r="FO3" i="45" s="1"/>
  <c r="FD3" i="45"/>
  <c r="FB3" i="45"/>
  <c r="FA3" i="45"/>
  <c r="EZ3" i="45"/>
  <c r="EY3" i="45"/>
  <c r="EX3" i="45"/>
  <c r="EW3" i="45"/>
  <c r="EV3" i="45"/>
  <c r="EU3" i="45"/>
  <c r="ET3" i="45"/>
  <c r="ES3" i="45"/>
  <c r="ER3" i="45"/>
  <c r="EQ3" i="45"/>
  <c r="EP3" i="45"/>
  <c r="EO3" i="45"/>
  <c r="EN3" i="45"/>
  <c r="EM3" i="45"/>
  <c r="EL3" i="45"/>
  <c r="EK3" i="45"/>
  <c r="EJ3" i="45"/>
  <c r="EI3" i="45"/>
  <c r="EH3" i="45"/>
  <c r="EG3" i="45"/>
  <c r="EF3" i="45"/>
  <c r="EE3" i="45"/>
  <c r="ED3" i="45"/>
  <c r="EC3" i="45"/>
  <c r="EB3" i="45"/>
  <c r="EA3" i="45"/>
  <c r="DU3" i="45"/>
  <c r="DT3" i="45"/>
  <c r="DS3" i="45"/>
  <c r="DR3" i="45"/>
  <c r="DQ3" i="45"/>
  <c r="DP3" i="45"/>
  <c r="DO3" i="45"/>
  <c r="DN3" i="45"/>
  <c r="DK3" i="45"/>
  <c r="DJ3" i="45"/>
  <c r="DI3" i="45"/>
  <c r="DH3" i="45"/>
  <c r="DG3" i="45"/>
  <c r="DF3" i="45"/>
  <c r="DE3" i="45"/>
  <c r="DD3" i="45"/>
  <c r="DB3" i="45"/>
  <c r="DA3" i="45"/>
  <c r="CV3" i="45"/>
  <c r="CU3" i="45"/>
  <c r="CT3" i="45"/>
  <c r="CS3" i="45"/>
  <c r="CR3" i="45"/>
  <c r="GM3" i="45" s="1"/>
  <c r="CQ3" i="45"/>
  <c r="GL3" i="45" s="1"/>
  <c r="CP3" i="45"/>
  <c r="CO3" i="45"/>
  <c r="DZ3" i="45" s="1"/>
  <c r="CN3" i="45"/>
  <c r="DY3" i="45" s="1"/>
  <c r="CM3" i="45"/>
  <c r="DX3" i="45" s="1"/>
  <c r="CL3" i="45"/>
  <c r="DW3" i="45" s="1"/>
  <c r="CG3" i="45" a="1"/>
  <c r="CG3" i="45" s="1"/>
  <c r="AW3" i="45"/>
  <c r="AV3" i="45"/>
  <c r="J3" i="45"/>
  <c r="G3" i="45"/>
  <c r="IO2" i="45"/>
  <c r="IL2" i="45"/>
  <c r="HX2" i="45" a="1"/>
  <c r="HX2" i="45" s="1"/>
  <c r="IW2" i="45" s="1"/>
  <c r="HW2" i="45" a="1"/>
  <c r="HW2" i="45" s="1"/>
  <c r="IV2" i="45" s="1"/>
  <c r="HV2" i="45"/>
  <c r="IU2" i="45" s="1"/>
  <c r="HV2" i="45" a="1"/>
  <c r="HU2" i="45" a="1"/>
  <c r="HU2" i="45" s="1"/>
  <c r="IT2" i="45" s="1"/>
  <c r="HT2" i="45" a="1"/>
  <c r="HT2" i="45" s="1"/>
  <c r="IS2" i="45" s="1"/>
  <c r="HS2" i="45"/>
  <c r="IR2" i="45" s="1"/>
  <c r="HS2" i="45" a="1"/>
  <c r="HR2" i="45" a="1"/>
  <c r="HR2" i="45" s="1"/>
  <c r="IQ2" i="45" s="1"/>
  <c r="HQ2" i="45" a="1"/>
  <c r="HQ2" i="45" s="1"/>
  <c r="IP2" i="45" s="1"/>
  <c r="HP2" i="45"/>
  <c r="HP2" i="45" a="1"/>
  <c r="HL2" i="45"/>
  <c r="HJ2" i="45"/>
  <c r="HI2" i="45"/>
  <c r="HH2" i="45"/>
  <c r="HB2" i="45"/>
  <c r="HA2" i="45"/>
  <c r="GZ2" i="45"/>
  <c r="GY2" i="45"/>
  <c r="GX2" i="45"/>
  <c r="GW2" i="45"/>
  <c r="GV2" i="45"/>
  <c r="GU2" i="45"/>
  <c r="HC2" i="45" s="1"/>
  <c r="GT2" i="45"/>
  <c r="GP2" i="45"/>
  <c r="GI2" i="45"/>
  <c r="GH2" i="45"/>
  <c r="GG2" i="45"/>
  <c r="GF2" i="45"/>
  <c r="GE2" i="45"/>
  <c r="GD2" i="45"/>
  <c r="GC2" i="45"/>
  <c r="GB2" i="45"/>
  <c r="GA2" i="45"/>
  <c r="FZ2" i="45"/>
  <c r="FY2" i="45"/>
  <c r="FX2" i="45"/>
  <c r="FW2" i="45"/>
  <c r="FV2" i="45"/>
  <c r="FU2" i="45"/>
  <c r="FT2" i="45"/>
  <c r="FS2" i="45"/>
  <c r="FR2" i="45"/>
  <c r="FQ2" i="45"/>
  <c r="FP2" i="45"/>
  <c r="FO2" i="45"/>
  <c r="FN2" i="45"/>
  <c r="FJ2" i="45"/>
  <c r="FM2" i="45" s="1"/>
  <c r="FI2" i="45"/>
  <c r="FL2" i="45" s="1"/>
  <c r="FH2" i="45"/>
  <c r="FK2" i="45" s="1"/>
  <c r="FG2" i="45"/>
  <c r="FF2" i="45"/>
  <c r="FE2" i="45"/>
  <c r="FD2" i="45"/>
  <c r="FC2" i="45"/>
  <c r="FB2" i="45"/>
  <c r="FA2" i="45"/>
  <c r="EZ2" i="45"/>
  <c r="EY2" i="45"/>
  <c r="EX2" i="45"/>
  <c r="EW2" i="45"/>
  <c r="EV2" i="45"/>
  <c r="EU2" i="45"/>
  <c r="ET2" i="45"/>
  <c r="ES2" i="45"/>
  <c r="ER2" i="45"/>
  <c r="EQ2" i="45"/>
  <c r="EP2" i="45"/>
  <c r="EO2" i="45"/>
  <c r="EN2" i="45"/>
  <c r="EM2" i="45"/>
  <c r="EL2" i="45"/>
  <c r="EK2" i="45"/>
  <c r="EJ2" i="45"/>
  <c r="EI2" i="45"/>
  <c r="EH2" i="45"/>
  <c r="EG2" i="45"/>
  <c r="EF2" i="45"/>
  <c r="EE2" i="45"/>
  <c r="ED2" i="45"/>
  <c r="EC2" i="45"/>
  <c r="EB2" i="45"/>
  <c r="EA2" i="45"/>
  <c r="DY2" i="45"/>
  <c r="DX2" i="45"/>
  <c r="DW2" i="45"/>
  <c r="DV2" i="45"/>
  <c r="DU2" i="45"/>
  <c r="DT2" i="45"/>
  <c r="DS2" i="45"/>
  <c r="DR2" i="45"/>
  <c r="DQ2" i="45"/>
  <c r="DP2" i="45"/>
  <c r="DO2" i="45"/>
  <c r="DN2" i="45"/>
  <c r="DK2" i="45"/>
  <c r="DJ2" i="45"/>
  <c r="DI2" i="45"/>
  <c r="DH2" i="45"/>
  <c r="DG2" i="45"/>
  <c r="DF2" i="45"/>
  <c r="DE2" i="45"/>
  <c r="DD2" i="45"/>
  <c r="DC2" i="45"/>
  <c r="DB2" i="45"/>
  <c r="DA2" i="45"/>
  <c r="CV2" i="45"/>
  <c r="CU2" i="45"/>
  <c r="CT2" i="45"/>
  <c r="CS2" i="45"/>
  <c r="GN2" i="45" s="1"/>
  <c r="CR2" i="45"/>
  <c r="GM2" i="45" s="1"/>
  <c r="CQ2" i="45"/>
  <c r="GL2" i="45" s="1"/>
  <c r="CP2" i="45"/>
  <c r="GJ2" i="45" s="1"/>
  <c r="GK2" i="45" s="1"/>
  <c r="CO2" i="45"/>
  <c r="DZ2" i="45" s="1"/>
  <c r="CN2" i="45"/>
  <c r="CM2" i="45"/>
  <c r="CL2" i="45"/>
  <c r="CG2" i="45" a="1"/>
  <c r="CG2" i="45" s="1"/>
  <c r="AW2" i="45"/>
  <c r="AV2" i="45"/>
  <c r="AX2" i="45" s="1"/>
  <c r="J2" i="45"/>
  <c r="G2" i="45"/>
  <c r="IL2" i="44"/>
  <c r="HX2" i="44" a="1"/>
  <c r="HX2" i="44" s="1"/>
  <c r="IW2" i="44" s="1"/>
  <c r="HW2" i="44" a="1"/>
  <c r="HW2" i="44" s="1"/>
  <c r="IV2" i="44" s="1"/>
  <c r="HV2" i="44" a="1"/>
  <c r="HV2" i="44" s="1"/>
  <c r="IU2" i="44" s="1"/>
  <c r="HU2" i="44" a="1"/>
  <c r="HU2" i="44" s="1"/>
  <c r="IT2" i="44" s="1"/>
  <c r="HT2" i="44" a="1"/>
  <c r="HT2" i="44" s="1"/>
  <c r="IS2" i="44" s="1"/>
  <c r="HS2" i="44"/>
  <c r="IR2" i="44" s="1"/>
  <c r="HS2" i="44" a="1"/>
  <c r="HR2" i="44" a="1"/>
  <c r="HR2" i="44" s="1"/>
  <c r="IQ2" i="44" s="1"/>
  <c r="HQ2" i="44" a="1"/>
  <c r="HQ2" i="44" s="1"/>
  <c r="IP2" i="44" s="1"/>
  <c r="HP2" i="44" a="1"/>
  <c r="HP2" i="44" s="1"/>
  <c r="IO2" i="44" s="1"/>
  <c r="HL2" i="44"/>
  <c r="HJ2" i="44"/>
  <c r="HI2" i="44"/>
  <c r="HH2" i="44"/>
  <c r="HB2" i="44"/>
  <c r="HA2" i="44"/>
  <c r="GZ2" i="44"/>
  <c r="GY2" i="44"/>
  <c r="GX2" i="44"/>
  <c r="GW2" i="44"/>
  <c r="GV2" i="44"/>
  <c r="GU2" i="44"/>
  <c r="HC2" i="44" s="1"/>
  <c r="GT2" i="44"/>
  <c r="GP2" i="44"/>
  <c r="GI2" i="44"/>
  <c r="GH2" i="44"/>
  <c r="GG2" i="44"/>
  <c r="GF2" i="44"/>
  <c r="GE2" i="44"/>
  <c r="GD2" i="44"/>
  <c r="GC2" i="44"/>
  <c r="GB2" i="44"/>
  <c r="GA2" i="44"/>
  <c r="FZ2" i="44"/>
  <c r="FY2" i="44"/>
  <c r="FX2" i="44"/>
  <c r="FW2" i="44"/>
  <c r="FV2" i="44"/>
  <c r="FU2" i="44"/>
  <c r="FT2" i="44"/>
  <c r="FS2" i="44"/>
  <c r="FR2" i="44"/>
  <c r="FQ2" i="44"/>
  <c r="FP2" i="44"/>
  <c r="FO2" i="44"/>
  <c r="FN2" i="44"/>
  <c r="FJ2" i="44"/>
  <c r="FM2" i="44" s="1"/>
  <c r="FI2" i="44"/>
  <c r="FL2" i="44" s="1"/>
  <c r="FH2" i="44"/>
  <c r="FK2" i="44" s="1"/>
  <c r="FG2" i="44"/>
  <c r="FF2" i="44"/>
  <c r="FE2" i="44"/>
  <c r="FD2" i="44"/>
  <c r="FC2" i="44"/>
  <c r="FB2" i="44"/>
  <c r="FA2" i="44"/>
  <c r="EZ2" i="44"/>
  <c r="EY2" i="44"/>
  <c r="EX2" i="44"/>
  <c r="EW2" i="44"/>
  <c r="EV2" i="44"/>
  <c r="EU2" i="44"/>
  <c r="ET2" i="44"/>
  <c r="ES2" i="44"/>
  <c r="ER2" i="44"/>
  <c r="EQ2" i="44"/>
  <c r="EP2" i="44"/>
  <c r="EO2" i="44"/>
  <c r="EN2" i="44"/>
  <c r="EM2" i="44"/>
  <c r="EL2" i="44"/>
  <c r="EK2" i="44"/>
  <c r="EJ2" i="44"/>
  <c r="EI2" i="44"/>
  <c r="EH2" i="44"/>
  <c r="EG2" i="44"/>
  <c r="EF2" i="44"/>
  <c r="EE2" i="44"/>
  <c r="ED2" i="44"/>
  <c r="EC2" i="44"/>
  <c r="EB2" i="44"/>
  <c r="EA2" i="44"/>
  <c r="DY2" i="44"/>
  <c r="DX2" i="44"/>
  <c r="DV2" i="44"/>
  <c r="DU2" i="44"/>
  <c r="DT2" i="44"/>
  <c r="DS2" i="44"/>
  <c r="DR2" i="44"/>
  <c r="DQ2" i="44"/>
  <c r="DP2" i="44"/>
  <c r="DO2" i="44"/>
  <c r="DN2" i="44"/>
  <c r="DK2" i="44"/>
  <c r="DJ2" i="44"/>
  <c r="DI2" i="44"/>
  <c r="DH2" i="44"/>
  <c r="DG2" i="44"/>
  <c r="DF2" i="44"/>
  <c r="DE2" i="44"/>
  <c r="DD2" i="44"/>
  <c r="DC2" i="44"/>
  <c r="DB2" i="44"/>
  <c r="DA2" i="44"/>
  <c r="CV2" i="44"/>
  <c r="CU2" i="44"/>
  <c r="CT2" i="44"/>
  <c r="CS2" i="44"/>
  <c r="GN2" i="44" s="1"/>
  <c r="CR2" i="44"/>
  <c r="GM2" i="44" s="1"/>
  <c r="CQ2" i="44"/>
  <c r="GL2" i="44" s="1"/>
  <c r="CP2" i="44"/>
  <c r="GJ2" i="44" s="1"/>
  <c r="GK2" i="44" s="1"/>
  <c r="CO2" i="44"/>
  <c r="DZ2" i="44" s="1"/>
  <c r="CN2" i="44"/>
  <c r="CM2" i="44"/>
  <c r="CL2" i="44"/>
  <c r="DW2" i="44" s="1"/>
  <c r="CG2" i="44" a="1"/>
  <c r="CG2" i="44" s="1"/>
  <c r="AW2" i="44"/>
  <c r="AV2" i="44"/>
  <c r="AX2" i="44" s="1"/>
  <c r="J2" i="44"/>
  <c r="G2" i="44"/>
  <c r="IQ4" i="44"/>
  <c r="IN4" i="44"/>
  <c r="IX4" i="44" s="1"/>
  <c r="IM4" i="44"/>
  <c r="HX4" i="44"/>
  <c r="IW4" i="44" s="1"/>
  <c r="HX4" i="44" a="1"/>
  <c r="HW4" i="44" a="1"/>
  <c r="HW4" i="44" s="1"/>
  <c r="IV4" i="44" s="1"/>
  <c r="HV4" i="44" a="1"/>
  <c r="HV4" i="44" s="1"/>
  <c r="IU4" i="44" s="1"/>
  <c r="HU4" i="44" a="1"/>
  <c r="HU4" i="44" s="1"/>
  <c r="IT4" i="44" s="1"/>
  <c r="HT4" i="44" a="1"/>
  <c r="HT4" i="44" s="1"/>
  <c r="IS4" i="44" s="1"/>
  <c r="HS4" i="44" a="1"/>
  <c r="HS4" i="44" s="1"/>
  <c r="IR4" i="44" s="1"/>
  <c r="HR4" i="44"/>
  <c r="HR4" i="44" a="1"/>
  <c r="HQ4" i="44" a="1"/>
  <c r="HQ4" i="44" s="1"/>
  <c r="IP4" i="44" s="1"/>
  <c r="HP4" i="44" a="1"/>
  <c r="HP4" i="44" s="1"/>
  <c r="IO4" i="44" s="1"/>
  <c r="HL4" i="44"/>
  <c r="HJ4" i="44"/>
  <c r="HH4" i="44"/>
  <c r="HI4" i="44" s="1"/>
  <c r="HB4" i="44"/>
  <c r="HA4" i="44"/>
  <c r="GZ4" i="44"/>
  <c r="GY4" i="44"/>
  <c r="GX4" i="44"/>
  <c r="GW4" i="44"/>
  <c r="GV4" i="44"/>
  <c r="GU4" i="44"/>
  <c r="GT4" i="44"/>
  <c r="HC4" i="44" s="1"/>
  <c r="GP4" i="44"/>
  <c r="GN4" i="44"/>
  <c r="GM4" i="44"/>
  <c r="GL4" i="44"/>
  <c r="GJ4" i="44"/>
  <c r="GK4" i="44" s="1"/>
  <c r="GI4" i="44"/>
  <c r="GH4" i="44"/>
  <c r="GG4" i="44"/>
  <c r="GF4" i="44"/>
  <c r="GE4" i="44"/>
  <c r="GB4" i="44"/>
  <c r="GA4" i="44"/>
  <c r="FZ4" i="44"/>
  <c r="FY4" i="44"/>
  <c r="FW4" i="44"/>
  <c r="FV4" i="44"/>
  <c r="FU4" i="44"/>
  <c r="FT4" i="44"/>
  <c r="FS4" i="44"/>
  <c r="FR4" i="44"/>
  <c r="FQ4" i="44"/>
  <c r="FP4" i="44"/>
  <c r="FJ4" i="44"/>
  <c r="FM4" i="44" s="1"/>
  <c r="FI4" i="44"/>
  <c r="FL4" i="44" s="1"/>
  <c r="FH4" i="44"/>
  <c r="FK4" i="44" s="1"/>
  <c r="FG4" i="44"/>
  <c r="FF4" i="44"/>
  <c r="FE4" i="44"/>
  <c r="FO4" i="44" s="1"/>
  <c r="FD4" i="44"/>
  <c r="FB4" i="44"/>
  <c r="FA4" i="44"/>
  <c r="EZ4" i="44"/>
  <c r="EY4" i="44"/>
  <c r="EX4" i="44"/>
  <c r="EW4" i="44"/>
  <c r="EV4" i="44"/>
  <c r="EU4" i="44"/>
  <c r="ET4" i="44"/>
  <c r="ES4" i="44"/>
  <c r="ER4" i="44"/>
  <c r="EQ4" i="44"/>
  <c r="EP4" i="44"/>
  <c r="EO4" i="44"/>
  <c r="EN4" i="44"/>
  <c r="EM4" i="44"/>
  <c r="EL4" i="44"/>
  <c r="EK4" i="44"/>
  <c r="EJ4" i="44"/>
  <c r="EI4" i="44"/>
  <c r="EH4" i="44"/>
  <c r="EG4" i="44"/>
  <c r="EF4" i="44"/>
  <c r="EE4" i="44"/>
  <c r="ED4" i="44"/>
  <c r="EC4" i="44"/>
  <c r="EB4" i="44"/>
  <c r="EA4" i="44"/>
  <c r="DU4" i="44"/>
  <c r="DT4" i="44"/>
  <c r="DS4" i="44"/>
  <c r="DR4" i="44"/>
  <c r="DQ4" i="44"/>
  <c r="DP4" i="44"/>
  <c r="DO4" i="44"/>
  <c r="DN4" i="44"/>
  <c r="DM4" i="44" a="1"/>
  <c r="DM4" i="44" s="1"/>
  <c r="DL4" i="44"/>
  <c r="DK4" i="44"/>
  <c r="DJ4" i="44"/>
  <c r="DI4" i="44"/>
  <c r="DH4" i="44"/>
  <c r="DG4" i="44"/>
  <c r="DF4" i="44"/>
  <c r="DE4" i="44"/>
  <c r="DD4" i="44"/>
  <c r="DB4" i="44"/>
  <c r="DA4" i="44"/>
  <c r="CV4" i="44"/>
  <c r="CU4" i="44"/>
  <c r="CT4" i="44"/>
  <c r="CS4" i="44"/>
  <c r="CR4" i="44"/>
  <c r="CQ4" i="44"/>
  <c r="CP4" i="44"/>
  <c r="CO4" i="44"/>
  <c r="DZ4" i="44" s="1"/>
  <c r="CN4" i="44"/>
  <c r="DY4" i="44" s="1"/>
  <c r="CM4" i="44"/>
  <c r="DX4" i="44" s="1"/>
  <c r="CL4" i="44"/>
  <c r="DW4" i="44" s="1"/>
  <c r="CK4" i="44"/>
  <c r="CZ4" i="44" s="1"/>
  <c r="CJ4" i="44"/>
  <c r="CY4" i="44" s="1"/>
  <c r="CI4" i="44"/>
  <c r="CX4" i="44" s="1"/>
  <c r="CH4" i="44"/>
  <c r="CW4" i="44" s="1"/>
  <c r="CG4" i="44"/>
  <c r="CG4" i="44" a="1"/>
  <c r="AW4" i="44"/>
  <c r="AV4" i="44"/>
  <c r="J4" i="44"/>
  <c r="G4" i="44"/>
  <c r="IT3" i="44"/>
  <c r="HX3" i="44" a="1"/>
  <c r="HX3" i="44" s="1"/>
  <c r="IW3" i="44" s="1"/>
  <c r="HW3" i="44" a="1"/>
  <c r="HW3" i="44" s="1"/>
  <c r="IV3" i="44" s="1"/>
  <c r="HV3" i="44" a="1"/>
  <c r="HV3" i="44" s="1"/>
  <c r="IU3" i="44" s="1"/>
  <c r="HU3" i="44"/>
  <c r="HU3" i="44" a="1"/>
  <c r="HT3" i="44" a="1"/>
  <c r="HT3" i="44" s="1"/>
  <c r="IS3" i="44" s="1"/>
  <c r="HS3" i="44" a="1"/>
  <c r="HS3" i="44" s="1"/>
  <c r="IR3" i="44" s="1"/>
  <c r="HR3" i="44" a="1"/>
  <c r="HR3" i="44" s="1"/>
  <c r="IQ3" i="44" s="1"/>
  <c r="HQ3" i="44" a="1"/>
  <c r="HQ3" i="44" s="1"/>
  <c r="IP3" i="44" s="1"/>
  <c r="HP3" i="44" a="1"/>
  <c r="HP3" i="44" s="1"/>
  <c r="IO3" i="44" s="1"/>
  <c r="HL3" i="44"/>
  <c r="HJ3" i="44"/>
  <c r="HH3" i="44"/>
  <c r="HB3" i="44"/>
  <c r="HA3" i="44"/>
  <c r="GZ3" i="44"/>
  <c r="HC3" i="44" s="1"/>
  <c r="GY3" i="44"/>
  <c r="GX3" i="44"/>
  <c r="GW3" i="44"/>
  <c r="GV3" i="44"/>
  <c r="GU3" i="44"/>
  <c r="GT3" i="44"/>
  <c r="GP3" i="44"/>
  <c r="GN3" i="44"/>
  <c r="GM3" i="44"/>
  <c r="GL3" i="44"/>
  <c r="GI3" i="44"/>
  <c r="GH3" i="44"/>
  <c r="GG3" i="44"/>
  <c r="GF3" i="44"/>
  <c r="GE3" i="44"/>
  <c r="GB3" i="44"/>
  <c r="GA3" i="44"/>
  <c r="FZ3" i="44"/>
  <c r="FY3" i="44"/>
  <c r="FW3" i="44"/>
  <c r="FV3" i="44"/>
  <c r="FU3" i="44"/>
  <c r="FT3" i="44"/>
  <c r="FS3" i="44"/>
  <c r="FR3" i="44"/>
  <c r="FQ3" i="44"/>
  <c r="FP3" i="44"/>
  <c r="FO3" i="44"/>
  <c r="FN3" i="44"/>
  <c r="FL3" i="44"/>
  <c r="FK3" i="44"/>
  <c r="FJ3" i="44"/>
  <c r="FM3" i="44" s="1"/>
  <c r="FI3" i="44"/>
  <c r="FH3" i="44"/>
  <c r="FG3" i="44"/>
  <c r="FF3" i="44"/>
  <c r="FE3" i="44"/>
  <c r="FD3" i="44"/>
  <c r="FB3" i="44"/>
  <c r="FA3" i="44"/>
  <c r="EZ3" i="44"/>
  <c r="EY3" i="44"/>
  <c r="EX3" i="44"/>
  <c r="EW3" i="44"/>
  <c r="EV3" i="44"/>
  <c r="EU3" i="44"/>
  <c r="ET3" i="44"/>
  <c r="ES3" i="44"/>
  <c r="ER3" i="44"/>
  <c r="EQ3" i="44"/>
  <c r="EP3" i="44"/>
  <c r="EO3" i="44"/>
  <c r="EN3" i="44"/>
  <c r="EM3" i="44"/>
  <c r="EL3" i="44"/>
  <c r="EK3" i="44"/>
  <c r="EJ3" i="44"/>
  <c r="EI3" i="44"/>
  <c r="EH3" i="44"/>
  <c r="EG3" i="44"/>
  <c r="EF3" i="44"/>
  <c r="EE3" i="44"/>
  <c r="ED3" i="44"/>
  <c r="EC3" i="44"/>
  <c r="EB3" i="44"/>
  <c r="EA3" i="44"/>
  <c r="DU3" i="44"/>
  <c r="DT3" i="44"/>
  <c r="DS3" i="44"/>
  <c r="DR3" i="44"/>
  <c r="DQ3" i="44"/>
  <c r="DP3" i="44"/>
  <c r="DO3" i="44"/>
  <c r="DN3" i="44"/>
  <c r="DK3" i="44"/>
  <c r="DJ3" i="44"/>
  <c r="DI3" i="44"/>
  <c r="DH3" i="44"/>
  <c r="DG3" i="44"/>
  <c r="DF3" i="44"/>
  <c r="DE3" i="44"/>
  <c r="DD3" i="44"/>
  <c r="DB3" i="44"/>
  <c r="DA3" i="44"/>
  <c r="CV3" i="44"/>
  <c r="CU3" i="44"/>
  <c r="CT3" i="44"/>
  <c r="CS3" i="44"/>
  <c r="CR3" i="44"/>
  <c r="CQ3" i="44"/>
  <c r="CP3" i="44"/>
  <c r="GJ3" i="44" s="1"/>
  <c r="GK3" i="44" s="1"/>
  <c r="CO3" i="44"/>
  <c r="DZ3" i="44" s="1"/>
  <c r="CN3" i="44"/>
  <c r="DY3" i="44" s="1"/>
  <c r="CM3" i="44"/>
  <c r="DX3" i="44" s="1"/>
  <c r="CL3" i="44"/>
  <c r="DW3" i="44" s="1"/>
  <c r="CG3" i="44" a="1"/>
  <c r="CG3" i="44" s="1"/>
  <c r="AW3" i="44"/>
  <c r="AV3" i="44"/>
  <c r="J3" i="44"/>
  <c r="HI3" i="44" s="1"/>
  <c r="G3" i="44"/>
  <c r="HX3" i="8" a="1"/>
  <c r="HX3" i="8" s="1"/>
  <c r="IW3" i="8" s="1"/>
  <c r="HW3" i="8" a="1"/>
  <c r="HW3" i="8" s="1"/>
  <c r="IV3" i="8" s="1"/>
  <c r="HV3" i="8" a="1"/>
  <c r="HV3" i="8" s="1"/>
  <c r="IU3" i="8" s="1"/>
  <c r="HU3" i="8" a="1"/>
  <c r="HU3" i="8" s="1"/>
  <c r="IT3" i="8" s="1"/>
  <c r="HT3" i="8" a="1"/>
  <c r="HT3" i="8" s="1"/>
  <c r="IS3" i="8" s="1"/>
  <c r="HS3" i="8" a="1"/>
  <c r="HS3" i="8" s="1"/>
  <c r="IR3" i="8" s="1"/>
  <c r="HR3" i="8" a="1"/>
  <c r="HR3" i="8" s="1"/>
  <c r="IQ3" i="8" s="1"/>
  <c r="HQ3" i="8" a="1"/>
  <c r="HQ3" i="8" s="1"/>
  <c r="IP3" i="8" s="1"/>
  <c r="HP3" i="8" a="1"/>
  <c r="HP3" i="8" s="1"/>
  <c r="IO3" i="8" s="1"/>
  <c r="HL3" i="8"/>
  <c r="HJ3" i="8"/>
  <c r="HH3" i="8"/>
  <c r="HI3" i="8" s="1"/>
  <c r="HB3" i="8"/>
  <c r="HA3" i="8"/>
  <c r="GZ3" i="8"/>
  <c r="GY3" i="8"/>
  <c r="GX3" i="8"/>
  <c r="GW3" i="8"/>
  <c r="GV3" i="8"/>
  <c r="GU3" i="8"/>
  <c r="GT3" i="8"/>
  <c r="HC3" i="8" s="1"/>
  <c r="GP3" i="8"/>
  <c r="GN3" i="8"/>
  <c r="GM3" i="8"/>
  <c r="GL3" i="8"/>
  <c r="GJ3" i="8"/>
  <c r="GK3" i="8" s="1"/>
  <c r="GI3" i="8"/>
  <c r="GH3" i="8"/>
  <c r="GG3" i="8"/>
  <c r="GF3" i="8"/>
  <c r="GE3" i="8"/>
  <c r="GB3" i="8"/>
  <c r="GA3" i="8"/>
  <c r="FZ3" i="8"/>
  <c r="FY3" i="8"/>
  <c r="FW3" i="8"/>
  <c r="FV3" i="8"/>
  <c r="FU3" i="8"/>
  <c r="FT3" i="8"/>
  <c r="FS3" i="8"/>
  <c r="FR3" i="8"/>
  <c r="FQ3" i="8"/>
  <c r="FP3" i="8"/>
  <c r="FJ3" i="8"/>
  <c r="FM3" i="8" s="1"/>
  <c r="FI3" i="8"/>
  <c r="FL3" i="8" s="1"/>
  <c r="FH3" i="8"/>
  <c r="FK3" i="8" s="1"/>
  <c r="FG3" i="8"/>
  <c r="FF3" i="8"/>
  <c r="FE3" i="8"/>
  <c r="FO3" i="8" s="1"/>
  <c r="FD3" i="8"/>
  <c r="FB3" i="8"/>
  <c r="FA3" i="8"/>
  <c r="EZ3" i="8"/>
  <c r="EY3" i="8"/>
  <c r="EX3" i="8"/>
  <c r="EW3" i="8"/>
  <c r="EV3" i="8"/>
  <c r="EU3" i="8"/>
  <c r="ET3" i="8"/>
  <c r="ES3" i="8"/>
  <c r="ER3" i="8"/>
  <c r="EQ3" i="8"/>
  <c r="EP3" i="8"/>
  <c r="EO3" i="8"/>
  <c r="EN3" i="8"/>
  <c r="EM3" i="8"/>
  <c r="EL3" i="8"/>
  <c r="EK3" i="8"/>
  <c r="EJ3" i="8"/>
  <c r="EI3" i="8"/>
  <c r="EH3" i="8"/>
  <c r="EG3" i="8"/>
  <c r="EF3" i="8"/>
  <c r="EE3" i="8"/>
  <c r="ED3" i="8"/>
  <c r="EC3" i="8"/>
  <c r="EB3" i="8"/>
  <c r="EA3" i="8"/>
  <c r="DU3" i="8"/>
  <c r="DT3" i="8"/>
  <c r="DS3" i="8"/>
  <c r="DR3" i="8"/>
  <c r="DQ3" i="8"/>
  <c r="DP3" i="8"/>
  <c r="DO3" i="8"/>
  <c r="DN3" i="8"/>
  <c r="DK3" i="8"/>
  <c r="DJ3" i="8"/>
  <c r="DI3" i="8"/>
  <c r="DH3" i="8"/>
  <c r="DG3" i="8"/>
  <c r="DF3" i="8"/>
  <c r="DE3" i="8"/>
  <c r="DD3" i="8"/>
  <c r="DB3" i="8"/>
  <c r="DA3" i="8"/>
  <c r="CV3" i="8"/>
  <c r="CU3" i="8"/>
  <c r="CT3" i="8"/>
  <c r="CS3" i="8"/>
  <c r="CR3" i="8"/>
  <c r="CQ3" i="8"/>
  <c r="CP3" i="8"/>
  <c r="CO3" i="8"/>
  <c r="DZ3" i="8" s="1"/>
  <c r="CN3" i="8"/>
  <c r="DY3" i="8" s="1"/>
  <c r="CM3" i="8"/>
  <c r="DX3" i="8" s="1"/>
  <c r="CL3" i="8"/>
  <c r="DW3" i="8" s="1"/>
  <c r="CG3" i="8" a="1"/>
  <c r="CG3" i="8" s="1"/>
  <c r="AW3" i="8"/>
  <c r="AV3" i="8"/>
  <c r="J3" i="8"/>
  <c r="G3" i="8"/>
  <c r="IQ2" i="8"/>
  <c r="IL2" i="8"/>
  <c r="HX2" i="8"/>
  <c r="IW2" i="8" s="1"/>
  <c r="HX2" i="8" a="1"/>
  <c r="HW2" i="8" a="1"/>
  <c r="HW2" i="8" s="1"/>
  <c r="IV2" i="8" s="1"/>
  <c r="HV2" i="8" a="1"/>
  <c r="HV2" i="8" s="1"/>
  <c r="IU2" i="8" s="1"/>
  <c r="HU2" i="8" a="1"/>
  <c r="HU2" i="8" s="1"/>
  <c r="IT2" i="8" s="1"/>
  <c r="HT2" i="8" a="1"/>
  <c r="HT2" i="8" s="1"/>
  <c r="IS2" i="8" s="1"/>
  <c r="HS2" i="8"/>
  <c r="IR2" i="8" s="1"/>
  <c r="HS2" i="8" a="1"/>
  <c r="HR2" i="8"/>
  <c r="HR2" i="8" a="1"/>
  <c r="HQ2" i="8" a="1"/>
  <c r="HQ2" i="8" s="1"/>
  <c r="IP2" i="8" s="1"/>
  <c r="HP2" i="8" a="1"/>
  <c r="HP2" i="8" s="1"/>
  <c r="IO2" i="8" s="1"/>
  <c r="HL2" i="8"/>
  <c r="HJ2" i="8"/>
  <c r="HI2" i="8"/>
  <c r="HH2" i="8"/>
  <c r="HB2" i="8"/>
  <c r="HA2" i="8"/>
  <c r="GZ2" i="8"/>
  <c r="GY2" i="8"/>
  <c r="GX2" i="8"/>
  <c r="GW2" i="8"/>
  <c r="GV2" i="8"/>
  <c r="GU2" i="8"/>
  <c r="HC2" i="8" s="1"/>
  <c r="GT2" i="8"/>
  <c r="GP2" i="8"/>
  <c r="GI2" i="8"/>
  <c r="GH2" i="8"/>
  <c r="GG2" i="8"/>
  <c r="GF2" i="8"/>
  <c r="GE2" i="8"/>
  <c r="GD2" i="8"/>
  <c r="GC2" i="8"/>
  <c r="GB2" i="8"/>
  <c r="GA2" i="8"/>
  <c r="FZ2" i="8"/>
  <c r="FY2" i="8"/>
  <c r="FX2" i="8"/>
  <c r="FW2" i="8"/>
  <c r="FV2" i="8"/>
  <c r="FU2" i="8"/>
  <c r="FT2" i="8"/>
  <c r="FS2" i="8"/>
  <c r="FR2" i="8"/>
  <c r="FQ2" i="8"/>
  <c r="FP2" i="8"/>
  <c r="FO2" i="8"/>
  <c r="FN2" i="8"/>
  <c r="FJ2" i="8"/>
  <c r="FM2" i="8" s="1"/>
  <c r="FI2" i="8"/>
  <c r="FL2" i="8" s="1"/>
  <c r="FH2" i="8"/>
  <c r="FK2" i="8" s="1"/>
  <c r="FG2" i="8"/>
  <c r="FF2" i="8"/>
  <c r="FE2" i="8"/>
  <c r="FD2" i="8"/>
  <c r="FC2" i="8"/>
  <c r="FB2" i="8"/>
  <c r="FA2" i="8"/>
  <c r="EZ2" i="8"/>
  <c r="EY2" i="8"/>
  <c r="EX2" i="8"/>
  <c r="EW2" i="8"/>
  <c r="EV2" i="8"/>
  <c r="EU2" i="8"/>
  <c r="ET2" i="8"/>
  <c r="ES2" i="8"/>
  <c r="ER2" i="8"/>
  <c r="EQ2" i="8"/>
  <c r="EP2" i="8"/>
  <c r="EO2" i="8"/>
  <c r="EN2" i="8"/>
  <c r="EM2" i="8"/>
  <c r="EL2" i="8"/>
  <c r="EK2" i="8"/>
  <c r="EJ2" i="8"/>
  <c r="EI2" i="8"/>
  <c r="EH2" i="8"/>
  <c r="EG2" i="8"/>
  <c r="EF2" i="8"/>
  <c r="EE2" i="8"/>
  <c r="ED2" i="8"/>
  <c r="EC2" i="8"/>
  <c r="EB2" i="8"/>
  <c r="EA2" i="8"/>
  <c r="DY2" i="8"/>
  <c r="DX2" i="8"/>
  <c r="DW2" i="8"/>
  <c r="DV2" i="8"/>
  <c r="DU2" i="8"/>
  <c r="DT2" i="8"/>
  <c r="DS2" i="8"/>
  <c r="DR2" i="8"/>
  <c r="DQ2" i="8"/>
  <c r="DP2" i="8"/>
  <c r="DO2" i="8"/>
  <c r="DN2" i="8"/>
  <c r="DK2" i="8"/>
  <c r="DJ2" i="8"/>
  <c r="DI2" i="8"/>
  <c r="DH2" i="8"/>
  <c r="DG2" i="8"/>
  <c r="DF2" i="8"/>
  <c r="DE2" i="8"/>
  <c r="DD2" i="8"/>
  <c r="DC2" i="8"/>
  <c r="DB2" i="8"/>
  <c r="DA2" i="8"/>
  <c r="CV2" i="8"/>
  <c r="CU2" i="8"/>
  <c r="CT2" i="8"/>
  <c r="CS2" i="8"/>
  <c r="GN2" i="8" s="1"/>
  <c r="CR2" i="8"/>
  <c r="GM2" i="8" s="1"/>
  <c r="CQ2" i="8"/>
  <c r="GL2" i="8" s="1"/>
  <c r="CP2" i="8"/>
  <c r="GJ2" i="8" s="1"/>
  <c r="GK2" i="8" s="1"/>
  <c r="CO2" i="8"/>
  <c r="DZ2" i="8" s="1"/>
  <c r="CN2" i="8"/>
  <c r="CM2" i="8"/>
  <c r="CL2" i="8"/>
  <c r="CG2" i="8" a="1"/>
  <c r="CG2" i="8" s="1"/>
  <c r="AW2" i="8"/>
  <c r="AV2" i="8"/>
  <c r="AX2" i="8" s="1"/>
  <c r="J2" i="8"/>
  <c r="G2" i="8"/>
  <c r="IL2" i="28"/>
  <c r="HX2" i="28" a="1"/>
  <c r="HX2" i="28" s="1"/>
  <c r="IW2" i="28" s="1"/>
  <c r="HW2" i="28" a="1"/>
  <c r="HW2" i="28" s="1"/>
  <c r="IV2" i="28" s="1"/>
  <c r="HV2" i="28" a="1"/>
  <c r="HV2" i="28" s="1"/>
  <c r="IU2" i="28" s="1"/>
  <c r="HU2" i="28" a="1"/>
  <c r="HU2" i="28" s="1"/>
  <c r="IT2" i="28" s="1"/>
  <c r="HT2" i="28" a="1"/>
  <c r="HT2" i="28" s="1"/>
  <c r="IS2" i="28" s="1"/>
  <c r="HS2" i="28"/>
  <c r="IR2" i="28" s="1"/>
  <c r="HS2" i="28" a="1"/>
  <c r="HR2" i="28" a="1"/>
  <c r="HR2" i="28" s="1"/>
  <c r="IQ2" i="28" s="1"/>
  <c r="HQ2" i="28" a="1"/>
  <c r="HQ2" i="28" s="1"/>
  <c r="IP2" i="28" s="1"/>
  <c r="HP2" i="28" a="1"/>
  <c r="HP2" i="28" s="1"/>
  <c r="IO2" i="28" s="1"/>
  <c r="HL2" i="28"/>
  <c r="HJ2" i="28"/>
  <c r="HI2" i="28"/>
  <c r="HH2" i="28"/>
  <c r="HB2" i="28"/>
  <c r="HA2" i="28"/>
  <c r="GZ2" i="28"/>
  <c r="GY2" i="28"/>
  <c r="GX2" i="28"/>
  <c r="GW2" i="28"/>
  <c r="GV2" i="28"/>
  <c r="GU2" i="28"/>
  <c r="HC2" i="28" s="1"/>
  <c r="GT2" i="28"/>
  <c r="GP2" i="28"/>
  <c r="GI2" i="28"/>
  <c r="GH2" i="28"/>
  <c r="GG2" i="28"/>
  <c r="GF2" i="28"/>
  <c r="GE2" i="28"/>
  <c r="GD2" i="28"/>
  <c r="GC2" i="28"/>
  <c r="GB2" i="28"/>
  <c r="GA2" i="28"/>
  <c r="FZ2" i="28"/>
  <c r="FY2" i="28"/>
  <c r="FX2" i="28"/>
  <c r="FW2" i="28"/>
  <c r="FV2" i="28"/>
  <c r="FU2" i="28"/>
  <c r="FT2" i="28"/>
  <c r="FS2" i="28"/>
  <c r="FR2" i="28"/>
  <c r="FQ2" i="28"/>
  <c r="FP2" i="28"/>
  <c r="FO2" i="28"/>
  <c r="FN2" i="28"/>
  <c r="FJ2" i="28"/>
  <c r="FM2" i="28" s="1"/>
  <c r="FI2" i="28"/>
  <c r="FL2" i="28" s="1"/>
  <c r="FH2" i="28"/>
  <c r="FK2" i="28" s="1"/>
  <c r="FG2" i="28"/>
  <c r="FF2" i="28"/>
  <c r="FE2" i="28"/>
  <c r="FD2" i="28"/>
  <c r="FC2" i="28"/>
  <c r="FB2" i="28"/>
  <c r="FA2" i="28"/>
  <c r="EZ2" i="28"/>
  <c r="EY2" i="28"/>
  <c r="EX2" i="28"/>
  <c r="EW2" i="28"/>
  <c r="EV2" i="28"/>
  <c r="EU2" i="28"/>
  <c r="ET2" i="28"/>
  <c r="ES2" i="28"/>
  <c r="ER2" i="28"/>
  <c r="EQ2" i="28"/>
  <c r="EP2" i="28"/>
  <c r="EO2" i="28"/>
  <c r="EN2" i="28"/>
  <c r="EM2" i="28"/>
  <c r="EL2" i="28"/>
  <c r="EK2" i="28"/>
  <c r="EJ2" i="28"/>
  <c r="EI2" i="28"/>
  <c r="EH2" i="28"/>
  <c r="EG2" i="28"/>
  <c r="EF2" i="28"/>
  <c r="EE2" i="28"/>
  <c r="ED2" i="28"/>
  <c r="EC2" i="28"/>
  <c r="EB2" i="28"/>
  <c r="EA2" i="28"/>
  <c r="DY2" i="28"/>
  <c r="DX2" i="28"/>
  <c r="DV2" i="28"/>
  <c r="DU2" i="28"/>
  <c r="DT2" i="28"/>
  <c r="DS2" i="28"/>
  <c r="DR2" i="28"/>
  <c r="DQ2" i="28"/>
  <c r="DP2" i="28"/>
  <c r="DO2" i="28"/>
  <c r="DN2" i="28"/>
  <c r="DK2" i="28"/>
  <c r="DJ2" i="28"/>
  <c r="DI2" i="28"/>
  <c r="DH2" i="28"/>
  <c r="DG2" i="28"/>
  <c r="DF2" i="28"/>
  <c r="DE2" i="28"/>
  <c r="DD2" i="28"/>
  <c r="DC2" i="28"/>
  <c r="DB2" i="28"/>
  <c r="DA2" i="28"/>
  <c r="CV2" i="28"/>
  <c r="CU2" i="28"/>
  <c r="CT2" i="28"/>
  <c r="CS2" i="28"/>
  <c r="GN2" i="28" s="1"/>
  <c r="CR2" i="28"/>
  <c r="GM2" i="28" s="1"/>
  <c r="CQ2" i="28"/>
  <c r="GL2" i="28" s="1"/>
  <c r="CP2" i="28"/>
  <c r="GJ2" i="28" s="1"/>
  <c r="GK2" i="28" s="1"/>
  <c r="CO2" i="28"/>
  <c r="DZ2" i="28" s="1"/>
  <c r="CN2" i="28"/>
  <c r="CM2" i="28"/>
  <c r="CL2" i="28"/>
  <c r="DW2" i="28" s="1"/>
  <c r="CG2" i="28" a="1"/>
  <c r="CG2" i="28" s="1"/>
  <c r="AW2" i="28"/>
  <c r="AV2" i="28"/>
  <c r="AX2" i="28" s="1"/>
  <c r="J2" i="28"/>
  <c r="G2" i="28"/>
  <c r="IQ3" i="28"/>
  <c r="IN3" i="28"/>
  <c r="IX3" i="28" s="1"/>
  <c r="IM3" i="28"/>
  <c r="HX3" i="28"/>
  <c r="IW3" i="28" s="1"/>
  <c r="HX3" i="28" a="1"/>
  <c r="HW3" i="28"/>
  <c r="IV3" i="28" s="1"/>
  <c r="HW3" i="28" a="1"/>
  <c r="HV3" i="28" a="1"/>
  <c r="HV3" i="28" s="1"/>
  <c r="IU3" i="28" s="1"/>
  <c r="HU3" i="28"/>
  <c r="IT3" i="28" s="1"/>
  <c r="HU3" i="28" a="1"/>
  <c r="HT3" i="28" a="1"/>
  <c r="HT3" i="28" s="1"/>
  <c r="IS3" i="28" s="1"/>
  <c r="HS3" i="28" a="1"/>
  <c r="HS3" i="28" s="1"/>
  <c r="IR3" i="28" s="1"/>
  <c r="HR3" i="28"/>
  <c r="HR3" i="28" a="1"/>
  <c r="HQ3" i="28"/>
  <c r="IP3" i="28" s="1"/>
  <c r="HQ3" i="28" a="1"/>
  <c r="HP3" i="28" a="1"/>
  <c r="HP3" i="28" s="1"/>
  <c r="IO3" i="28" s="1"/>
  <c r="HL3" i="28"/>
  <c r="HJ3" i="28"/>
  <c r="HH3" i="28"/>
  <c r="HI3" i="28" s="1"/>
  <c r="HB3" i="28"/>
  <c r="HA3" i="28"/>
  <c r="GZ3" i="28"/>
  <c r="GY3" i="28"/>
  <c r="GX3" i="28"/>
  <c r="GW3" i="28"/>
  <c r="GV3" i="28"/>
  <c r="GU3" i="28"/>
  <c r="GT3" i="28"/>
  <c r="HC3" i="28" s="1"/>
  <c r="GP3" i="28"/>
  <c r="GL3" i="28"/>
  <c r="GJ3" i="28"/>
  <c r="GK3" i="28" s="1"/>
  <c r="GI3" i="28"/>
  <c r="GH3" i="28"/>
  <c r="GG3" i="28"/>
  <c r="GF3" i="28"/>
  <c r="GE3" i="28"/>
  <c r="GB3" i="28"/>
  <c r="GA3" i="28"/>
  <c r="FZ3" i="28"/>
  <c r="FY3" i="28"/>
  <c r="FW3" i="28"/>
  <c r="FV3" i="28"/>
  <c r="FU3" i="28"/>
  <c r="FT3" i="28"/>
  <c r="FS3" i="28"/>
  <c r="FR3" i="28"/>
  <c r="FQ3" i="28"/>
  <c r="FP3" i="28"/>
  <c r="FJ3" i="28"/>
  <c r="FM3" i="28" s="1"/>
  <c r="FI3" i="28"/>
  <c r="FL3" i="28" s="1"/>
  <c r="FH3" i="28"/>
  <c r="FG3" i="28"/>
  <c r="FF3" i="28"/>
  <c r="FK3" i="28" s="1"/>
  <c r="FE3" i="28"/>
  <c r="FO3" i="28" s="1"/>
  <c r="FD3" i="28"/>
  <c r="FB3" i="28"/>
  <c r="FA3" i="28"/>
  <c r="EZ3" i="28"/>
  <c r="EY3" i="28"/>
  <c r="EX3" i="28"/>
  <c r="EW3" i="28"/>
  <c r="EV3" i="28"/>
  <c r="EU3" i="28"/>
  <c r="ET3" i="28"/>
  <c r="ES3" i="28"/>
  <c r="ER3" i="28"/>
  <c r="EQ3" i="28"/>
  <c r="EP3" i="28"/>
  <c r="EO3" i="28"/>
  <c r="EN3" i="28"/>
  <c r="EM3" i="28"/>
  <c r="EL3" i="28"/>
  <c r="EK3" i="28"/>
  <c r="EJ3" i="28"/>
  <c r="EI3" i="28"/>
  <c r="EH3" i="28"/>
  <c r="EG3" i="28"/>
  <c r="EF3" i="28"/>
  <c r="EE3" i="28"/>
  <c r="ED3" i="28"/>
  <c r="EC3" i="28"/>
  <c r="EB3" i="28"/>
  <c r="EA3" i="28"/>
  <c r="DU3" i="28"/>
  <c r="DT3" i="28"/>
  <c r="DS3" i="28"/>
  <c r="DR3" i="28"/>
  <c r="DQ3" i="28"/>
  <c r="DP3" i="28"/>
  <c r="DO3" i="28"/>
  <c r="DN3" i="28"/>
  <c r="DM3" i="28" a="1"/>
  <c r="DM3" i="28" s="1"/>
  <c r="DL3" i="28"/>
  <c r="DK3" i="28"/>
  <c r="DJ3" i="28"/>
  <c r="DI3" i="28"/>
  <c r="DH3" i="28"/>
  <c r="DG3" i="28"/>
  <c r="DF3" i="28"/>
  <c r="DE3" i="28"/>
  <c r="DD3" i="28"/>
  <c r="DB3" i="28"/>
  <c r="DA3" i="28"/>
  <c r="CY3" i="28"/>
  <c r="CV3" i="28"/>
  <c r="CU3" i="28"/>
  <c r="CT3" i="28"/>
  <c r="CS3" i="28"/>
  <c r="GN3" i="28" s="1"/>
  <c r="CR3" i="28"/>
  <c r="GM3" i="28" s="1"/>
  <c r="CQ3" i="28"/>
  <c r="CP3" i="28"/>
  <c r="CO3" i="28"/>
  <c r="DZ3" i="28" s="1"/>
  <c r="CN3" i="28"/>
  <c r="DY3" i="28" s="1"/>
  <c r="CM3" i="28"/>
  <c r="DX3" i="28" s="1"/>
  <c r="CL3" i="28"/>
  <c r="DW3" i="28" s="1"/>
  <c r="CJ3" i="28"/>
  <c r="CI3" i="28"/>
  <c r="CX3" i="28" s="1"/>
  <c r="CH3" i="28"/>
  <c r="CW3" i="28" s="1"/>
  <c r="CG3" i="28"/>
  <c r="CK3" i="28" s="1"/>
  <c r="CZ3" i="28" s="1"/>
  <c r="CG3" i="28" a="1"/>
  <c r="AW3" i="28"/>
  <c r="AV3" i="28"/>
  <c r="J3" i="28"/>
  <c r="G3" i="28"/>
  <c r="IQ3" i="37"/>
  <c r="IN3" i="37"/>
  <c r="IX3" i="37" s="1"/>
  <c r="IM3" i="37"/>
  <c r="HX3" i="37"/>
  <c r="IW3" i="37" s="1"/>
  <c r="HX3" i="37" a="1"/>
  <c r="HW3" i="37" a="1"/>
  <c r="HW3" i="37" s="1"/>
  <c r="IV3" i="37" s="1"/>
  <c r="HV3" i="37" a="1"/>
  <c r="HV3" i="37" s="1"/>
  <c r="IU3" i="37" s="1"/>
  <c r="HU3" i="37" a="1"/>
  <c r="HU3" i="37" s="1"/>
  <c r="IT3" i="37" s="1"/>
  <c r="HT3" i="37" a="1"/>
  <c r="HT3" i="37" s="1"/>
  <c r="IS3" i="37" s="1"/>
  <c r="HS3" i="37" a="1"/>
  <c r="HS3" i="37" s="1"/>
  <c r="IR3" i="37" s="1"/>
  <c r="HR3" i="37"/>
  <c r="HR3" i="37" a="1"/>
  <c r="HQ3" i="37" a="1"/>
  <c r="HQ3" i="37" s="1"/>
  <c r="IP3" i="37" s="1"/>
  <c r="HP3" i="37" a="1"/>
  <c r="HP3" i="37" s="1"/>
  <c r="IO3" i="37" s="1"/>
  <c r="HL3" i="37"/>
  <c r="HJ3" i="37"/>
  <c r="HH3" i="37"/>
  <c r="HI3" i="37" s="1"/>
  <c r="HB3" i="37"/>
  <c r="HA3" i="37"/>
  <c r="GZ3" i="37"/>
  <c r="GY3" i="37"/>
  <c r="GX3" i="37"/>
  <c r="GW3" i="37"/>
  <c r="GV3" i="37"/>
  <c r="GU3" i="37"/>
  <c r="GT3" i="37"/>
  <c r="HC3" i="37" s="1"/>
  <c r="GP3" i="37"/>
  <c r="GN3" i="37"/>
  <c r="GM3" i="37"/>
  <c r="GL3" i="37"/>
  <c r="GJ3" i="37"/>
  <c r="GK3" i="37" s="1"/>
  <c r="GI3" i="37"/>
  <c r="GH3" i="37"/>
  <c r="GG3" i="37"/>
  <c r="GF3" i="37"/>
  <c r="GE3" i="37"/>
  <c r="GB3" i="37"/>
  <c r="GA3" i="37"/>
  <c r="FZ3" i="37"/>
  <c r="FY3" i="37"/>
  <c r="FW3" i="37"/>
  <c r="FV3" i="37"/>
  <c r="FU3" i="37"/>
  <c r="FT3" i="37"/>
  <c r="FS3" i="37"/>
  <c r="FR3" i="37"/>
  <c r="FQ3" i="37"/>
  <c r="FP3" i="37"/>
  <c r="FJ3" i="37"/>
  <c r="FM3" i="37" s="1"/>
  <c r="FI3" i="37"/>
  <c r="FL3" i="37" s="1"/>
  <c r="FH3" i="37"/>
  <c r="FK3" i="37" s="1"/>
  <c r="FG3" i="37"/>
  <c r="FF3" i="37"/>
  <c r="FE3" i="37"/>
  <c r="FO3" i="37" s="1"/>
  <c r="FD3" i="37"/>
  <c r="FB3" i="37"/>
  <c r="FA3" i="37"/>
  <c r="EZ3" i="37"/>
  <c r="EY3" i="37"/>
  <c r="EX3" i="37"/>
  <c r="EW3" i="37"/>
  <c r="EV3" i="37"/>
  <c r="EU3" i="37"/>
  <c r="ET3" i="37"/>
  <c r="ES3" i="37"/>
  <c r="ER3" i="37"/>
  <c r="EQ3" i="37"/>
  <c r="EP3" i="37"/>
  <c r="EO3" i="37"/>
  <c r="EN3" i="37"/>
  <c r="EM3" i="37"/>
  <c r="EL3" i="37"/>
  <c r="EK3" i="37"/>
  <c r="EJ3" i="37"/>
  <c r="EI3" i="37"/>
  <c r="EH3" i="37"/>
  <c r="EG3" i="37"/>
  <c r="EF3" i="37"/>
  <c r="EE3" i="37"/>
  <c r="ED3" i="37"/>
  <c r="EC3" i="37"/>
  <c r="EB3" i="37"/>
  <c r="EA3" i="37"/>
  <c r="DU3" i="37"/>
  <c r="DT3" i="37"/>
  <c r="DS3" i="37"/>
  <c r="DR3" i="37"/>
  <c r="DQ3" i="37"/>
  <c r="DP3" i="37"/>
  <c r="DO3" i="37"/>
  <c r="DN3" i="37"/>
  <c r="DM3" i="37" a="1"/>
  <c r="DM3" i="37" s="1"/>
  <c r="DL3" i="37"/>
  <c r="DK3" i="37"/>
  <c r="DJ3" i="37"/>
  <c r="DI3" i="37"/>
  <c r="DH3" i="37"/>
  <c r="DG3" i="37"/>
  <c r="DF3" i="37"/>
  <c r="DE3" i="37"/>
  <c r="DD3" i="37"/>
  <c r="DB3" i="37"/>
  <c r="DA3" i="37"/>
  <c r="CV3" i="37"/>
  <c r="CU3" i="37"/>
  <c r="CT3" i="37"/>
  <c r="CS3" i="37"/>
  <c r="CR3" i="37"/>
  <c r="CQ3" i="37"/>
  <c r="CP3" i="37"/>
  <c r="CO3" i="37"/>
  <c r="DZ3" i="37" s="1"/>
  <c r="CN3" i="37"/>
  <c r="DY3" i="37" s="1"/>
  <c r="CM3" i="37"/>
  <c r="DX3" i="37" s="1"/>
  <c r="CL3" i="37"/>
  <c r="DW3" i="37" s="1"/>
  <c r="CK3" i="37"/>
  <c r="CZ3" i="37" s="1"/>
  <c r="CJ3" i="37"/>
  <c r="CY3" i="37" s="1"/>
  <c r="CI3" i="37"/>
  <c r="CX3" i="37" s="1"/>
  <c r="CH3" i="37"/>
  <c r="CW3" i="37" s="1"/>
  <c r="CG3" i="37"/>
  <c r="CG3" i="37" a="1"/>
  <c r="AW3" i="37"/>
  <c r="AV3" i="37"/>
  <c r="J3" i="37"/>
  <c r="G3" i="37"/>
  <c r="IQ2" i="37"/>
  <c r="IL2" i="37"/>
  <c r="HX2" i="37"/>
  <c r="IW2" i="37" s="1"/>
  <c r="HX2" i="37" a="1"/>
  <c r="HW2" i="37" a="1"/>
  <c r="HW2" i="37" s="1"/>
  <c r="IV2" i="37" s="1"/>
  <c r="HV2" i="37" a="1"/>
  <c r="HV2" i="37" s="1"/>
  <c r="IU2" i="37" s="1"/>
  <c r="HU2" i="37" a="1"/>
  <c r="HU2" i="37" s="1"/>
  <c r="IT2" i="37" s="1"/>
  <c r="HT2" i="37" a="1"/>
  <c r="HT2" i="37" s="1"/>
  <c r="IS2" i="37" s="1"/>
  <c r="HS2" i="37" a="1"/>
  <c r="HS2" i="37" s="1"/>
  <c r="IR2" i="37" s="1"/>
  <c r="HR2" i="37"/>
  <c r="HR2" i="37" a="1"/>
  <c r="HQ2" i="37" a="1"/>
  <c r="HQ2" i="37" s="1"/>
  <c r="IP2" i="37" s="1"/>
  <c r="HP2" i="37" a="1"/>
  <c r="HP2" i="37" s="1"/>
  <c r="IO2" i="37" s="1"/>
  <c r="HL2" i="37"/>
  <c r="HJ2" i="37"/>
  <c r="HH2" i="37"/>
  <c r="HB2" i="37"/>
  <c r="HA2" i="37"/>
  <c r="GZ2" i="37"/>
  <c r="GY2" i="37"/>
  <c r="GX2" i="37"/>
  <c r="GW2" i="37"/>
  <c r="GV2" i="37"/>
  <c r="GU2" i="37"/>
  <c r="GT2" i="37"/>
  <c r="HC2" i="37" s="1"/>
  <c r="GP2" i="37"/>
  <c r="GI2" i="37"/>
  <c r="GH2" i="37"/>
  <c r="GG2" i="37"/>
  <c r="GF2" i="37"/>
  <c r="GE2" i="37"/>
  <c r="GD2" i="37"/>
  <c r="GC2" i="37"/>
  <c r="GB2" i="37"/>
  <c r="GA2" i="37"/>
  <c r="FZ2" i="37"/>
  <c r="FY2" i="37"/>
  <c r="FX2" i="37"/>
  <c r="FW2" i="37"/>
  <c r="FV2" i="37"/>
  <c r="FU2" i="37"/>
  <c r="FT2" i="37"/>
  <c r="FS2" i="37"/>
  <c r="FR2" i="37"/>
  <c r="FQ2" i="37"/>
  <c r="FP2" i="37"/>
  <c r="FN2" i="37"/>
  <c r="FJ2" i="37"/>
  <c r="FM2" i="37" s="1"/>
  <c r="FI2" i="37"/>
  <c r="FL2" i="37" s="1"/>
  <c r="FH2" i="37"/>
  <c r="FK2" i="37" s="1"/>
  <c r="FG2" i="37"/>
  <c r="FO2" i="37" s="1"/>
  <c r="FF2" i="37"/>
  <c r="FE2" i="37"/>
  <c r="FD2" i="37"/>
  <c r="FC2" i="37"/>
  <c r="FB2" i="37"/>
  <c r="FA2" i="37"/>
  <c r="EZ2" i="37"/>
  <c r="EY2" i="37"/>
  <c r="EX2" i="37"/>
  <c r="EW2" i="37"/>
  <c r="EV2" i="37"/>
  <c r="EU2" i="37"/>
  <c r="ET2" i="37"/>
  <c r="ES2" i="37"/>
  <c r="ER2" i="37"/>
  <c r="EQ2" i="37"/>
  <c r="EP2" i="37"/>
  <c r="EO2" i="37"/>
  <c r="EN2" i="37"/>
  <c r="EM2" i="37"/>
  <c r="EL2" i="37"/>
  <c r="EK2" i="37"/>
  <c r="EJ2" i="37"/>
  <c r="EI2" i="37"/>
  <c r="EH2" i="37"/>
  <c r="EG2" i="37"/>
  <c r="EF2" i="37"/>
  <c r="EE2" i="37"/>
  <c r="ED2" i="37"/>
  <c r="EC2" i="37"/>
  <c r="EB2" i="37"/>
  <c r="EA2" i="37"/>
  <c r="DX2" i="37"/>
  <c r="DW2" i="37"/>
  <c r="DV2" i="37"/>
  <c r="DU2" i="37"/>
  <c r="DT2" i="37"/>
  <c r="DS2" i="37"/>
  <c r="DR2" i="37"/>
  <c r="DQ2" i="37"/>
  <c r="DP2" i="37"/>
  <c r="DO2" i="37"/>
  <c r="DN2" i="37"/>
  <c r="DK2" i="37"/>
  <c r="DJ2" i="37"/>
  <c r="DI2" i="37"/>
  <c r="DH2" i="37"/>
  <c r="DG2" i="37"/>
  <c r="DF2" i="37"/>
  <c r="DE2" i="37"/>
  <c r="DD2" i="37"/>
  <c r="DC2" i="37"/>
  <c r="DB2" i="37"/>
  <c r="DA2" i="37"/>
  <c r="CV2" i="37"/>
  <c r="CU2" i="37"/>
  <c r="CT2" i="37"/>
  <c r="CS2" i="37"/>
  <c r="GN2" i="37" s="1"/>
  <c r="CR2" i="37"/>
  <c r="GM2" i="37" s="1"/>
  <c r="CQ2" i="37"/>
  <c r="GL2" i="37" s="1"/>
  <c r="CP2" i="37"/>
  <c r="GJ2" i="37" s="1"/>
  <c r="GK2" i="37" s="1"/>
  <c r="CO2" i="37"/>
  <c r="DZ2" i="37" s="1"/>
  <c r="CN2" i="37"/>
  <c r="DY2" i="37" s="1"/>
  <c r="CM2" i="37"/>
  <c r="CL2" i="37"/>
  <c r="CG2" i="37" a="1"/>
  <c r="CG2" i="37" s="1"/>
  <c r="AW2" i="37"/>
  <c r="AV2" i="37"/>
  <c r="AX2" i="37" s="1"/>
  <c r="J2" i="37"/>
  <c r="HI2" i="37" s="1"/>
  <c r="G2" i="37"/>
  <c r="IL2" i="51"/>
  <c r="HX2" i="51" a="1"/>
  <c r="HX2" i="51" s="1"/>
  <c r="IW2" i="51" s="1"/>
  <c r="HW2" i="51" a="1"/>
  <c r="HW2" i="51" s="1"/>
  <c r="IV2" i="51" s="1"/>
  <c r="HV2" i="51" a="1"/>
  <c r="HV2" i="51" s="1"/>
  <c r="IU2" i="51" s="1"/>
  <c r="HU2" i="51"/>
  <c r="IT2" i="51" s="1"/>
  <c r="HU2" i="51" a="1"/>
  <c r="HT2" i="51" a="1"/>
  <c r="HT2" i="51" s="1"/>
  <c r="IS2" i="51" s="1"/>
  <c r="HS2" i="51"/>
  <c r="IR2" i="51" s="1"/>
  <c r="HS2" i="51" a="1"/>
  <c r="HR2" i="51" a="1"/>
  <c r="HR2" i="51" s="1"/>
  <c r="IQ2" i="51" s="1"/>
  <c r="HQ2" i="51" a="1"/>
  <c r="HQ2" i="51" s="1"/>
  <c r="IP2" i="51" s="1"/>
  <c r="HP2" i="51" a="1"/>
  <c r="HP2" i="51" s="1"/>
  <c r="IO2" i="51" s="1"/>
  <c r="HL2" i="51"/>
  <c r="HJ2" i="51"/>
  <c r="HI2" i="51"/>
  <c r="HH2" i="51"/>
  <c r="HB2" i="51"/>
  <c r="HA2" i="51"/>
  <c r="GZ2" i="51"/>
  <c r="GY2" i="51"/>
  <c r="GX2" i="51"/>
  <c r="GW2" i="51"/>
  <c r="GV2" i="51"/>
  <c r="GU2" i="51"/>
  <c r="GT2" i="51"/>
  <c r="HC2" i="51" s="1"/>
  <c r="GP2" i="51"/>
  <c r="GM2" i="51"/>
  <c r="GL2" i="51"/>
  <c r="GJ2" i="51"/>
  <c r="GK2" i="51" s="1"/>
  <c r="GI2" i="51"/>
  <c r="GH2" i="51"/>
  <c r="GG2" i="51"/>
  <c r="GF2" i="51"/>
  <c r="GE2" i="51"/>
  <c r="GD2" i="51"/>
  <c r="GC2" i="51"/>
  <c r="GB2" i="51"/>
  <c r="GA2" i="51"/>
  <c r="FZ2" i="51"/>
  <c r="FY2" i="51"/>
  <c r="FX2" i="51"/>
  <c r="FW2" i="51"/>
  <c r="FV2" i="51"/>
  <c r="FU2" i="51"/>
  <c r="FT2" i="51"/>
  <c r="FS2" i="51"/>
  <c r="FR2" i="51"/>
  <c r="FQ2" i="51"/>
  <c r="FO2" i="51"/>
  <c r="FN2" i="51"/>
  <c r="FM2" i="51"/>
  <c r="FL2" i="51"/>
  <c r="FJ2" i="51"/>
  <c r="FI2" i="51"/>
  <c r="FH2" i="51"/>
  <c r="FK2" i="51" s="1"/>
  <c r="FG2" i="51"/>
  <c r="FF2" i="51"/>
  <c r="FP2" i="51" s="1"/>
  <c r="FE2" i="51"/>
  <c r="FD2" i="51"/>
  <c r="FC2" i="51"/>
  <c r="FB2" i="51"/>
  <c r="FA2" i="51"/>
  <c r="EZ2" i="51"/>
  <c r="EY2" i="51"/>
  <c r="EX2" i="51"/>
  <c r="EW2" i="51"/>
  <c r="EV2" i="51"/>
  <c r="EU2" i="51"/>
  <c r="ET2" i="51"/>
  <c r="ES2" i="51"/>
  <c r="ER2" i="51"/>
  <c r="EQ2" i="51"/>
  <c r="EP2" i="51"/>
  <c r="EO2" i="51"/>
  <c r="EN2" i="51"/>
  <c r="EM2" i="51"/>
  <c r="EL2" i="51"/>
  <c r="EK2" i="51"/>
  <c r="EJ2" i="51"/>
  <c r="EI2" i="51"/>
  <c r="EH2" i="51"/>
  <c r="EG2" i="51"/>
  <c r="EF2" i="51"/>
  <c r="EE2" i="51"/>
  <c r="ED2" i="51"/>
  <c r="EC2" i="51"/>
  <c r="EB2" i="51"/>
  <c r="EA2" i="51"/>
  <c r="DY2" i="51"/>
  <c r="DX2" i="51"/>
  <c r="DV2" i="51"/>
  <c r="DU2" i="51"/>
  <c r="DT2" i="51"/>
  <c r="DS2" i="51"/>
  <c r="DR2" i="51"/>
  <c r="DQ2" i="51"/>
  <c r="DP2" i="51"/>
  <c r="DO2" i="51"/>
  <c r="DN2" i="51"/>
  <c r="DK2" i="51"/>
  <c r="DJ2" i="51"/>
  <c r="DI2" i="51"/>
  <c r="DH2" i="51"/>
  <c r="DG2" i="51"/>
  <c r="DF2" i="51"/>
  <c r="DE2" i="51"/>
  <c r="DD2" i="51"/>
  <c r="DC2" i="51"/>
  <c r="DB2" i="51"/>
  <c r="DA2" i="51"/>
  <c r="CV2" i="51"/>
  <c r="CU2" i="51"/>
  <c r="CT2" i="51"/>
  <c r="CS2" i="51"/>
  <c r="GN2" i="51" s="1"/>
  <c r="CR2" i="51"/>
  <c r="CQ2" i="51"/>
  <c r="CP2" i="51"/>
  <c r="CO2" i="51"/>
  <c r="DZ2" i="51" s="1"/>
  <c r="CN2" i="51"/>
  <c r="CM2" i="51"/>
  <c r="CL2" i="51"/>
  <c r="DW2" i="51" s="1"/>
  <c r="CG2" i="51"/>
  <c r="DL2" i="51" s="1"/>
  <c r="CG2" i="51" a="1"/>
  <c r="AW2" i="51"/>
  <c r="AV2" i="51"/>
  <c r="AX2" i="51" s="1"/>
  <c r="J2" i="51"/>
  <c r="G2" i="51"/>
  <c r="HX3" i="51" a="1"/>
  <c r="HX3" i="51" s="1"/>
  <c r="IW3" i="51" s="1"/>
  <c r="HW3" i="51" a="1"/>
  <c r="HW3" i="51" s="1"/>
  <c r="IV3" i="51" s="1"/>
  <c r="HV3" i="51" a="1"/>
  <c r="HV3" i="51" s="1"/>
  <c r="IU3" i="51" s="1"/>
  <c r="HU3" i="51"/>
  <c r="IT3" i="51" s="1"/>
  <c r="HU3" i="51" a="1"/>
  <c r="HT3" i="51" a="1"/>
  <c r="HT3" i="51" s="1"/>
  <c r="IS3" i="51" s="1"/>
  <c r="HS3" i="51" a="1"/>
  <c r="HS3" i="51" s="1"/>
  <c r="IR3" i="51" s="1"/>
  <c r="HR3" i="51" a="1"/>
  <c r="HR3" i="51" s="1"/>
  <c r="IQ3" i="51" s="1"/>
  <c r="HQ3" i="51" a="1"/>
  <c r="HQ3" i="51" s="1"/>
  <c r="IP3" i="51" s="1"/>
  <c r="HP3" i="51" a="1"/>
  <c r="HP3" i="51" s="1"/>
  <c r="IO3" i="51" s="1"/>
  <c r="HL3" i="51"/>
  <c r="HJ3" i="51"/>
  <c r="HH3" i="51"/>
  <c r="HI3" i="51" s="1"/>
  <c r="HB3" i="51"/>
  <c r="HA3" i="51"/>
  <c r="GZ3" i="51"/>
  <c r="GY3" i="51"/>
  <c r="GX3" i="51"/>
  <c r="GW3" i="51"/>
  <c r="GV3" i="51"/>
  <c r="GU3" i="51"/>
  <c r="GT3" i="51"/>
  <c r="HC3" i="51" s="1"/>
  <c r="GP3" i="51"/>
  <c r="GM3" i="51"/>
  <c r="GL3" i="51"/>
  <c r="GJ3" i="51"/>
  <c r="GK3" i="51" s="1"/>
  <c r="GI3" i="51"/>
  <c r="GH3" i="51"/>
  <c r="GG3" i="51"/>
  <c r="GF3" i="51"/>
  <c r="GE3" i="51"/>
  <c r="GB3" i="51"/>
  <c r="GA3" i="51"/>
  <c r="FZ3" i="51"/>
  <c r="FY3" i="51"/>
  <c r="FW3" i="51"/>
  <c r="FV3" i="51"/>
  <c r="FU3" i="51"/>
  <c r="FT3" i="51"/>
  <c r="FS3" i="51"/>
  <c r="FR3" i="51"/>
  <c r="FQ3" i="51"/>
  <c r="FP3" i="51"/>
  <c r="FJ3" i="51"/>
  <c r="FM3" i="51" s="1"/>
  <c r="FI3" i="51"/>
  <c r="FL3" i="51" s="1"/>
  <c r="FH3" i="51"/>
  <c r="FK3" i="51" s="1"/>
  <c r="FG3" i="51"/>
  <c r="FF3" i="51"/>
  <c r="FE3" i="51"/>
  <c r="FO3" i="51" s="1"/>
  <c r="FD3" i="51"/>
  <c r="FB3" i="51"/>
  <c r="FA3" i="51"/>
  <c r="EZ3" i="51"/>
  <c r="EY3" i="51"/>
  <c r="EX3" i="51"/>
  <c r="EW3" i="51"/>
  <c r="EV3" i="51"/>
  <c r="EU3" i="51"/>
  <c r="ET3" i="51"/>
  <c r="ES3" i="51"/>
  <c r="ER3" i="51"/>
  <c r="EQ3" i="51"/>
  <c r="EP3" i="51"/>
  <c r="EO3" i="51"/>
  <c r="EN3" i="51"/>
  <c r="EM3" i="51"/>
  <c r="EL3" i="51"/>
  <c r="EK3" i="51"/>
  <c r="EJ3" i="51"/>
  <c r="EI3" i="51"/>
  <c r="EH3" i="51"/>
  <c r="EG3" i="51"/>
  <c r="EF3" i="51"/>
  <c r="EE3" i="51"/>
  <c r="ED3" i="51"/>
  <c r="EC3" i="51"/>
  <c r="EB3" i="51"/>
  <c r="EA3" i="51"/>
  <c r="DU3" i="51"/>
  <c r="DT3" i="51"/>
  <c r="DS3" i="51"/>
  <c r="DR3" i="51"/>
  <c r="DQ3" i="51"/>
  <c r="DP3" i="51"/>
  <c r="DO3" i="51"/>
  <c r="DN3" i="51"/>
  <c r="DK3" i="51"/>
  <c r="DJ3" i="51"/>
  <c r="DI3" i="51"/>
  <c r="DH3" i="51"/>
  <c r="DG3" i="51"/>
  <c r="DF3" i="51"/>
  <c r="DE3" i="51"/>
  <c r="DD3" i="51"/>
  <c r="DB3" i="51"/>
  <c r="DA3" i="51"/>
  <c r="CV3" i="51"/>
  <c r="CU3" i="51"/>
  <c r="CT3" i="51"/>
  <c r="CS3" i="51"/>
  <c r="GN3" i="51" s="1"/>
  <c r="CR3" i="51"/>
  <c r="CQ3" i="51"/>
  <c r="CP3" i="51"/>
  <c r="CO3" i="51"/>
  <c r="DZ3" i="51" s="1"/>
  <c r="CN3" i="51"/>
  <c r="DY3" i="51" s="1"/>
  <c r="CM3" i="51"/>
  <c r="DX3" i="51" s="1"/>
  <c r="CL3" i="51"/>
  <c r="DW3" i="51" s="1"/>
  <c r="CG3" i="51" a="1"/>
  <c r="CG3" i="51" s="1"/>
  <c r="AW3" i="51"/>
  <c r="AV3" i="51"/>
  <c r="J3" i="51"/>
  <c r="G3" i="51"/>
  <c r="HX3" i="29" a="1"/>
  <c r="HX3" i="29" s="1"/>
  <c r="IW3" i="29" s="1"/>
  <c r="HW3" i="29"/>
  <c r="IV3" i="29" s="1"/>
  <c r="HW3" i="29" a="1"/>
  <c r="HV3" i="29" a="1"/>
  <c r="HV3" i="29" s="1"/>
  <c r="IU3" i="29" s="1"/>
  <c r="HU3" i="29" a="1"/>
  <c r="HU3" i="29" s="1"/>
  <c r="IT3" i="29" s="1"/>
  <c r="HT3" i="29" a="1"/>
  <c r="HT3" i="29" s="1"/>
  <c r="IS3" i="29" s="1"/>
  <c r="HS3" i="29" a="1"/>
  <c r="HS3" i="29" s="1"/>
  <c r="IR3" i="29" s="1"/>
  <c r="HR3" i="29" a="1"/>
  <c r="HR3" i="29" s="1"/>
  <c r="IQ3" i="29" s="1"/>
  <c r="HQ3" i="29"/>
  <c r="IP3" i="29" s="1"/>
  <c r="HQ3" i="29" a="1"/>
  <c r="HP3" i="29" a="1"/>
  <c r="HP3" i="29" s="1"/>
  <c r="IO3" i="29" s="1"/>
  <c r="HL3" i="29"/>
  <c r="HJ3" i="29"/>
  <c r="HH3" i="29"/>
  <c r="HI3" i="29" s="1"/>
  <c r="HC3" i="29"/>
  <c r="HB3" i="29"/>
  <c r="HA3" i="29"/>
  <c r="GZ3" i="29"/>
  <c r="GY3" i="29"/>
  <c r="GX3" i="29"/>
  <c r="GW3" i="29"/>
  <c r="GV3" i="29"/>
  <c r="GU3" i="29"/>
  <c r="GT3" i="29"/>
  <c r="GP3" i="29"/>
  <c r="GN3" i="29"/>
  <c r="GJ3" i="29"/>
  <c r="GK3" i="29" s="1"/>
  <c r="GI3" i="29"/>
  <c r="GH3" i="29"/>
  <c r="GG3" i="29"/>
  <c r="GF3" i="29"/>
  <c r="GE3" i="29"/>
  <c r="GB3" i="29"/>
  <c r="GA3" i="29"/>
  <c r="FZ3" i="29"/>
  <c r="FY3" i="29"/>
  <c r="FW3" i="29"/>
  <c r="FV3" i="29"/>
  <c r="FU3" i="29"/>
  <c r="FT3" i="29"/>
  <c r="FS3" i="29"/>
  <c r="FR3" i="29"/>
  <c r="FQ3" i="29"/>
  <c r="FP3" i="29"/>
  <c r="FO3" i="29"/>
  <c r="FN3" i="29"/>
  <c r="FM3" i="29"/>
  <c r="FJ3" i="29"/>
  <c r="FI3" i="29"/>
  <c r="FL3" i="29" s="1"/>
  <c r="FH3" i="29"/>
  <c r="FK3" i="29" s="1"/>
  <c r="FG3" i="29"/>
  <c r="FF3" i="29"/>
  <c r="FE3" i="29"/>
  <c r="FD3" i="29"/>
  <c r="FB3" i="29"/>
  <c r="FA3" i="29"/>
  <c r="EZ3" i="29"/>
  <c r="EY3" i="29"/>
  <c r="EX3" i="29"/>
  <c r="EW3" i="29"/>
  <c r="EV3" i="29"/>
  <c r="EU3" i="29"/>
  <c r="ET3" i="29"/>
  <c r="ES3" i="29"/>
  <c r="ER3" i="29"/>
  <c r="EQ3" i="29"/>
  <c r="EP3" i="29"/>
  <c r="EO3" i="29"/>
  <c r="EN3" i="29"/>
  <c r="EM3" i="29"/>
  <c r="EL3" i="29"/>
  <c r="EK3" i="29"/>
  <c r="EJ3" i="29"/>
  <c r="EI3" i="29"/>
  <c r="EH3" i="29"/>
  <c r="EG3" i="29"/>
  <c r="EF3" i="29"/>
  <c r="EE3" i="29"/>
  <c r="ED3" i="29"/>
  <c r="EC3" i="29"/>
  <c r="EB3" i="29"/>
  <c r="EA3" i="29"/>
  <c r="DU3" i="29"/>
  <c r="DT3" i="29"/>
  <c r="DS3" i="29"/>
  <c r="DR3" i="29"/>
  <c r="DQ3" i="29"/>
  <c r="DP3" i="29"/>
  <c r="DO3" i="29"/>
  <c r="DN3" i="29"/>
  <c r="DK3" i="29"/>
  <c r="DJ3" i="29"/>
  <c r="DI3" i="29"/>
  <c r="DH3" i="29"/>
  <c r="DG3" i="29"/>
  <c r="DF3" i="29"/>
  <c r="DE3" i="29"/>
  <c r="DD3" i="29"/>
  <c r="DB3" i="29"/>
  <c r="DA3" i="29"/>
  <c r="CV3" i="29"/>
  <c r="CU3" i="29"/>
  <c r="CT3" i="29"/>
  <c r="CS3" i="29"/>
  <c r="CR3" i="29"/>
  <c r="GM3" i="29" s="1"/>
  <c r="CQ3" i="29"/>
  <c r="GL3" i="29" s="1"/>
  <c r="CP3" i="29"/>
  <c r="CO3" i="29"/>
  <c r="DZ3" i="29" s="1"/>
  <c r="CN3" i="29"/>
  <c r="DY3" i="29" s="1"/>
  <c r="CM3" i="29"/>
  <c r="DX3" i="29" s="1"/>
  <c r="CL3" i="29"/>
  <c r="DW3" i="29" s="1"/>
  <c r="CG3" i="29" a="1"/>
  <c r="CG3" i="29" s="1"/>
  <c r="AW3" i="29"/>
  <c r="AV3" i="29"/>
  <c r="J3" i="29"/>
  <c r="G3" i="29"/>
  <c r="IL2" i="29"/>
  <c r="HX2" i="29" a="1"/>
  <c r="HX2" i="29" s="1"/>
  <c r="IW2" i="29" s="1"/>
  <c r="HW2" i="29" a="1"/>
  <c r="HW2" i="29" s="1"/>
  <c r="IV2" i="29" s="1"/>
  <c r="HV2" i="29" a="1"/>
  <c r="HV2" i="29" s="1"/>
  <c r="IU2" i="29" s="1"/>
  <c r="HU2" i="29" a="1"/>
  <c r="HU2" i="29" s="1"/>
  <c r="IT2" i="29" s="1"/>
  <c r="HT2" i="29" a="1"/>
  <c r="HT2" i="29" s="1"/>
  <c r="IS2" i="29" s="1"/>
  <c r="HS2" i="29"/>
  <c r="IR2" i="29" s="1"/>
  <c r="HS2" i="29" a="1"/>
  <c r="HR2" i="29" a="1"/>
  <c r="HR2" i="29" s="1"/>
  <c r="IQ2" i="29" s="1"/>
  <c r="HQ2" i="29" a="1"/>
  <c r="HQ2" i="29" s="1"/>
  <c r="IP2" i="29" s="1"/>
  <c r="HP2" i="29" a="1"/>
  <c r="HP2" i="29" s="1"/>
  <c r="IO2" i="29" s="1"/>
  <c r="HL2" i="29"/>
  <c r="HJ2" i="29"/>
  <c r="HI2" i="29"/>
  <c r="HH2" i="29"/>
  <c r="HB2" i="29"/>
  <c r="HA2" i="29"/>
  <c r="GZ2" i="29"/>
  <c r="GY2" i="29"/>
  <c r="GX2" i="29"/>
  <c r="GW2" i="29"/>
  <c r="GV2" i="29"/>
  <c r="GU2" i="29"/>
  <c r="HC2" i="29" s="1"/>
  <c r="GT2" i="29"/>
  <c r="GP2" i="29"/>
  <c r="GI2" i="29"/>
  <c r="GH2" i="29"/>
  <c r="GG2" i="29"/>
  <c r="GF2" i="29"/>
  <c r="GE2" i="29"/>
  <c r="GD2" i="29"/>
  <c r="GC2" i="29"/>
  <c r="GB2" i="29"/>
  <c r="GA2" i="29"/>
  <c r="FZ2" i="29"/>
  <c r="FY2" i="29"/>
  <c r="FX2" i="29"/>
  <c r="FW2" i="29"/>
  <c r="FV2" i="29"/>
  <c r="FU2" i="29"/>
  <c r="FT2" i="29"/>
  <c r="FS2" i="29"/>
  <c r="FR2" i="29"/>
  <c r="FQ2" i="29"/>
  <c r="FP2" i="29"/>
  <c r="FO2" i="29"/>
  <c r="FN2" i="29"/>
  <c r="FJ2" i="29"/>
  <c r="FM2" i="29" s="1"/>
  <c r="FI2" i="29"/>
  <c r="FL2" i="29" s="1"/>
  <c r="FH2" i="29"/>
  <c r="FK2" i="29" s="1"/>
  <c r="FG2" i="29"/>
  <c r="FF2" i="29"/>
  <c r="FE2" i="29"/>
  <c r="FD2" i="29"/>
  <c r="FC2" i="29"/>
  <c r="FB2" i="29"/>
  <c r="FA2" i="29"/>
  <c r="EZ2" i="29"/>
  <c r="EY2" i="29"/>
  <c r="EX2" i="29"/>
  <c r="EW2" i="29"/>
  <c r="EV2" i="29"/>
  <c r="EU2" i="29"/>
  <c r="ET2" i="29"/>
  <c r="ES2" i="29"/>
  <c r="ER2" i="29"/>
  <c r="EQ2" i="29"/>
  <c r="EP2" i="29"/>
  <c r="EO2" i="29"/>
  <c r="EN2" i="29"/>
  <c r="EM2" i="29"/>
  <c r="EL2" i="29"/>
  <c r="EK2" i="29"/>
  <c r="EJ2" i="29"/>
  <c r="EI2" i="29"/>
  <c r="EH2" i="29"/>
  <c r="EG2" i="29"/>
  <c r="EF2" i="29"/>
  <c r="EE2" i="29"/>
  <c r="ED2" i="29"/>
  <c r="EC2" i="29"/>
  <c r="EB2" i="29"/>
  <c r="EA2" i="29"/>
  <c r="DY2" i="29"/>
  <c r="DX2" i="29"/>
  <c r="DV2" i="29"/>
  <c r="DU2" i="29"/>
  <c r="DT2" i="29"/>
  <c r="DS2" i="29"/>
  <c r="DR2" i="29"/>
  <c r="DQ2" i="29"/>
  <c r="DP2" i="29"/>
  <c r="DO2" i="29"/>
  <c r="DN2" i="29"/>
  <c r="DK2" i="29"/>
  <c r="DJ2" i="29"/>
  <c r="DI2" i="29"/>
  <c r="DH2" i="29"/>
  <c r="DG2" i="29"/>
  <c r="DF2" i="29"/>
  <c r="DE2" i="29"/>
  <c r="DD2" i="29"/>
  <c r="DC2" i="29"/>
  <c r="DB2" i="29"/>
  <c r="DA2" i="29"/>
  <c r="CV2" i="29"/>
  <c r="CU2" i="29"/>
  <c r="CT2" i="29"/>
  <c r="CS2" i="29"/>
  <c r="GN2" i="29" s="1"/>
  <c r="CR2" i="29"/>
  <c r="GM2" i="29" s="1"/>
  <c r="CQ2" i="29"/>
  <c r="GL2" i="29" s="1"/>
  <c r="CP2" i="29"/>
  <c r="GJ2" i="29" s="1"/>
  <c r="GK2" i="29" s="1"/>
  <c r="CO2" i="29"/>
  <c r="DZ2" i="29" s="1"/>
  <c r="CN2" i="29"/>
  <c r="CM2" i="29"/>
  <c r="CL2" i="29"/>
  <c r="DW2" i="29" s="1"/>
  <c r="CG2" i="29" a="1"/>
  <c r="CG2" i="29" s="1"/>
  <c r="AW2" i="29"/>
  <c r="AV2" i="29"/>
  <c r="AX2" i="29" s="1"/>
  <c r="J2" i="29"/>
  <c r="G2" i="29"/>
  <c r="IQ2" i="27"/>
  <c r="IL2" i="27"/>
  <c r="HX2" i="27"/>
  <c r="IW2" i="27" s="1"/>
  <c r="HX2" i="27" a="1"/>
  <c r="HW2" i="27" a="1"/>
  <c r="HW2" i="27" s="1"/>
  <c r="IV2" i="27" s="1"/>
  <c r="HV2" i="27" a="1"/>
  <c r="HV2" i="27" s="1"/>
  <c r="IU2" i="27" s="1"/>
  <c r="HU2" i="27" a="1"/>
  <c r="HU2" i="27" s="1"/>
  <c r="IT2" i="27" s="1"/>
  <c r="HT2" i="27" a="1"/>
  <c r="HT2" i="27" s="1"/>
  <c r="IS2" i="27" s="1"/>
  <c r="HS2" i="27"/>
  <c r="IR2" i="27" s="1"/>
  <c r="HS2" i="27" a="1"/>
  <c r="HR2" i="27"/>
  <c r="HR2" i="27" a="1"/>
  <c r="HQ2" i="27" a="1"/>
  <c r="HQ2" i="27" s="1"/>
  <c r="IP2" i="27" s="1"/>
  <c r="HP2" i="27" a="1"/>
  <c r="HP2" i="27" s="1"/>
  <c r="IO2" i="27" s="1"/>
  <c r="HL2" i="27"/>
  <c r="HJ2" i="27"/>
  <c r="HI2" i="27"/>
  <c r="HH2" i="27"/>
  <c r="HB2" i="27"/>
  <c r="HA2" i="27"/>
  <c r="GZ2" i="27"/>
  <c r="GY2" i="27"/>
  <c r="GX2" i="27"/>
  <c r="GW2" i="27"/>
  <c r="GV2" i="27"/>
  <c r="GU2" i="27"/>
  <c r="HC2" i="27" s="1"/>
  <c r="GT2" i="27"/>
  <c r="GP2" i="27"/>
  <c r="GI2" i="27"/>
  <c r="GH2" i="27"/>
  <c r="GG2" i="27"/>
  <c r="GF2" i="27"/>
  <c r="GE2" i="27"/>
  <c r="GD2" i="27"/>
  <c r="GC2" i="27"/>
  <c r="GB2" i="27"/>
  <c r="GA2" i="27"/>
  <c r="FZ2" i="27"/>
  <c r="FY2" i="27"/>
  <c r="FX2" i="27"/>
  <c r="FW2" i="27"/>
  <c r="FV2" i="27"/>
  <c r="FU2" i="27"/>
  <c r="FT2" i="27"/>
  <c r="FS2" i="27"/>
  <c r="FR2" i="27"/>
  <c r="FQ2" i="27"/>
  <c r="FO2" i="27"/>
  <c r="FN2" i="27"/>
  <c r="FJ2" i="27"/>
  <c r="FM2" i="27" s="1"/>
  <c r="FI2" i="27"/>
  <c r="FL2" i="27" s="1"/>
  <c r="FH2" i="27"/>
  <c r="FK2" i="27" s="1"/>
  <c r="FG2" i="27"/>
  <c r="FF2" i="27"/>
  <c r="FP2" i="27" s="1"/>
  <c r="FE2" i="27"/>
  <c r="FD2" i="27"/>
  <c r="FC2" i="27"/>
  <c r="FB2" i="27"/>
  <c r="FA2" i="27"/>
  <c r="EZ2" i="27"/>
  <c r="EY2" i="27"/>
  <c r="EX2" i="27"/>
  <c r="EW2" i="27"/>
  <c r="EV2" i="27"/>
  <c r="EU2" i="27"/>
  <c r="ET2" i="27"/>
  <c r="ES2" i="27"/>
  <c r="ER2" i="27"/>
  <c r="EQ2" i="27"/>
  <c r="EP2" i="27"/>
  <c r="EO2" i="27"/>
  <c r="EN2" i="27"/>
  <c r="EM2" i="27"/>
  <c r="EL2" i="27"/>
  <c r="EK2" i="27"/>
  <c r="EJ2" i="27"/>
  <c r="EI2" i="27"/>
  <c r="EH2" i="27"/>
  <c r="EG2" i="27"/>
  <c r="EF2" i="27"/>
  <c r="EE2" i="27"/>
  <c r="ED2" i="27"/>
  <c r="EC2" i="27"/>
  <c r="EB2" i="27"/>
  <c r="EA2" i="27"/>
  <c r="DY2" i="27"/>
  <c r="DX2" i="27"/>
  <c r="DW2" i="27"/>
  <c r="DV2" i="27"/>
  <c r="DU2" i="27"/>
  <c r="DT2" i="27"/>
  <c r="DS2" i="27"/>
  <c r="DR2" i="27"/>
  <c r="DQ2" i="27"/>
  <c r="DP2" i="27"/>
  <c r="DO2" i="27"/>
  <c r="DN2" i="27"/>
  <c r="DK2" i="27"/>
  <c r="DJ2" i="27"/>
  <c r="DI2" i="27"/>
  <c r="DH2" i="27"/>
  <c r="DG2" i="27"/>
  <c r="DF2" i="27"/>
  <c r="DE2" i="27"/>
  <c r="DD2" i="27"/>
  <c r="DC2" i="27"/>
  <c r="DB2" i="27"/>
  <c r="DA2" i="27"/>
  <c r="CV2" i="27"/>
  <c r="CU2" i="27"/>
  <c r="CT2" i="27"/>
  <c r="CS2" i="27"/>
  <c r="GN2" i="27" s="1"/>
  <c r="CR2" i="27"/>
  <c r="GM2" i="27" s="1"/>
  <c r="CQ2" i="27"/>
  <c r="GL2" i="27" s="1"/>
  <c r="CP2" i="27"/>
  <c r="GJ2" i="27" s="1"/>
  <c r="GK2" i="27" s="1"/>
  <c r="CO2" i="27"/>
  <c r="DZ2" i="27" s="1"/>
  <c r="CN2" i="27"/>
  <c r="CM2" i="27"/>
  <c r="CL2" i="27"/>
  <c r="CG2" i="27" a="1"/>
  <c r="CG2" i="27" s="1"/>
  <c r="AW2" i="27"/>
  <c r="AV2" i="27"/>
  <c r="AX2" i="27" s="1"/>
  <c r="J2" i="27"/>
  <c r="G2" i="27"/>
  <c r="HX3" i="27" a="1"/>
  <c r="HX3" i="27" s="1"/>
  <c r="IW3" i="27" s="1"/>
  <c r="HW3" i="27" a="1"/>
  <c r="HW3" i="27" s="1"/>
  <c r="IV3" i="27" s="1"/>
  <c r="HV3" i="27" a="1"/>
  <c r="HV3" i="27" s="1"/>
  <c r="IU3" i="27" s="1"/>
  <c r="HU3" i="27" a="1"/>
  <c r="HU3" i="27" s="1"/>
  <c r="IT3" i="27" s="1"/>
  <c r="HT3" i="27" a="1"/>
  <c r="HT3" i="27" s="1"/>
  <c r="IS3" i="27" s="1"/>
  <c r="HS3" i="27" a="1"/>
  <c r="HS3" i="27" s="1"/>
  <c r="IR3" i="27" s="1"/>
  <c r="HR3" i="27" a="1"/>
  <c r="HR3" i="27" s="1"/>
  <c r="IQ3" i="27" s="1"/>
  <c r="HQ3" i="27" a="1"/>
  <c r="HQ3" i="27" s="1"/>
  <c r="IP3" i="27" s="1"/>
  <c r="HP3" i="27" a="1"/>
  <c r="HP3" i="27" s="1"/>
  <c r="IO3" i="27" s="1"/>
  <c r="HL3" i="27"/>
  <c r="HJ3" i="27"/>
  <c r="HH3" i="27"/>
  <c r="HI3" i="27" s="1"/>
  <c r="HB3" i="27"/>
  <c r="HA3" i="27"/>
  <c r="GZ3" i="27"/>
  <c r="GY3" i="27"/>
  <c r="GX3" i="27"/>
  <c r="GW3" i="27"/>
  <c r="GV3" i="27"/>
  <c r="GU3" i="27"/>
  <c r="GT3" i="27"/>
  <c r="HC3" i="27" s="1"/>
  <c r="GP3" i="27"/>
  <c r="GL3" i="27"/>
  <c r="GJ3" i="27"/>
  <c r="GK3" i="27" s="1"/>
  <c r="GI3" i="27"/>
  <c r="GH3" i="27"/>
  <c r="GG3" i="27"/>
  <c r="GF3" i="27"/>
  <c r="GE3" i="27"/>
  <c r="GB3" i="27"/>
  <c r="GA3" i="27"/>
  <c r="FZ3" i="27"/>
  <c r="FY3" i="27"/>
  <c r="FW3" i="27"/>
  <c r="FV3" i="27"/>
  <c r="FU3" i="27"/>
  <c r="FT3" i="27"/>
  <c r="FS3" i="27"/>
  <c r="FR3" i="27"/>
  <c r="FQ3" i="27"/>
  <c r="FP3" i="27"/>
  <c r="FJ3" i="27"/>
  <c r="FM3" i="27" s="1"/>
  <c r="FI3" i="27"/>
  <c r="FL3" i="27" s="1"/>
  <c r="FH3" i="27"/>
  <c r="FK3" i="27" s="1"/>
  <c r="FG3" i="27"/>
  <c r="FF3" i="27"/>
  <c r="FE3" i="27"/>
  <c r="FO3" i="27" s="1"/>
  <c r="FD3" i="27"/>
  <c r="FB3" i="27"/>
  <c r="FA3" i="27"/>
  <c r="EZ3" i="27"/>
  <c r="EY3" i="27"/>
  <c r="EX3" i="27"/>
  <c r="EW3" i="27"/>
  <c r="EV3" i="27"/>
  <c r="EU3" i="27"/>
  <c r="ET3" i="27"/>
  <c r="ES3" i="27"/>
  <c r="ER3" i="27"/>
  <c r="EQ3" i="27"/>
  <c r="EP3" i="27"/>
  <c r="EO3" i="27"/>
  <c r="EN3" i="27"/>
  <c r="EM3" i="27"/>
  <c r="EL3" i="27"/>
  <c r="EK3" i="27"/>
  <c r="EJ3" i="27"/>
  <c r="EI3" i="27"/>
  <c r="EH3" i="27"/>
  <c r="EG3" i="27"/>
  <c r="EF3" i="27"/>
  <c r="EE3" i="27"/>
  <c r="ED3" i="27"/>
  <c r="EC3" i="27"/>
  <c r="EB3" i="27"/>
  <c r="EA3" i="27"/>
  <c r="DU3" i="27"/>
  <c r="DT3" i="27"/>
  <c r="DS3" i="27"/>
  <c r="DR3" i="27"/>
  <c r="DQ3" i="27"/>
  <c r="DP3" i="27"/>
  <c r="DO3" i="27"/>
  <c r="DN3" i="27"/>
  <c r="DK3" i="27"/>
  <c r="DJ3" i="27"/>
  <c r="DI3" i="27"/>
  <c r="DH3" i="27"/>
  <c r="DG3" i="27"/>
  <c r="DF3" i="27"/>
  <c r="DE3" i="27"/>
  <c r="DD3" i="27"/>
  <c r="DB3" i="27"/>
  <c r="DA3" i="27"/>
  <c r="CV3" i="27"/>
  <c r="CU3" i="27"/>
  <c r="CT3" i="27"/>
  <c r="CS3" i="27"/>
  <c r="GN3" i="27" s="1"/>
  <c r="CR3" i="27"/>
  <c r="GM3" i="27" s="1"/>
  <c r="CQ3" i="27"/>
  <c r="CP3" i="27"/>
  <c r="CO3" i="27"/>
  <c r="DZ3" i="27" s="1"/>
  <c r="CN3" i="27"/>
  <c r="DY3" i="27" s="1"/>
  <c r="CM3" i="27"/>
  <c r="DX3" i="27" s="1"/>
  <c r="CL3" i="27"/>
  <c r="DW3" i="27" s="1"/>
  <c r="CG3" i="27" a="1"/>
  <c r="CG3" i="27" s="1"/>
  <c r="AW3" i="27"/>
  <c r="AV3" i="27"/>
  <c r="J3" i="27"/>
  <c r="G3" i="27"/>
  <c r="HX3" i="30"/>
  <c r="IW3" i="30" s="1"/>
  <c r="HX3" i="30" a="1"/>
  <c r="HW3" i="30" a="1"/>
  <c r="HW3" i="30" s="1"/>
  <c r="IV3" i="30" s="1"/>
  <c r="HV3" i="30" a="1"/>
  <c r="HV3" i="30" s="1"/>
  <c r="IU3" i="30" s="1"/>
  <c r="HU3" i="30" a="1"/>
  <c r="HU3" i="30" s="1"/>
  <c r="IT3" i="30" s="1"/>
  <c r="HT3" i="30" a="1"/>
  <c r="HT3" i="30" s="1"/>
  <c r="IS3" i="30" s="1"/>
  <c r="HS3" i="30" a="1"/>
  <c r="HS3" i="30" s="1"/>
  <c r="IR3" i="30" s="1"/>
  <c r="HR3" i="30" a="1"/>
  <c r="HR3" i="30" s="1"/>
  <c r="IQ3" i="30" s="1"/>
  <c r="HQ3" i="30" a="1"/>
  <c r="HQ3" i="30" s="1"/>
  <c r="IP3" i="30" s="1"/>
  <c r="HP3" i="30" a="1"/>
  <c r="HP3" i="30" s="1"/>
  <c r="IO3" i="30" s="1"/>
  <c r="HL3" i="30"/>
  <c r="HJ3" i="30"/>
  <c r="HH3" i="30"/>
  <c r="HI3" i="30" s="1"/>
  <c r="HB3" i="30"/>
  <c r="HA3" i="30"/>
  <c r="GZ3" i="30"/>
  <c r="GY3" i="30"/>
  <c r="GX3" i="30"/>
  <c r="GW3" i="30"/>
  <c r="GV3" i="30"/>
  <c r="GU3" i="30"/>
  <c r="GT3" i="30"/>
  <c r="HC3" i="30" s="1"/>
  <c r="GP3" i="30"/>
  <c r="GL3" i="30"/>
  <c r="GJ3" i="30"/>
  <c r="GK3" i="30" s="1"/>
  <c r="GI3" i="30"/>
  <c r="GH3" i="30"/>
  <c r="GG3" i="30"/>
  <c r="GF3" i="30"/>
  <c r="GE3" i="30"/>
  <c r="GB3" i="30"/>
  <c r="GA3" i="30"/>
  <c r="FZ3" i="30"/>
  <c r="FY3" i="30"/>
  <c r="FW3" i="30"/>
  <c r="FV3" i="30"/>
  <c r="FU3" i="30"/>
  <c r="FT3" i="30"/>
  <c r="FS3" i="30"/>
  <c r="FR3" i="30"/>
  <c r="FQ3" i="30"/>
  <c r="FP3" i="30"/>
  <c r="FJ3" i="30"/>
  <c r="FM3" i="30" s="1"/>
  <c r="FI3" i="30"/>
  <c r="FL3" i="30" s="1"/>
  <c r="FH3" i="30"/>
  <c r="FK3" i="30" s="1"/>
  <c r="FG3" i="30"/>
  <c r="FF3" i="30"/>
  <c r="FE3" i="30"/>
  <c r="FO3" i="30" s="1"/>
  <c r="FD3" i="30"/>
  <c r="FB3" i="30"/>
  <c r="FA3" i="30"/>
  <c r="EZ3" i="30"/>
  <c r="EY3" i="30"/>
  <c r="EX3" i="30"/>
  <c r="EW3" i="30"/>
  <c r="EV3" i="30"/>
  <c r="EU3" i="30"/>
  <c r="ET3" i="30"/>
  <c r="ES3" i="30"/>
  <c r="ER3" i="30"/>
  <c r="EQ3" i="30"/>
  <c r="EP3" i="30"/>
  <c r="EO3" i="30"/>
  <c r="EN3" i="30"/>
  <c r="EM3" i="30"/>
  <c r="EL3" i="30"/>
  <c r="EK3" i="30"/>
  <c r="EJ3" i="30"/>
  <c r="EI3" i="30"/>
  <c r="EH3" i="30"/>
  <c r="EG3" i="30"/>
  <c r="EF3" i="30"/>
  <c r="EE3" i="30"/>
  <c r="ED3" i="30"/>
  <c r="EC3" i="30"/>
  <c r="EB3" i="30"/>
  <c r="EA3" i="30"/>
  <c r="DU3" i="30"/>
  <c r="DT3" i="30"/>
  <c r="DS3" i="30"/>
  <c r="DR3" i="30"/>
  <c r="DQ3" i="30"/>
  <c r="DP3" i="30"/>
  <c r="DO3" i="30"/>
  <c r="DN3" i="30"/>
  <c r="DK3" i="30"/>
  <c r="DJ3" i="30"/>
  <c r="DI3" i="30"/>
  <c r="DH3" i="30"/>
  <c r="DG3" i="30"/>
  <c r="DF3" i="30"/>
  <c r="DE3" i="30"/>
  <c r="DD3" i="30"/>
  <c r="DB3" i="30"/>
  <c r="DA3" i="30"/>
  <c r="CV3" i="30"/>
  <c r="CU3" i="30"/>
  <c r="CT3" i="30"/>
  <c r="CS3" i="30"/>
  <c r="GN3" i="30" s="1"/>
  <c r="CR3" i="30"/>
  <c r="GM3" i="30" s="1"/>
  <c r="CQ3" i="30"/>
  <c r="CP3" i="30"/>
  <c r="CO3" i="30"/>
  <c r="DZ3" i="30" s="1"/>
  <c r="CN3" i="30"/>
  <c r="DY3" i="30" s="1"/>
  <c r="CM3" i="30"/>
  <c r="DX3" i="30" s="1"/>
  <c r="CL3" i="30"/>
  <c r="DW3" i="30" s="1"/>
  <c r="CG3" i="30" a="1"/>
  <c r="CG3" i="30" s="1"/>
  <c r="AW3" i="30"/>
  <c r="AV3" i="30"/>
  <c r="J3" i="30"/>
  <c r="G3" i="30"/>
  <c r="IL2" i="30"/>
  <c r="HX2" i="30" a="1"/>
  <c r="HX2" i="30" s="1"/>
  <c r="IW2" i="30" s="1"/>
  <c r="HW2" i="30" a="1"/>
  <c r="HW2" i="30" s="1"/>
  <c r="IV2" i="30" s="1"/>
  <c r="HV2" i="30" a="1"/>
  <c r="HV2" i="30" s="1"/>
  <c r="IU2" i="30" s="1"/>
  <c r="HU2" i="30" a="1"/>
  <c r="HU2" i="30" s="1"/>
  <c r="IT2" i="30" s="1"/>
  <c r="HT2" i="30" a="1"/>
  <c r="HT2" i="30" s="1"/>
  <c r="IS2" i="30" s="1"/>
  <c r="HS2" i="30"/>
  <c r="IR2" i="30" s="1"/>
  <c r="HS2" i="30" a="1"/>
  <c r="HR2" i="30" a="1"/>
  <c r="HR2" i="30" s="1"/>
  <c r="IQ2" i="30" s="1"/>
  <c r="HQ2" i="30" a="1"/>
  <c r="HQ2" i="30" s="1"/>
  <c r="IP2" i="30" s="1"/>
  <c r="HP2" i="30" a="1"/>
  <c r="HP2" i="30" s="1"/>
  <c r="IO2" i="30" s="1"/>
  <c r="HL2" i="30"/>
  <c r="HJ2" i="30"/>
  <c r="HI2" i="30"/>
  <c r="HH2" i="30"/>
  <c r="HB2" i="30"/>
  <c r="HA2" i="30"/>
  <c r="GZ2" i="30"/>
  <c r="GY2" i="30"/>
  <c r="GX2" i="30"/>
  <c r="GW2" i="30"/>
  <c r="GV2" i="30"/>
  <c r="GU2" i="30"/>
  <c r="HC2" i="30" s="1"/>
  <c r="GT2" i="30"/>
  <c r="GP2" i="30"/>
  <c r="GI2" i="30"/>
  <c r="GH2" i="30"/>
  <c r="GG2" i="30"/>
  <c r="GF2" i="30"/>
  <c r="GE2" i="30"/>
  <c r="GD2" i="30"/>
  <c r="GC2" i="30"/>
  <c r="GB2" i="30"/>
  <c r="GA2" i="30"/>
  <c r="FZ2" i="30"/>
  <c r="FY2" i="30"/>
  <c r="FX2" i="30"/>
  <c r="FW2" i="30"/>
  <c r="FV2" i="30"/>
  <c r="FU2" i="30"/>
  <c r="FT2" i="30"/>
  <c r="FS2" i="30"/>
  <c r="FR2" i="30"/>
  <c r="FQ2" i="30"/>
  <c r="FP2" i="30"/>
  <c r="FO2" i="30"/>
  <c r="FN2" i="30"/>
  <c r="FJ2" i="30"/>
  <c r="FM2" i="30" s="1"/>
  <c r="FI2" i="30"/>
  <c r="FL2" i="30" s="1"/>
  <c r="FH2" i="30"/>
  <c r="FK2" i="30" s="1"/>
  <c r="FG2" i="30"/>
  <c r="FF2" i="30"/>
  <c r="FE2" i="30"/>
  <c r="FD2" i="30"/>
  <c r="FC2" i="30"/>
  <c r="FB2" i="30"/>
  <c r="FA2" i="30"/>
  <c r="EZ2" i="30"/>
  <c r="EY2" i="30"/>
  <c r="EX2" i="30"/>
  <c r="EW2" i="30"/>
  <c r="EV2" i="30"/>
  <c r="EU2" i="30"/>
  <c r="ET2" i="30"/>
  <c r="ES2" i="30"/>
  <c r="ER2" i="30"/>
  <c r="EQ2" i="30"/>
  <c r="EP2" i="30"/>
  <c r="EO2" i="30"/>
  <c r="EN2" i="30"/>
  <c r="EM2" i="30"/>
  <c r="EL2" i="30"/>
  <c r="EK2" i="30"/>
  <c r="EJ2" i="30"/>
  <c r="EI2" i="30"/>
  <c r="EH2" i="30"/>
  <c r="EG2" i="30"/>
  <c r="EF2" i="30"/>
  <c r="EE2" i="30"/>
  <c r="ED2" i="30"/>
  <c r="EC2" i="30"/>
  <c r="EB2" i="30"/>
  <c r="EA2" i="30"/>
  <c r="DY2" i="30"/>
  <c r="DX2" i="30"/>
  <c r="DV2" i="30"/>
  <c r="DU2" i="30"/>
  <c r="DT2" i="30"/>
  <c r="DS2" i="30"/>
  <c r="DR2" i="30"/>
  <c r="DQ2" i="30"/>
  <c r="DP2" i="30"/>
  <c r="DO2" i="30"/>
  <c r="DN2" i="30"/>
  <c r="DK2" i="30"/>
  <c r="DJ2" i="30"/>
  <c r="DI2" i="30"/>
  <c r="DH2" i="30"/>
  <c r="DG2" i="30"/>
  <c r="DF2" i="30"/>
  <c r="DE2" i="30"/>
  <c r="DD2" i="30"/>
  <c r="DC2" i="30"/>
  <c r="DB2" i="30"/>
  <c r="DA2" i="30"/>
  <c r="CV2" i="30"/>
  <c r="CU2" i="30"/>
  <c r="CT2" i="30"/>
  <c r="CS2" i="30"/>
  <c r="GN2" i="30" s="1"/>
  <c r="CR2" i="30"/>
  <c r="GM2" i="30" s="1"/>
  <c r="CQ2" i="30"/>
  <c r="GL2" i="30" s="1"/>
  <c r="CP2" i="30"/>
  <c r="GJ2" i="30" s="1"/>
  <c r="GK2" i="30" s="1"/>
  <c r="CO2" i="30"/>
  <c r="DZ2" i="30" s="1"/>
  <c r="CN2" i="30"/>
  <c r="CM2" i="30"/>
  <c r="CL2" i="30"/>
  <c r="DW2" i="30" s="1"/>
  <c r="CG2" i="30" a="1"/>
  <c r="CG2" i="30" s="1"/>
  <c r="AW2" i="30"/>
  <c r="AV2" i="30"/>
  <c r="AX2" i="30" s="1"/>
  <c r="J2" i="30"/>
  <c r="G2" i="30"/>
  <c r="IQ2" i="35"/>
  <c r="IL2" i="35"/>
  <c r="HX2" i="35"/>
  <c r="IW2" i="35" s="1"/>
  <c r="HX2" i="35" a="1"/>
  <c r="HW2" i="35" a="1"/>
  <c r="HW2" i="35" s="1"/>
  <c r="IV2" i="35" s="1"/>
  <c r="HV2" i="35" a="1"/>
  <c r="HV2" i="35" s="1"/>
  <c r="IU2" i="35" s="1"/>
  <c r="HU2" i="35" a="1"/>
  <c r="HU2" i="35" s="1"/>
  <c r="IT2" i="35" s="1"/>
  <c r="HT2" i="35" a="1"/>
  <c r="HT2" i="35" s="1"/>
  <c r="IS2" i="35" s="1"/>
  <c r="HS2" i="35"/>
  <c r="IR2" i="35" s="1"/>
  <c r="HS2" i="35" a="1"/>
  <c r="HR2" i="35"/>
  <c r="HR2" i="35" a="1"/>
  <c r="HQ2" i="35" a="1"/>
  <c r="HQ2" i="35" s="1"/>
  <c r="IP2" i="35" s="1"/>
  <c r="HP2" i="35" a="1"/>
  <c r="HP2" i="35" s="1"/>
  <c r="IO2" i="35" s="1"/>
  <c r="HL2" i="35"/>
  <c r="HJ2" i="35"/>
  <c r="HI2" i="35"/>
  <c r="HH2" i="35"/>
  <c r="HB2" i="35"/>
  <c r="HA2" i="35"/>
  <c r="GZ2" i="35"/>
  <c r="GY2" i="35"/>
  <c r="GX2" i="35"/>
  <c r="GW2" i="35"/>
  <c r="GV2" i="35"/>
  <c r="GU2" i="35"/>
  <c r="HC2" i="35" s="1"/>
  <c r="GT2" i="35"/>
  <c r="GP2" i="35"/>
  <c r="GI2" i="35"/>
  <c r="GH2" i="35"/>
  <c r="GG2" i="35"/>
  <c r="GF2" i="35"/>
  <c r="GE2" i="35"/>
  <c r="GD2" i="35"/>
  <c r="GC2" i="35"/>
  <c r="GB2" i="35"/>
  <c r="GA2" i="35"/>
  <c r="FZ2" i="35"/>
  <c r="FY2" i="35"/>
  <c r="FX2" i="35"/>
  <c r="FW2" i="35"/>
  <c r="FV2" i="35"/>
  <c r="FU2" i="35"/>
  <c r="FT2" i="35"/>
  <c r="FS2" i="35"/>
  <c r="FR2" i="35"/>
  <c r="FQ2" i="35"/>
  <c r="FP2" i="35"/>
  <c r="FO2" i="35"/>
  <c r="FN2" i="35"/>
  <c r="FJ2" i="35"/>
  <c r="FM2" i="35" s="1"/>
  <c r="FI2" i="35"/>
  <c r="FL2" i="35" s="1"/>
  <c r="FH2" i="35"/>
  <c r="FK2" i="35" s="1"/>
  <c r="FG2" i="35"/>
  <c r="FF2" i="35"/>
  <c r="FE2" i="35"/>
  <c r="FD2" i="35"/>
  <c r="FC2" i="35"/>
  <c r="FB2" i="35"/>
  <c r="FA2" i="35"/>
  <c r="EZ2" i="35"/>
  <c r="EY2" i="35"/>
  <c r="EX2" i="35"/>
  <c r="EW2" i="35"/>
  <c r="EV2" i="35"/>
  <c r="EU2" i="35"/>
  <c r="ET2" i="35"/>
  <c r="ES2" i="35"/>
  <c r="ER2" i="35"/>
  <c r="EQ2" i="35"/>
  <c r="EP2" i="35"/>
  <c r="EO2" i="35"/>
  <c r="EN2" i="35"/>
  <c r="EM2" i="35"/>
  <c r="EL2" i="35"/>
  <c r="EK2" i="35"/>
  <c r="EJ2" i="35"/>
  <c r="EI2" i="35"/>
  <c r="EH2" i="35"/>
  <c r="EG2" i="35"/>
  <c r="EF2" i="35"/>
  <c r="EE2" i="35"/>
  <c r="ED2" i="35"/>
  <c r="EC2" i="35"/>
  <c r="EB2" i="35"/>
  <c r="EA2" i="35"/>
  <c r="DY2" i="35"/>
  <c r="DX2" i="35"/>
  <c r="DW2" i="35"/>
  <c r="DV2" i="35"/>
  <c r="DU2" i="35"/>
  <c r="DT2" i="35"/>
  <c r="DS2" i="35"/>
  <c r="DR2" i="35"/>
  <c r="DQ2" i="35"/>
  <c r="DP2" i="35"/>
  <c r="DO2" i="35"/>
  <c r="DN2" i="35"/>
  <c r="DK2" i="35"/>
  <c r="DJ2" i="35"/>
  <c r="DI2" i="35"/>
  <c r="DH2" i="35"/>
  <c r="DG2" i="35"/>
  <c r="DF2" i="35"/>
  <c r="DE2" i="35"/>
  <c r="DD2" i="35"/>
  <c r="DC2" i="35"/>
  <c r="DB2" i="35"/>
  <c r="DA2" i="35"/>
  <c r="CV2" i="35"/>
  <c r="CU2" i="35"/>
  <c r="CT2" i="35"/>
  <c r="CS2" i="35"/>
  <c r="GN2" i="35" s="1"/>
  <c r="CR2" i="35"/>
  <c r="GM2" i="35" s="1"/>
  <c r="CQ2" i="35"/>
  <c r="GL2" i="35" s="1"/>
  <c r="CP2" i="35"/>
  <c r="GJ2" i="35" s="1"/>
  <c r="GK2" i="35" s="1"/>
  <c r="CO2" i="35"/>
  <c r="DZ2" i="35" s="1"/>
  <c r="CN2" i="35"/>
  <c r="CM2" i="35"/>
  <c r="CL2" i="35"/>
  <c r="CG2" i="35" a="1"/>
  <c r="CG2" i="35" s="1"/>
  <c r="AW2" i="35"/>
  <c r="AV2" i="35"/>
  <c r="AX2" i="35" s="1"/>
  <c r="J2" i="35"/>
  <c r="G2" i="35"/>
  <c r="IQ3" i="35"/>
  <c r="IN3" i="35"/>
  <c r="IX3" i="35" s="1"/>
  <c r="IM3" i="35"/>
  <c r="HX3" i="35"/>
  <c r="IW3" i="35" s="1"/>
  <c r="HX3" i="35" a="1"/>
  <c r="HW3" i="35" a="1"/>
  <c r="HW3" i="35" s="1"/>
  <c r="IV3" i="35" s="1"/>
  <c r="HV3" i="35" a="1"/>
  <c r="HV3" i="35" s="1"/>
  <c r="IU3" i="35" s="1"/>
  <c r="HU3" i="35" a="1"/>
  <c r="HU3" i="35" s="1"/>
  <c r="IT3" i="35" s="1"/>
  <c r="HT3" i="35" a="1"/>
  <c r="HT3" i="35" s="1"/>
  <c r="IS3" i="35" s="1"/>
  <c r="HS3" i="35" a="1"/>
  <c r="HS3" i="35" s="1"/>
  <c r="IR3" i="35" s="1"/>
  <c r="HR3" i="35"/>
  <c r="HR3" i="35" a="1"/>
  <c r="HQ3" i="35" a="1"/>
  <c r="HQ3" i="35" s="1"/>
  <c r="IP3" i="35" s="1"/>
  <c r="HP3" i="35" a="1"/>
  <c r="HP3" i="35" s="1"/>
  <c r="HL3" i="35"/>
  <c r="HJ3" i="35"/>
  <c r="HH3" i="35"/>
  <c r="HI3" i="35" s="1"/>
  <c r="HB3" i="35"/>
  <c r="HA3" i="35"/>
  <c r="GZ3" i="35"/>
  <c r="GY3" i="35"/>
  <c r="GX3" i="35"/>
  <c r="GW3" i="35"/>
  <c r="GV3" i="35"/>
  <c r="GU3" i="35"/>
  <c r="GT3" i="35"/>
  <c r="HC3" i="35" s="1"/>
  <c r="GP3" i="35"/>
  <c r="GN3" i="35"/>
  <c r="GM3" i="35"/>
  <c r="GL3" i="35"/>
  <c r="GJ3" i="35"/>
  <c r="GK3" i="35" s="1"/>
  <c r="GI3" i="35"/>
  <c r="GH3" i="35"/>
  <c r="GG3" i="35"/>
  <c r="GF3" i="35"/>
  <c r="GE3" i="35"/>
  <c r="GB3" i="35"/>
  <c r="GA3" i="35"/>
  <c r="FZ3" i="35"/>
  <c r="FY3" i="35"/>
  <c r="FW3" i="35"/>
  <c r="FV3" i="35"/>
  <c r="FU3" i="35"/>
  <c r="FT3" i="35"/>
  <c r="FS3" i="35"/>
  <c r="FR3" i="35"/>
  <c r="FQ3" i="35"/>
  <c r="FP3" i="35"/>
  <c r="FJ3" i="35"/>
  <c r="FM3" i="35" s="1"/>
  <c r="FI3" i="35"/>
  <c r="FL3" i="35" s="1"/>
  <c r="FH3" i="35"/>
  <c r="FK3" i="35" s="1"/>
  <c r="FG3" i="35"/>
  <c r="FF3" i="35"/>
  <c r="FE3" i="35"/>
  <c r="FO3" i="35" s="1"/>
  <c r="FD3" i="35"/>
  <c r="FB3" i="35"/>
  <c r="FA3" i="35"/>
  <c r="EZ3" i="35"/>
  <c r="EY3" i="35"/>
  <c r="EX3" i="35"/>
  <c r="EW3" i="35"/>
  <c r="EV3" i="35"/>
  <c r="EU3" i="35"/>
  <c r="ET3" i="35"/>
  <c r="ES3" i="35"/>
  <c r="ER3" i="35"/>
  <c r="EQ3" i="35"/>
  <c r="EP3" i="35"/>
  <c r="EO3" i="35"/>
  <c r="EN3" i="35"/>
  <c r="EM3" i="35"/>
  <c r="EL3" i="35"/>
  <c r="EK3" i="35"/>
  <c r="EJ3" i="35"/>
  <c r="EI3" i="35"/>
  <c r="EH3" i="35"/>
  <c r="EG3" i="35"/>
  <c r="EF3" i="35"/>
  <c r="EE3" i="35"/>
  <c r="ED3" i="35"/>
  <c r="EC3" i="35"/>
  <c r="EB3" i="35"/>
  <c r="EA3" i="35"/>
  <c r="DU3" i="35"/>
  <c r="DT3" i="35"/>
  <c r="DS3" i="35"/>
  <c r="DR3" i="35"/>
  <c r="DQ3" i="35"/>
  <c r="DP3" i="35"/>
  <c r="DO3" i="35"/>
  <c r="DN3" i="35"/>
  <c r="DL3" i="35"/>
  <c r="DK3" i="35"/>
  <c r="DJ3" i="35"/>
  <c r="DI3" i="35"/>
  <c r="DH3" i="35"/>
  <c r="DG3" i="35"/>
  <c r="DF3" i="35"/>
  <c r="DE3" i="35"/>
  <c r="DD3" i="35"/>
  <c r="DB3" i="35"/>
  <c r="DA3" i="35"/>
  <c r="CV3" i="35"/>
  <c r="CU3" i="35"/>
  <c r="CT3" i="35"/>
  <c r="CS3" i="35"/>
  <c r="CR3" i="35"/>
  <c r="CQ3" i="35"/>
  <c r="CP3" i="35"/>
  <c r="CO3" i="35"/>
  <c r="DZ3" i="35" s="1"/>
  <c r="CN3" i="35"/>
  <c r="DY3" i="35" s="1"/>
  <c r="CM3" i="35"/>
  <c r="DX3" i="35" s="1"/>
  <c r="CL3" i="35"/>
  <c r="DW3" i="35" s="1"/>
  <c r="CK3" i="35"/>
  <c r="CZ3" i="35" s="1"/>
  <c r="CJ3" i="35"/>
  <c r="CY3" i="35" s="1"/>
  <c r="CI3" i="35"/>
  <c r="CX3" i="35" s="1"/>
  <c r="CH3" i="35"/>
  <c r="CW3" i="35" s="1"/>
  <c r="CG3" i="35"/>
  <c r="CG3" i="35" a="1"/>
  <c r="AW3" i="35"/>
  <c r="AV3" i="35"/>
  <c r="J3" i="35"/>
  <c r="G3" i="35"/>
  <c r="IQ3" i="34"/>
  <c r="IN3" i="34"/>
  <c r="IX3" i="34" s="1"/>
  <c r="IM3" i="34"/>
  <c r="HX3" i="34"/>
  <c r="IW3" i="34" s="1"/>
  <c r="HX3" i="34" a="1"/>
  <c r="HW3" i="34" a="1"/>
  <c r="HW3" i="34" s="1"/>
  <c r="IV3" i="34" s="1"/>
  <c r="HV3" i="34" a="1"/>
  <c r="HV3" i="34" s="1"/>
  <c r="IU3" i="34" s="1"/>
  <c r="HU3" i="34" a="1"/>
  <c r="HU3" i="34" s="1"/>
  <c r="IT3" i="34" s="1"/>
  <c r="HT3" i="34" a="1"/>
  <c r="HT3" i="34" s="1"/>
  <c r="IS3" i="34" s="1"/>
  <c r="HS3" i="34" a="1"/>
  <c r="HS3" i="34" s="1"/>
  <c r="IR3" i="34" s="1"/>
  <c r="HR3" i="34"/>
  <c r="HR3" i="34" a="1"/>
  <c r="HQ3" i="34" a="1"/>
  <c r="HQ3" i="34" s="1"/>
  <c r="IP3" i="34" s="1"/>
  <c r="HP3" i="34" a="1"/>
  <c r="HP3" i="34" s="1"/>
  <c r="IO3" i="34" s="1"/>
  <c r="HL3" i="34"/>
  <c r="HJ3" i="34"/>
  <c r="HH3" i="34"/>
  <c r="HI3" i="34" s="1"/>
  <c r="HB3" i="34"/>
  <c r="HA3" i="34"/>
  <c r="GZ3" i="34"/>
  <c r="GY3" i="34"/>
  <c r="GX3" i="34"/>
  <c r="GW3" i="34"/>
  <c r="GV3" i="34"/>
  <c r="GU3" i="34"/>
  <c r="GT3" i="34"/>
  <c r="HC3" i="34" s="1"/>
  <c r="GP3" i="34"/>
  <c r="GM3" i="34"/>
  <c r="GL3" i="34"/>
  <c r="GJ3" i="34"/>
  <c r="GK3" i="34" s="1"/>
  <c r="GI3" i="34"/>
  <c r="GH3" i="34"/>
  <c r="GG3" i="34"/>
  <c r="GF3" i="34"/>
  <c r="GE3" i="34"/>
  <c r="GB3" i="34"/>
  <c r="GA3" i="34"/>
  <c r="FZ3" i="34"/>
  <c r="FY3" i="34"/>
  <c r="FW3" i="34"/>
  <c r="FV3" i="34"/>
  <c r="FU3" i="34"/>
  <c r="FT3" i="34"/>
  <c r="FS3" i="34"/>
  <c r="FR3" i="34"/>
  <c r="FQ3" i="34"/>
  <c r="FP3" i="34"/>
  <c r="FJ3" i="34"/>
  <c r="FM3" i="34" s="1"/>
  <c r="FI3" i="34"/>
  <c r="FL3" i="34" s="1"/>
  <c r="FH3" i="34"/>
  <c r="FK3" i="34" s="1"/>
  <c r="FG3" i="34"/>
  <c r="FF3" i="34"/>
  <c r="FE3" i="34"/>
  <c r="FO3" i="34" s="1"/>
  <c r="FD3" i="34"/>
  <c r="FB3" i="34"/>
  <c r="FA3" i="34"/>
  <c r="EZ3" i="34"/>
  <c r="EY3" i="34"/>
  <c r="EX3" i="34"/>
  <c r="EW3" i="34"/>
  <c r="EV3" i="34"/>
  <c r="EU3" i="34"/>
  <c r="ET3" i="34"/>
  <c r="ES3" i="34"/>
  <c r="ER3" i="34"/>
  <c r="EQ3" i="34"/>
  <c r="EP3" i="34"/>
  <c r="EO3" i="34"/>
  <c r="EN3" i="34"/>
  <c r="EM3" i="34"/>
  <c r="EL3" i="34"/>
  <c r="EK3" i="34"/>
  <c r="EJ3" i="34"/>
  <c r="EI3" i="34"/>
  <c r="EH3" i="34"/>
  <c r="EG3" i="34"/>
  <c r="EF3" i="34"/>
  <c r="EE3" i="34"/>
  <c r="ED3" i="34"/>
  <c r="EC3" i="34"/>
  <c r="EB3" i="34"/>
  <c r="EA3" i="34"/>
  <c r="DU3" i="34"/>
  <c r="DT3" i="34"/>
  <c r="DS3" i="34"/>
  <c r="DR3" i="34"/>
  <c r="DQ3" i="34"/>
  <c r="DP3" i="34"/>
  <c r="DO3" i="34"/>
  <c r="DN3" i="34"/>
  <c r="DM3" i="34" a="1"/>
  <c r="DM3" i="34" s="1"/>
  <c r="DL3" i="34"/>
  <c r="DK3" i="34"/>
  <c r="DJ3" i="34"/>
  <c r="DI3" i="34"/>
  <c r="DH3" i="34"/>
  <c r="DG3" i="34"/>
  <c r="DF3" i="34"/>
  <c r="DE3" i="34"/>
  <c r="DD3" i="34"/>
  <c r="DB3" i="34"/>
  <c r="DA3" i="34"/>
  <c r="CY3" i="34"/>
  <c r="CX3" i="34"/>
  <c r="CV3" i="34"/>
  <c r="CU3" i="34"/>
  <c r="CT3" i="34"/>
  <c r="CS3" i="34"/>
  <c r="GN3" i="34" s="1"/>
  <c r="CR3" i="34"/>
  <c r="CQ3" i="34"/>
  <c r="CP3" i="34"/>
  <c r="CO3" i="34"/>
  <c r="DZ3" i="34" s="1"/>
  <c r="CN3" i="34"/>
  <c r="DY3" i="34" s="1"/>
  <c r="CM3" i="34"/>
  <c r="DX3" i="34" s="1"/>
  <c r="CL3" i="34"/>
  <c r="DW3" i="34" s="1"/>
  <c r="CJ3" i="34"/>
  <c r="CI3" i="34"/>
  <c r="CH3" i="34"/>
  <c r="CW3" i="34" s="1"/>
  <c r="CG3" i="34"/>
  <c r="CK3" i="34" s="1"/>
  <c r="CZ3" i="34" s="1"/>
  <c r="CG3" i="34" a="1"/>
  <c r="AW3" i="34"/>
  <c r="AV3" i="34"/>
  <c r="J3" i="34"/>
  <c r="G3" i="34"/>
  <c r="IL2" i="34"/>
  <c r="HX2" i="34" a="1"/>
  <c r="HX2" i="34" s="1"/>
  <c r="IW2" i="34" s="1"/>
  <c r="HW2" i="34" a="1"/>
  <c r="HW2" i="34" s="1"/>
  <c r="IV2" i="34" s="1"/>
  <c r="HV2" i="34" a="1"/>
  <c r="HV2" i="34" s="1"/>
  <c r="IU2" i="34" s="1"/>
  <c r="HU2" i="34" a="1"/>
  <c r="HU2" i="34" s="1"/>
  <c r="IT2" i="34" s="1"/>
  <c r="HT2" i="34" a="1"/>
  <c r="HT2" i="34" s="1"/>
  <c r="IS2" i="34" s="1"/>
  <c r="HS2" i="34"/>
  <c r="IR2" i="34" s="1"/>
  <c r="HS2" i="34" a="1"/>
  <c r="HR2" i="34" a="1"/>
  <c r="HR2" i="34" s="1"/>
  <c r="IQ2" i="34" s="1"/>
  <c r="HQ2" i="34" a="1"/>
  <c r="HQ2" i="34" s="1"/>
  <c r="IP2" i="34" s="1"/>
  <c r="HP2" i="34" a="1"/>
  <c r="HP2" i="34" s="1"/>
  <c r="IO2" i="34" s="1"/>
  <c r="HL2" i="34"/>
  <c r="HJ2" i="34"/>
  <c r="HI2" i="34"/>
  <c r="HH2" i="34"/>
  <c r="HB2" i="34"/>
  <c r="HA2" i="34"/>
  <c r="GZ2" i="34"/>
  <c r="GY2" i="34"/>
  <c r="GX2" i="34"/>
  <c r="GW2" i="34"/>
  <c r="GV2" i="34"/>
  <c r="GU2" i="34"/>
  <c r="HC2" i="34" s="1"/>
  <c r="GT2" i="34"/>
  <c r="GP2" i="34"/>
  <c r="GI2" i="34"/>
  <c r="GH2" i="34"/>
  <c r="GG2" i="34"/>
  <c r="GF2" i="34"/>
  <c r="GE2" i="34"/>
  <c r="GD2" i="34"/>
  <c r="GC2" i="34"/>
  <c r="GB2" i="34"/>
  <c r="GA2" i="34"/>
  <c r="FZ2" i="34"/>
  <c r="FY2" i="34"/>
  <c r="FX2" i="34"/>
  <c r="FW2" i="34"/>
  <c r="FV2" i="34"/>
  <c r="FU2" i="34"/>
  <c r="FT2" i="34"/>
  <c r="FS2" i="34"/>
  <c r="FR2" i="34"/>
  <c r="FQ2" i="34"/>
  <c r="FP2" i="34"/>
  <c r="FO2" i="34"/>
  <c r="FN2" i="34"/>
  <c r="FJ2" i="34"/>
  <c r="FM2" i="34" s="1"/>
  <c r="FI2" i="34"/>
  <c r="FL2" i="34" s="1"/>
  <c r="FH2" i="34"/>
  <c r="FK2" i="34" s="1"/>
  <c r="FG2" i="34"/>
  <c r="FF2" i="34"/>
  <c r="FE2" i="34"/>
  <c r="FD2" i="34"/>
  <c r="FC2" i="34"/>
  <c r="FB2" i="34"/>
  <c r="FA2" i="34"/>
  <c r="EZ2" i="34"/>
  <c r="EY2" i="34"/>
  <c r="EX2" i="34"/>
  <c r="EW2" i="34"/>
  <c r="EV2" i="34"/>
  <c r="EU2" i="34"/>
  <c r="ET2" i="34"/>
  <c r="ES2" i="34"/>
  <c r="ER2" i="34"/>
  <c r="EQ2" i="34"/>
  <c r="EP2" i="34"/>
  <c r="EO2" i="34"/>
  <c r="EN2" i="34"/>
  <c r="EM2" i="34"/>
  <c r="EL2" i="34"/>
  <c r="EK2" i="34"/>
  <c r="EJ2" i="34"/>
  <c r="EI2" i="34"/>
  <c r="EH2" i="34"/>
  <c r="EG2" i="34"/>
  <c r="EF2" i="34"/>
  <c r="EE2" i="34"/>
  <c r="ED2" i="34"/>
  <c r="EC2" i="34"/>
  <c r="EB2" i="34"/>
  <c r="EA2" i="34"/>
  <c r="DY2" i="34"/>
  <c r="DX2" i="34"/>
  <c r="DV2" i="34"/>
  <c r="DU2" i="34"/>
  <c r="DT2" i="34"/>
  <c r="DS2" i="34"/>
  <c r="DR2" i="34"/>
  <c r="DQ2" i="34"/>
  <c r="DP2" i="34"/>
  <c r="DO2" i="34"/>
  <c r="DN2" i="34"/>
  <c r="DK2" i="34"/>
  <c r="DJ2" i="34"/>
  <c r="DI2" i="34"/>
  <c r="DH2" i="34"/>
  <c r="DG2" i="34"/>
  <c r="DF2" i="34"/>
  <c r="DE2" i="34"/>
  <c r="DD2" i="34"/>
  <c r="DC2" i="34"/>
  <c r="DB2" i="34"/>
  <c r="DA2" i="34"/>
  <c r="CV2" i="34"/>
  <c r="CU2" i="34"/>
  <c r="CT2" i="34"/>
  <c r="CS2" i="34"/>
  <c r="GN2" i="34" s="1"/>
  <c r="CR2" i="34"/>
  <c r="GM2" i="34" s="1"/>
  <c r="CQ2" i="34"/>
  <c r="GL2" i="34" s="1"/>
  <c r="CP2" i="34"/>
  <c r="GJ2" i="34" s="1"/>
  <c r="GK2" i="34" s="1"/>
  <c r="CO2" i="34"/>
  <c r="DZ2" i="34" s="1"/>
  <c r="CN2" i="34"/>
  <c r="CM2" i="34"/>
  <c r="CL2" i="34"/>
  <c r="DW2" i="34" s="1"/>
  <c r="CG2" i="34" a="1"/>
  <c r="CG2" i="34" s="1"/>
  <c r="AW2" i="34"/>
  <c r="AV2" i="34"/>
  <c r="AX2" i="34" s="1"/>
  <c r="J2" i="34"/>
  <c r="G2" i="34"/>
  <c r="IL2" i="33"/>
  <c r="HX2" i="33" a="1"/>
  <c r="HX2" i="33" s="1"/>
  <c r="IW2" i="33" s="1"/>
  <c r="HW2" i="33" a="1"/>
  <c r="HW2" i="33" s="1"/>
  <c r="IV2" i="33" s="1"/>
  <c r="HV2" i="33" a="1"/>
  <c r="HV2" i="33" s="1"/>
  <c r="IU2" i="33" s="1"/>
  <c r="HU2" i="33" a="1"/>
  <c r="HU2" i="33" s="1"/>
  <c r="IT2" i="33" s="1"/>
  <c r="HT2" i="33" a="1"/>
  <c r="HT2" i="33" s="1"/>
  <c r="IS2" i="33" s="1"/>
  <c r="HS2" i="33"/>
  <c r="IR2" i="33" s="1"/>
  <c r="HS2" i="33" a="1"/>
  <c r="HR2" i="33" a="1"/>
  <c r="HR2" i="33" s="1"/>
  <c r="IQ2" i="33" s="1"/>
  <c r="HQ2" i="33" a="1"/>
  <c r="HQ2" i="33" s="1"/>
  <c r="IP2" i="33" s="1"/>
  <c r="HP2" i="33" a="1"/>
  <c r="HP2" i="33" s="1"/>
  <c r="IO2" i="33" s="1"/>
  <c r="HL2" i="33"/>
  <c r="HJ2" i="33"/>
  <c r="HI2" i="33"/>
  <c r="HH2" i="33"/>
  <c r="HB2" i="33"/>
  <c r="HA2" i="33"/>
  <c r="GZ2" i="33"/>
  <c r="GY2" i="33"/>
  <c r="GX2" i="33"/>
  <c r="GW2" i="33"/>
  <c r="GV2" i="33"/>
  <c r="GU2" i="33"/>
  <c r="HC2" i="33" s="1"/>
  <c r="GT2" i="33"/>
  <c r="GP2" i="33"/>
  <c r="GI2" i="33"/>
  <c r="GH2" i="33"/>
  <c r="GG2" i="33"/>
  <c r="GF2" i="33"/>
  <c r="GE2" i="33"/>
  <c r="GD2" i="33"/>
  <c r="GC2" i="33"/>
  <c r="GB2" i="33"/>
  <c r="GA2" i="33"/>
  <c r="FZ2" i="33"/>
  <c r="FY2" i="33"/>
  <c r="FX2" i="33"/>
  <c r="FW2" i="33"/>
  <c r="FV2" i="33"/>
  <c r="FU2" i="33"/>
  <c r="FT2" i="33"/>
  <c r="FS2" i="33"/>
  <c r="FR2" i="33"/>
  <c r="FQ2" i="33"/>
  <c r="FP2" i="33"/>
  <c r="FO2" i="33"/>
  <c r="FN2" i="33"/>
  <c r="FJ2" i="33"/>
  <c r="FM2" i="33" s="1"/>
  <c r="FI2" i="33"/>
  <c r="FL2" i="33" s="1"/>
  <c r="FH2" i="33"/>
  <c r="FK2" i="33" s="1"/>
  <c r="FG2" i="33"/>
  <c r="FF2" i="33"/>
  <c r="FE2" i="33"/>
  <c r="FD2" i="33"/>
  <c r="FC2" i="33"/>
  <c r="FB2" i="33"/>
  <c r="FA2" i="33"/>
  <c r="EZ2" i="33"/>
  <c r="EY2" i="33"/>
  <c r="EX2" i="33"/>
  <c r="EW2" i="33"/>
  <c r="EV2" i="33"/>
  <c r="EU2" i="33"/>
  <c r="ET2" i="33"/>
  <c r="ES2" i="33"/>
  <c r="ER2" i="33"/>
  <c r="EQ2" i="33"/>
  <c r="EP2" i="33"/>
  <c r="EO2" i="33"/>
  <c r="EN2" i="33"/>
  <c r="EM2" i="33"/>
  <c r="EL2" i="33"/>
  <c r="EK2" i="33"/>
  <c r="EJ2" i="33"/>
  <c r="EI2" i="33"/>
  <c r="EH2" i="33"/>
  <c r="EG2" i="33"/>
  <c r="EF2" i="33"/>
  <c r="EE2" i="33"/>
  <c r="ED2" i="33"/>
  <c r="EC2" i="33"/>
  <c r="EB2" i="33"/>
  <c r="EA2" i="33"/>
  <c r="DY2" i="33"/>
  <c r="DX2" i="33"/>
  <c r="DV2" i="33"/>
  <c r="DU2" i="33"/>
  <c r="DT2" i="33"/>
  <c r="DS2" i="33"/>
  <c r="DR2" i="33"/>
  <c r="DQ2" i="33"/>
  <c r="DP2" i="33"/>
  <c r="DO2" i="33"/>
  <c r="DN2" i="33"/>
  <c r="DK2" i="33"/>
  <c r="DJ2" i="33"/>
  <c r="DI2" i="33"/>
  <c r="DH2" i="33"/>
  <c r="DG2" i="33"/>
  <c r="DF2" i="33"/>
  <c r="DE2" i="33"/>
  <c r="DD2" i="33"/>
  <c r="DC2" i="33"/>
  <c r="DB2" i="33"/>
  <c r="DA2" i="33"/>
  <c r="CV2" i="33"/>
  <c r="CU2" i="33"/>
  <c r="CT2" i="33"/>
  <c r="CS2" i="33"/>
  <c r="GN2" i="33" s="1"/>
  <c r="CR2" i="33"/>
  <c r="GM2" i="33" s="1"/>
  <c r="CQ2" i="33"/>
  <c r="GL2" i="33" s="1"/>
  <c r="CP2" i="33"/>
  <c r="GJ2" i="33" s="1"/>
  <c r="GK2" i="33" s="1"/>
  <c r="CO2" i="33"/>
  <c r="DZ2" i="33" s="1"/>
  <c r="CN2" i="33"/>
  <c r="CM2" i="33"/>
  <c r="CL2" i="33"/>
  <c r="DW2" i="33" s="1"/>
  <c r="CG2" i="33" a="1"/>
  <c r="CG2" i="33" s="1"/>
  <c r="AW2" i="33"/>
  <c r="AV2" i="33"/>
  <c r="AX2" i="33" s="1"/>
  <c r="J2" i="33"/>
  <c r="G2" i="33"/>
  <c r="HX3" i="33" a="1"/>
  <c r="HX3" i="33" s="1"/>
  <c r="IW3" i="33" s="1"/>
  <c r="HW3" i="33" a="1"/>
  <c r="HW3" i="33" s="1"/>
  <c r="IV3" i="33" s="1"/>
  <c r="HV3" i="33" a="1"/>
  <c r="HV3" i="33" s="1"/>
  <c r="IU3" i="33" s="1"/>
  <c r="HU3" i="33" a="1"/>
  <c r="HU3" i="33" s="1"/>
  <c r="IT3" i="33" s="1"/>
  <c r="HT3" i="33" a="1"/>
  <c r="HT3" i="33" s="1"/>
  <c r="IS3" i="33" s="1"/>
  <c r="HS3" i="33" a="1"/>
  <c r="HS3" i="33" s="1"/>
  <c r="IR3" i="33" s="1"/>
  <c r="HR3" i="33" a="1"/>
  <c r="HR3" i="33" s="1"/>
  <c r="IQ3" i="33" s="1"/>
  <c r="HQ3" i="33" a="1"/>
  <c r="HQ3" i="33" s="1"/>
  <c r="IP3" i="33" s="1"/>
  <c r="HP3" i="33" a="1"/>
  <c r="HP3" i="33" s="1"/>
  <c r="IO3" i="33" s="1"/>
  <c r="HL3" i="33"/>
  <c r="HJ3" i="33"/>
  <c r="HH3" i="33"/>
  <c r="HB3" i="33"/>
  <c r="HA3" i="33"/>
  <c r="GZ3" i="33"/>
  <c r="GY3" i="33"/>
  <c r="GX3" i="33"/>
  <c r="GW3" i="33"/>
  <c r="GV3" i="33"/>
  <c r="GU3" i="33"/>
  <c r="GT3" i="33"/>
  <c r="HC3" i="33" s="1"/>
  <c r="GP3" i="33"/>
  <c r="GN3" i="33"/>
  <c r="GM3" i="33"/>
  <c r="GL3" i="33"/>
  <c r="GI3" i="33"/>
  <c r="GH3" i="33"/>
  <c r="GG3" i="33"/>
  <c r="GF3" i="33"/>
  <c r="GE3" i="33"/>
  <c r="GB3" i="33"/>
  <c r="GA3" i="33"/>
  <c r="FZ3" i="33"/>
  <c r="FY3" i="33"/>
  <c r="FW3" i="33"/>
  <c r="FV3" i="33"/>
  <c r="FU3" i="33"/>
  <c r="FT3" i="33"/>
  <c r="FS3" i="33"/>
  <c r="FR3" i="33"/>
  <c r="FQ3" i="33"/>
  <c r="FP3" i="33"/>
  <c r="FL3" i="33"/>
  <c r="FK3" i="33"/>
  <c r="FJ3" i="33"/>
  <c r="FM3" i="33" s="1"/>
  <c r="FI3" i="33"/>
  <c r="FH3" i="33"/>
  <c r="FG3" i="33"/>
  <c r="FF3" i="33"/>
  <c r="FE3" i="33"/>
  <c r="FO3" i="33" s="1"/>
  <c r="FD3" i="33"/>
  <c r="FB3" i="33"/>
  <c r="FA3" i="33"/>
  <c r="EZ3" i="33"/>
  <c r="EY3" i="33"/>
  <c r="EX3" i="33"/>
  <c r="EW3" i="33"/>
  <c r="EV3" i="33"/>
  <c r="EU3" i="33"/>
  <c r="ET3" i="33"/>
  <c r="ES3" i="33"/>
  <c r="ER3" i="33"/>
  <c r="EQ3" i="33"/>
  <c r="EP3" i="33"/>
  <c r="EO3" i="33"/>
  <c r="EN3" i="33"/>
  <c r="EM3" i="33"/>
  <c r="EL3" i="33"/>
  <c r="EK3" i="33"/>
  <c r="EJ3" i="33"/>
  <c r="EI3" i="33"/>
  <c r="EH3" i="33"/>
  <c r="EG3" i="33"/>
  <c r="EF3" i="33"/>
  <c r="EE3" i="33"/>
  <c r="ED3" i="33"/>
  <c r="EC3" i="33"/>
  <c r="EB3" i="33"/>
  <c r="EA3" i="33"/>
  <c r="DU3" i="33"/>
  <c r="DT3" i="33"/>
  <c r="DS3" i="33"/>
  <c r="DR3" i="33"/>
  <c r="DQ3" i="33"/>
  <c r="DP3" i="33"/>
  <c r="DO3" i="33"/>
  <c r="DN3" i="33"/>
  <c r="DK3" i="33"/>
  <c r="DJ3" i="33"/>
  <c r="DI3" i="33"/>
  <c r="DH3" i="33"/>
  <c r="DG3" i="33"/>
  <c r="DF3" i="33"/>
  <c r="DE3" i="33"/>
  <c r="DD3" i="33"/>
  <c r="DB3" i="33"/>
  <c r="DA3" i="33"/>
  <c r="CV3" i="33"/>
  <c r="CU3" i="33"/>
  <c r="CT3" i="33"/>
  <c r="CS3" i="33"/>
  <c r="CR3" i="33"/>
  <c r="CQ3" i="33"/>
  <c r="CP3" i="33"/>
  <c r="GJ3" i="33" s="1"/>
  <c r="GK3" i="33" s="1"/>
  <c r="CO3" i="33"/>
  <c r="DZ3" i="33" s="1"/>
  <c r="CN3" i="33"/>
  <c r="DY3" i="33" s="1"/>
  <c r="CM3" i="33"/>
  <c r="DX3" i="33" s="1"/>
  <c r="CL3" i="33"/>
  <c r="DW3" i="33" s="1"/>
  <c r="CG3" i="33" a="1"/>
  <c r="CG3" i="33" s="1"/>
  <c r="AW3" i="33"/>
  <c r="AV3" i="33"/>
  <c r="J3" i="33"/>
  <c r="HI3" i="33" s="1"/>
  <c r="G3" i="33"/>
  <c r="IL5" i="32"/>
  <c r="HX5" i="32" a="1"/>
  <c r="HX5" i="32" s="1"/>
  <c r="IW5" i="32" s="1"/>
  <c r="HW5" i="32" a="1"/>
  <c r="HW5" i="32" s="1"/>
  <c r="IV5" i="32" s="1"/>
  <c r="HV5" i="32" a="1"/>
  <c r="HV5" i="32" s="1"/>
  <c r="IU5" i="32" s="1"/>
  <c r="HU5" i="32" a="1"/>
  <c r="HU5" i="32" s="1"/>
  <c r="IT5" i="32" s="1"/>
  <c r="HT5" i="32" a="1"/>
  <c r="HT5" i="32" s="1"/>
  <c r="IS5" i="32" s="1"/>
  <c r="HS5" i="32"/>
  <c r="IR5" i="32" s="1"/>
  <c r="HS5" i="32" a="1"/>
  <c r="HR5" i="32" a="1"/>
  <c r="HR5" i="32" s="1"/>
  <c r="IQ5" i="32" s="1"/>
  <c r="HQ5" i="32" a="1"/>
  <c r="HQ5" i="32" s="1"/>
  <c r="IP5" i="32" s="1"/>
  <c r="HP5" i="32" a="1"/>
  <c r="HP5" i="32" s="1"/>
  <c r="IO5" i="32" s="1"/>
  <c r="HL5" i="32"/>
  <c r="HJ5" i="32"/>
  <c r="HI5" i="32"/>
  <c r="HH5" i="32"/>
  <c r="HB5" i="32"/>
  <c r="HA5" i="32"/>
  <c r="GZ5" i="32"/>
  <c r="GY5" i="32"/>
  <c r="GX5" i="32"/>
  <c r="GW5" i="32"/>
  <c r="GV5" i="32"/>
  <c r="GU5" i="32"/>
  <c r="GT5" i="32"/>
  <c r="HC5" i="32" s="1"/>
  <c r="GP5" i="32"/>
  <c r="GI5" i="32"/>
  <c r="GH5" i="32"/>
  <c r="GG5" i="32"/>
  <c r="GF5" i="32"/>
  <c r="GE5" i="32"/>
  <c r="GD5" i="32"/>
  <c r="GC5" i="32"/>
  <c r="GB5" i="32"/>
  <c r="GA5" i="32"/>
  <c r="FZ5" i="32"/>
  <c r="FY5" i="32"/>
  <c r="FX5" i="32"/>
  <c r="FW5" i="32"/>
  <c r="FV5" i="32"/>
  <c r="FU5" i="32"/>
  <c r="FT5" i="32"/>
  <c r="FS5" i="32"/>
  <c r="FR5" i="32"/>
  <c r="FQ5" i="32"/>
  <c r="FO5" i="32"/>
  <c r="FN5" i="32"/>
  <c r="FJ5" i="32"/>
  <c r="FM5" i="32" s="1"/>
  <c r="FI5" i="32"/>
  <c r="FL5" i="32" s="1"/>
  <c r="FH5" i="32"/>
  <c r="FK5" i="32" s="1"/>
  <c r="FG5" i="32"/>
  <c r="FF5" i="32"/>
  <c r="FP5" i="32" s="1"/>
  <c r="FE5" i="32"/>
  <c r="FD5" i="32"/>
  <c r="FC5" i="32"/>
  <c r="FB5" i="32"/>
  <c r="FA5" i="32"/>
  <c r="EZ5" i="32"/>
  <c r="EY5" i="32"/>
  <c r="EX5" i="32"/>
  <c r="EW5" i="32"/>
  <c r="EV5" i="32"/>
  <c r="EU5" i="32"/>
  <c r="ET5" i="32"/>
  <c r="ES5" i="32"/>
  <c r="ER5" i="32"/>
  <c r="EQ5" i="32"/>
  <c r="EP5" i="32"/>
  <c r="EO5" i="32"/>
  <c r="EN5" i="32"/>
  <c r="EM5" i="32"/>
  <c r="EL5" i="32"/>
  <c r="EK5" i="32"/>
  <c r="EJ5" i="32"/>
  <c r="EI5" i="32"/>
  <c r="EH5" i="32"/>
  <c r="EG5" i="32"/>
  <c r="EF5" i="32"/>
  <c r="EE5" i="32"/>
  <c r="ED5" i="32"/>
  <c r="EC5" i="32"/>
  <c r="EB5" i="32"/>
  <c r="EA5" i="32"/>
  <c r="DY5" i="32"/>
  <c r="DX5" i="32"/>
  <c r="DV5" i="32"/>
  <c r="DU5" i="32"/>
  <c r="DT5" i="32"/>
  <c r="DS5" i="32"/>
  <c r="DR5" i="32"/>
  <c r="DQ5" i="32"/>
  <c r="DP5" i="32"/>
  <c r="DO5" i="32"/>
  <c r="DN5" i="32"/>
  <c r="DK5" i="32"/>
  <c r="DJ5" i="32"/>
  <c r="DI5" i="32"/>
  <c r="DH5" i="32"/>
  <c r="DG5" i="32"/>
  <c r="DF5" i="32"/>
  <c r="DE5" i="32"/>
  <c r="DD5" i="32"/>
  <c r="DC5" i="32"/>
  <c r="DB5" i="32"/>
  <c r="DA5" i="32"/>
  <c r="CV5" i="32"/>
  <c r="CU5" i="32"/>
  <c r="CT5" i="32"/>
  <c r="CS5" i="32"/>
  <c r="GN5" i="32" s="1"/>
  <c r="CR5" i="32"/>
  <c r="GM5" i="32" s="1"/>
  <c r="CQ5" i="32"/>
  <c r="GL5" i="32" s="1"/>
  <c r="CP5" i="32"/>
  <c r="GJ5" i="32" s="1"/>
  <c r="GK5" i="32" s="1"/>
  <c r="CO5" i="32"/>
  <c r="DZ5" i="32" s="1"/>
  <c r="CN5" i="32"/>
  <c r="CM5" i="32"/>
  <c r="CL5" i="32"/>
  <c r="DW5" i="32" s="1"/>
  <c r="CG5" i="32" a="1"/>
  <c r="CG5" i="32" s="1"/>
  <c r="AW5" i="32"/>
  <c r="AV5" i="32"/>
  <c r="J5" i="32"/>
  <c r="G5" i="32"/>
  <c r="IQ4" i="32"/>
  <c r="IL4" i="32"/>
  <c r="HX4" i="32"/>
  <c r="IW4" i="32" s="1"/>
  <c r="HX4" i="32" a="1"/>
  <c r="HW4" i="32" a="1"/>
  <c r="HW4" i="32" s="1"/>
  <c r="IV4" i="32" s="1"/>
  <c r="HV4" i="32" a="1"/>
  <c r="HV4" i="32" s="1"/>
  <c r="IU4" i="32" s="1"/>
  <c r="HU4" i="32" a="1"/>
  <c r="HU4" i="32" s="1"/>
  <c r="IT4" i="32" s="1"/>
  <c r="HT4" i="32" a="1"/>
  <c r="HT4" i="32" s="1"/>
  <c r="IS4" i="32" s="1"/>
  <c r="HS4" i="32" a="1"/>
  <c r="HS4" i="32" s="1"/>
  <c r="IR4" i="32" s="1"/>
  <c r="HR4" i="32"/>
  <c r="HR4" i="32" a="1"/>
  <c r="HQ4" i="32" a="1"/>
  <c r="HQ4" i="32" s="1"/>
  <c r="IP4" i="32" s="1"/>
  <c r="HP4" i="32" a="1"/>
  <c r="HP4" i="32" s="1"/>
  <c r="IO4" i="32" s="1"/>
  <c r="HL4" i="32"/>
  <c r="HJ4" i="32"/>
  <c r="HH4" i="32"/>
  <c r="HB4" i="32"/>
  <c r="HA4" i="32"/>
  <c r="GZ4" i="32"/>
  <c r="GY4" i="32"/>
  <c r="GX4" i="32"/>
  <c r="GW4" i="32"/>
  <c r="GV4" i="32"/>
  <c r="HC4" i="32" s="1"/>
  <c r="GU4" i="32"/>
  <c r="GT4" i="32"/>
  <c r="GP4" i="32"/>
  <c r="GI4" i="32"/>
  <c r="GH4" i="32"/>
  <c r="GG4" i="32"/>
  <c r="GF4" i="32"/>
  <c r="GE4" i="32"/>
  <c r="GD4" i="32"/>
  <c r="GC4" i="32"/>
  <c r="GB4" i="32"/>
  <c r="GA4" i="32"/>
  <c r="FZ4" i="32"/>
  <c r="FY4" i="32"/>
  <c r="FX4" i="32"/>
  <c r="FW4" i="32"/>
  <c r="FV4" i="32"/>
  <c r="FU4" i="32"/>
  <c r="FT4" i="32"/>
  <c r="FS4" i="32"/>
  <c r="FR4" i="32"/>
  <c r="FQ4" i="32"/>
  <c r="FP4" i="32"/>
  <c r="FO4" i="32"/>
  <c r="FN4" i="32"/>
  <c r="FK4" i="32"/>
  <c r="FJ4" i="32"/>
  <c r="FM4" i="32" s="1"/>
  <c r="FI4" i="32"/>
  <c r="FL4" i="32" s="1"/>
  <c r="FH4" i="32"/>
  <c r="FG4" i="32"/>
  <c r="FF4" i="32"/>
  <c r="FE4" i="32"/>
  <c r="FD4" i="32"/>
  <c r="FC4" i="32"/>
  <c r="FB4" i="32"/>
  <c r="FA4" i="32"/>
  <c r="EZ4" i="32"/>
  <c r="EY4" i="32"/>
  <c r="EX4" i="32"/>
  <c r="EW4" i="32"/>
  <c r="EV4" i="32"/>
  <c r="EU4" i="32"/>
  <c r="ET4" i="32"/>
  <c r="ES4" i="32"/>
  <c r="ER4" i="32"/>
  <c r="EQ4" i="32"/>
  <c r="EP4" i="32"/>
  <c r="EO4" i="32"/>
  <c r="EN4" i="32"/>
  <c r="EM4" i="32"/>
  <c r="EL4" i="32"/>
  <c r="EK4" i="32"/>
  <c r="EJ4" i="32"/>
  <c r="EI4" i="32"/>
  <c r="EH4" i="32"/>
  <c r="EG4" i="32"/>
  <c r="EF4" i="32"/>
  <c r="EE4" i="32"/>
  <c r="ED4" i="32"/>
  <c r="EC4" i="32"/>
  <c r="EB4" i="32"/>
  <c r="EA4" i="32"/>
  <c r="DZ4" i="32"/>
  <c r="DY4" i="32"/>
  <c r="DW4" i="32"/>
  <c r="DV4" i="32"/>
  <c r="DU4" i="32"/>
  <c r="DT4" i="32"/>
  <c r="DS4" i="32"/>
  <c r="DR4" i="32"/>
  <c r="DQ4" i="32"/>
  <c r="DP4" i="32"/>
  <c r="DO4" i="32"/>
  <c r="DN4" i="32"/>
  <c r="DK4" i="32"/>
  <c r="DJ4" i="32"/>
  <c r="DI4" i="32"/>
  <c r="DH4" i="32"/>
  <c r="DG4" i="32"/>
  <c r="DF4" i="32"/>
  <c r="DE4" i="32"/>
  <c r="DD4" i="32"/>
  <c r="DC4" i="32"/>
  <c r="DB4" i="32"/>
  <c r="DA4" i="32"/>
  <c r="CV4" i="32"/>
  <c r="CU4" i="32"/>
  <c r="CT4" i="32"/>
  <c r="CS4" i="32"/>
  <c r="GN4" i="32" s="1"/>
  <c r="CR4" i="32"/>
  <c r="GM4" i="32" s="1"/>
  <c r="CQ4" i="32"/>
  <c r="GL4" i="32" s="1"/>
  <c r="CP4" i="32"/>
  <c r="GJ4" i="32" s="1"/>
  <c r="GK4" i="32" s="1"/>
  <c r="CO4" i="32"/>
  <c r="CN4" i="32"/>
  <c r="CM4" i="32"/>
  <c r="DX4" i="32" s="1"/>
  <c r="CL4" i="32"/>
  <c r="CG4" i="32" a="1"/>
  <c r="CG4" i="32" s="1"/>
  <c r="AW4" i="32"/>
  <c r="AV4" i="32"/>
  <c r="J4" i="32"/>
  <c r="HI4" i="32" s="1"/>
  <c r="G4" i="32"/>
  <c r="IL3" i="32"/>
  <c r="HX3" i="32" a="1"/>
  <c r="HX3" i="32" s="1"/>
  <c r="IW3" i="32" s="1"/>
  <c r="HW3" i="32" a="1"/>
  <c r="HW3" i="32" s="1"/>
  <c r="IV3" i="32" s="1"/>
  <c r="HV3" i="32" a="1"/>
  <c r="HV3" i="32" s="1"/>
  <c r="IU3" i="32" s="1"/>
  <c r="HU3" i="32" a="1"/>
  <c r="HU3" i="32" s="1"/>
  <c r="IT3" i="32" s="1"/>
  <c r="HT3" i="32"/>
  <c r="IS3" i="32" s="1"/>
  <c r="HT3" i="32" a="1"/>
  <c r="HS3" i="32" a="1"/>
  <c r="HS3" i="32" s="1"/>
  <c r="IR3" i="32" s="1"/>
  <c r="HR3" i="32" a="1"/>
  <c r="HR3" i="32" s="1"/>
  <c r="IQ3" i="32" s="1"/>
  <c r="HQ3" i="32" a="1"/>
  <c r="HQ3" i="32" s="1"/>
  <c r="IP3" i="32" s="1"/>
  <c r="HP3" i="32" a="1"/>
  <c r="HP3" i="32" s="1"/>
  <c r="IO3" i="32" s="1"/>
  <c r="HL3" i="32"/>
  <c r="HJ3" i="32"/>
  <c r="HH3" i="32"/>
  <c r="HB3" i="32"/>
  <c r="HA3" i="32"/>
  <c r="GZ3" i="32"/>
  <c r="GY3" i="32"/>
  <c r="GX3" i="32"/>
  <c r="GW3" i="32"/>
  <c r="HC3" i="32" s="1"/>
  <c r="GV3" i="32"/>
  <c r="GU3" i="32"/>
  <c r="GT3" i="32"/>
  <c r="GP3" i="32"/>
  <c r="GJ3" i="32"/>
  <c r="GK3" i="32" s="1"/>
  <c r="GI3" i="32"/>
  <c r="GH3" i="32"/>
  <c r="GG3" i="32"/>
  <c r="GF3" i="32"/>
  <c r="GE3" i="32"/>
  <c r="GD3" i="32"/>
  <c r="GC3" i="32"/>
  <c r="GB3" i="32"/>
  <c r="GA3" i="32"/>
  <c r="FZ3" i="32"/>
  <c r="FY3" i="32"/>
  <c r="FX3" i="32"/>
  <c r="FW3" i="32"/>
  <c r="FV3" i="32"/>
  <c r="FU3" i="32"/>
  <c r="FT3" i="32"/>
  <c r="FS3" i="32"/>
  <c r="FR3" i="32"/>
  <c r="FQ3" i="32"/>
  <c r="FP3" i="32"/>
  <c r="FO3" i="32"/>
  <c r="FN3" i="32"/>
  <c r="FL3" i="32"/>
  <c r="FK3" i="32"/>
  <c r="FJ3" i="32"/>
  <c r="FM3" i="32" s="1"/>
  <c r="FI3" i="32"/>
  <c r="FH3" i="32"/>
  <c r="FG3" i="32"/>
  <c r="FF3" i="32"/>
  <c r="FE3" i="32"/>
  <c r="FD3" i="32"/>
  <c r="FC3" i="32"/>
  <c r="FB3" i="32"/>
  <c r="FA3" i="32"/>
  <c r="EZ3" i="32"/>
  <c r="EY3" i="32"/>
  <c r="EX3" i="32"/>
  <c r="EW3" i="32"/>
  <c r="EV3" i="32"/>
  <c r="EU3" i="32"/>
  <c r="ET3" i="32"/>
  <c r="ES3" i="32"/>
  <c r="ER3" i="32"/>
  <c r="EQ3" i="32"/>
  <c r="EP3" i="32"/>
  <c r="EO3" i="32"/>
  <c r="EN3" i="32"/>
  <c r="EM3" i="32"/>
  <c r="EL3" i="32"/>
  <c r="EK3" i="32"/>
  <c r="EJ3" i="32"/>
  <c r="EI3" i="32"/>
  <c r="EH3" i="32"/>
  <c r="EG3" i="32"/>
  <c r="EF3" i="32"/>
  <c r="EE3" i="32"/>
  <c r="ED3" i="32"/>
  <c r="EC3" i="32"/>
  <c r="EB3" i="32"/>
  <c r="EA3" i="32"/>
  <c r="DZ3" i="32"/>
  <c r="DX3" i="32"/>
  <c r="DV3" i="32"/>
  <c r="DU3" i="32"/>
  <c r="DT3" i="32"/>
  <c r="DS3" i="32"/>
  <c r="DR3" i="32"/>
  <c r="DQ3" i="32"/>
  <c r="DP3" i="32"/>
  <c r="DO3" i="32"/>
  <c r="DN3" i="32"/>
  <c r="DK3" i="32"/>
  <c r="DJ3" i="32"/>
  <c r="DI3" i="32"/>
  <c r="DH3" i="32"/>
  <c r="DG3" i="32"/>
  <c r="DF3" i="32"/>
  <c r="DE3" i="32"/>
  <c r="DD3" i="32"/>
  <c r="DC3" i="32"/>
  <c r="DB3" i="32"/>
  <c r="DA3" i="32"/>
  <c r="CV3" i="32"/>
  <c r="CU3" i="32"/>
  <c r="CT3" i="32"/>
  <c r="CS3" i="32"/>
  <c r="GN3" i="32" s="1"/>
  <c r="CR3" i="32"/>
  <c r="GM3" i="32" s="1"/>
  <c r="CQ3" i="32"/>
  <c r="GL3" i="32" s="1"/>
  <c r="CP3" i="32"/>
  <c r="CO3" i="32"/>
  <c r="CN3" i="32"/>
  <c r="DY3" i="32" s="1"/>
  <c r="CM3" i="32"/>
  <c r="CL3" i="32"/>
  <c r="DW3" i="32" s="1"/>
  <c r="CG3" i="32" a="1"/>
  <c r="CG3" i="32" s="1"/>
  <c r="AW3" i="32"/>
  <c r="AV3" i="32"/>
  <c r="J3" i="32"/>
  <c r="HI3" i="32" s="1"/>
  <c r="G3" i="32"/>
  <c r="IL2" i="32"/>
  <c r="HX2" i="32" a="1"/>
  <c r="HX2" i="32" s="1"/>
  <c r="IW2" i="32" s="1"/>
  <c r="HW2" i="32" a="1"/>
  <c r="HW2" i="32" s="1"/>
  <c r="IV2" i="32" s="1"/>
  <c r="HV2" i="32" a="1"/>
  <c r="HV2" i="32" s="1"/>
  <c r="IU2" i="32" s="1"/>
  <c r="HU2" i="32" a="1"/>
  <c r="HU2" i="32" s="1"/>
  <c r="IT2" i="32" s="1"/>
  <c r="HT2" i="32" a="1"/>
  <c r="HT2" i="32" s="1"/>
  <c r="IS2" i="32" s="1"/>
  <c r="HS2" i="32"/>
  <c r="IR2" i="32" s="1"/>
  <c r="HS2" i="32" a="1"/>
  <c r="HR2" i="32" a="1"/>
  <c r="HR2" i="32" s="1"/>
  <c r="IQ2" i="32" s="1"/>
  <c r="HQ2" i="32" a="1"/>
  <c r="HQ2" i="32" s="1"/>
  <c r="IP2" i="32" s="1"/>
  <c r="HP2" i="32" a="1"/>
  <c r="HP2" i="32" s="1"/>
  <c r="IO2" i="32" s="1"/>
  <c r="HL2" i="32"/>
  <c r="HJ2" i="32"/>
  <c r="HI2" i="32"/>
  <c r="HH2" i="32"/>
  <c r="HB2" i="32"/>
  <c r="HA2" i="32"/>
  <c r="GZ2" i="32"/>
  <c r="GY2" i="32"/>
  <c r="GX2" i="32"/>
  <c r="GW2" i="32"/>
  <c r="GV2" i="32"/>
  <c r="GU2" i="32"/>
  <c r="HC2" i="32" s="1"/>
  <c r="GT2" i="32"/>
  <c r="GP2" i="32"/>
  <c r="GI2" i="32"/>
  <c r="GH2" i="32"/>
  <c r="GG2" i="32"/>
  <c r="GF2" i="32"/>
  <c r="GE2" i="32"/>
  <c r="GD2" i="32"/>
  <c r="GC2" i="32"/>
  <c r="GB2" i="32"/>
  <c r="GA2" i="32"/>
  <c r="FZ2" i="32"/>
  <c r="FY2" i="32"/>
  <c r="FX2" i="32"/>
  <c r="FW2" i="32"/>
  <c r="FV2" i="32"/>
  <c r="FU2" i="32"/>
  <c r="FT2" i="32"/>
  <c r="FS2" i="32"/>
  <c r="FR2" i="32"/>
  <c r="FQ2" i="32"/>
  <c r="FP2" i="32"/>
  <c r="FO2" i="32"/>
  <c r="FN2" i="32"/>
  <c r="FJ2" i="32"/>
  <c r="FM2" i="32" s="1"/>
  <c r="FI2" i="32"/>
  <c r="FL2" i="32" s="1"/>
  <c r="FH2" i="32"/>
  <c r="FK2" i="32" s="1"/>
  <c r="FG2" i="32"/>
  <c r="FF2" i="32"/>
  <c r="FE2" i="32"/>
  <c r="FD2" i="32"/>
  <c r="FC2" i="32"/>
  <c r="FB2" i="32"/>
  <c r="FA2" i="32"/>
  <c r="EZ2" i="32"/>
  <c r="EY2" i="32"/>
  <c r="EX2" i="32"/>
  <c r="EW2" i="32"/>
  <c r="EV2" i="32"/>
  <c r="EU2" i="32"/>
  <c r="ET2" i="32"/>
  <c r="ES2" i="32"/>
  <c r="ER2" i="32"/>
  <c r="EQ2" i="32"/>
  <c r="EP2" i="32"/>
  <c r="EO2" i="32"/>
  <c r="EN2" i="32"/>
  <c r="EM2" i="32"/>
  <c r="EL2" i="32"/>
  <c r="EK2" i="32"/>
  <c r="EJ2" i="32"/>
  <c r="EI2" i="32"/>
  <c r="EH2" i="32"/>
  <c r="EG2" i="32"/>
  <c r="EF2" i="32"/>
  <c r="EE2" i="32"/>
  <c r="ED2" i="32"/>
  <c r="EC2" i="32"/>
  <c r="EB2" i="32"/>
  <c r="EA2" i="32"/>
  <c r="DY2" i="32"/>
  <c r="DX2" i="32"/>
  <c r="DV2" i="32"/>
  <c r="DU2" i="32"/>
  <c r="DT2" i="32"/>
  <c r="DS2" i="32"/>
  <c r="DR2" i="32"/>
  <c r="DQ2" i="32"/>
  <c r="DP2" i="32"/>
  <c r="DO2" i="32"/>
  <c r="DN2" i="32"/>
  <c r="DK2" i="32"/>
  <c r="DJ2" i="32"/>
  <c r="DI2" i="32"/>
  <c r="DH2" i="32"/>
  <c r="DG2" i="32"/>
  <c r="DF2" i="32"/>
  <c r="DE2" i="32"/>
  <c r="DD2" i="32"/>
  <c r="DC2" i="32"/>
  <c r="DB2" i="32"/>
  <c r="DA2" i="32"/>
  <c r="CV2" i="32"/>
  <c r="CU2" i="32"/>
  <c r="CT2" i="32"/>
  <c r="CS2" i="32"/>
  <c r="GN2" i="32" s="1"/>
  <c r="CR2" i="32"/>
  <c r="GM2" i="32" s="1"/>
  <c r="CQ2" i="32"/>
  <c r="GL2" i="32" s="1"/>
  <c r="CP2" i="32"/>
  <c r="GJ2" i="32" s="1"/>
  <c r="GK2" i="32" s="1"/>
  <c r="CO2" i="32"/>
  <c r="DZ2" i="32" s="1"/>
  <c r="CN2" i="32"/>
  <c r="CM2" i="32"/>
  <c r="CL2" i="32"/>
  <c r="DW2" i="32" s="1"/>
  <c r="CG2" i="32" a="1"/>
  <c r="CG2" i="32" s="1"/>
  <c r="AW2" i="32"/>
  <c r="AV2" i="32"/>
  <c r="AX2" i="32" s="1"/>
  <c r="J2" i="32"/>
  <c r="G2" i="32"/>
  <c r="IL2" i="31"/>
  <c r="HX2" i="31" a="1"/>
  <c r="HX2" i="31" s="1"/>
  <c r="IW2" i="31" s="1"/>
  <c r="HW2" i="31" a="1"/>
  <c r="HW2" i="31" s="1"/>
  <c r="IV2" i="31" s="1"/>
  <c r="HV2" i="31" a="1"/>
  <c r="HV2" i="31" s="1"/>
  <c r="IU2" i="31" s="1"/>
  <c r="HU2" i="31" a="1"/>
  <c r="HU2" i="31" s="1"/>
  <c r="IT2" i="31" s="1"/>
  <c r="HT2" i="31" a="1"/>
  <c r="HT2" i="31" s="1"/>
  <c r="IS2" i="31" s="1"/>
  <c r="HS2" i="31"/>
  <c r="IR2" i="31" s="1"/>
  <c r="HS2" i="31" a="1"/>
  <c r="HR2" i="31" a="1"/>
  <c r="HR2" i="31" s="1"/>
  <c r="IQ2" i="31" s="1"/>
  <c r="HQ2" i="31" a="1"/>
  <c r="HQ2" i="31" s="1"/>
  <c r="IP2" i="31" s="1"/>
  <c r="HP2" i="31" a="1"/>
  <c r="HP2" i="31" s="1"/>
  <c r="IO2" i="31" s="1"/>
  <c r="HL2" i="31"/>
  <c r="HJ2" i="31"/>
  <c r="HI2" i="31"/>
  <c r="HH2" i="31"/>
  <c r="HB2" i="31"/>
  <c r="HA2" i="31"/>
  <c r="GZ2" i="31"/>
  <c r="GY2" i="31"/>
  <c r="GX2" i="31"/>
  <c r="GW2" i="31"/>
  <c r="GV2" i="31"/>
  <c r="GU2" i="31"/>
  <c r="HC2" i="31" s="1"/>
  <c r="GT2" i="31"/>
  <c r="GP2" i="31"/>
  <c r="GI2" i="31"/>
  <c r="GH2" i="31"/>
  <c r="GG2" i="31"/>
  <c r="GF2" i="31"/>
  <c r="GE2" i="31"/>
  <c r="GD2" i="31"/>
  <c r="GC2" i="31"/>
  <c r="GB2" i="31"/>
  <c r="GA2" i="31"/>
  <c r="FZ2" i="31"/>
  <c r="FY2" i="31"/>
  <c r="FX2" i="31"/>
  <c r="FW2" i="31"/>
  <c r="FV2" i="31"/>
  <c r="FU2" i="31"/>
  <c r="FT2" i="31"/>
  <c r="FS2" i="31"/>
  <c r="FR2" i="31"/>
  <c r="FQ2" i="31"/>
  <c r="FP2" i="31"/>
  <c r="FO2" i="31"/>
  <c r="FN2" i="31"/>
  <c r="FJ2" i="31"/>
  <c r="FM2" i="31" s="1"/>
  <c r="FI2" i="31"/>
  <c r="FL2" i="31" s="1"/>
  <c r="FH2" i="31"/>
  <c r="FK2" i="31" s="1"/>
  <c r="FG2" i="31"/>
  <c r="FF2" i="31"/>
  <c r="FE2" i="31"/>
  <c r="FD2" i="31"/>
  <c r="FC2" i="31"/>
  <c r="FB2" i="31"/>
  <c r="FA2" i="31"/>
  <c r="EZ2" i="31"/>
  <c r="EY2" i="31"/>
  <c r="EX2" i="31"/>
  <c r="EW2" i="31"/>
  <c r="EV2" i="31"/>
  <c r="EU2" i="31"/>
  <c r="ET2" i="31"/>
  <c r="ES2" i="31"/>
  <c r="ER2" i="31"/>
  <c r="EQ2" i="31"/>
  <c r="EP2" i="31"/>
  <c r="EO2" i="31"/>
  <c r="EN2" i="31"/>
  <c r="EM2" i="31"/>
  <c r="EL2" i="31"/>
  <c r="EK2" i="31"/>
  <c r="EJ2" i="31"/>
  <c r="EI2" i="31"/>
  <c r="EH2" i="31"/>
  <c r="EG2" i="31"/>
  <c r="EF2" i="31"/>
  <c r="EE2" i="31"/>
  <c r="ED2" i="31"/>
  <c r="EC2" i="31"/>
  <c r="EB2" i="31"/>
  <c r="EA2" i="31"/>
  <c r="DY2" i="31"/>
  <c r="DX2" i="31"/>
  <c r="DV2" i="31"/>
  <c r="DU2" i="31"/>
  <c r="DT2" i="31"/>
  <c r="DS2" i="31"/>
  <c r="DR2" i="31"/>
  <c r="DQ2" i="31"/>
  <c r="DP2" i="31"/>
  <c r="DO2" i="31"/>
  <c r="DN2" i="31"/>
  <c r="DK2" i="31"/>
  <c r="DJ2" i="31"/>
  <c r="DI2" i="31"/>
  <c r="DH2" i="31"/>
  <c r="DG2" i="31"/>
  <c r="DF2" i="31"/>
  <c r="DE2" i="31"/>
  <c r="DD2" i="31"/>
  <c r="DC2" i="31"/>
  <c r="DB2" i="31"/>
  <c r="DA2" i="31"/>
  <c r="CV2" i="31"/>
  <c r="CU2" i="31"/>
  <c r="CT2" i="31"/>
  <c r="CS2" i="31"/>
  <c r="GN2" i="31" s="1"/>
  <c r="CR2" i="31"/>
  <c r="GM2" i="31" s="1"/>
  <c r="CQ2" i="31"/>
  <c r="GL2" i="31" s="1"/>
  <c r="CP2" i="31"/>
  <c r="GJ2" i="31" s="1"/>
  <c r="GK2" i="31" s="1"/>
  <c r="CO2" i="31"/>
  <c r="DZ2" i="31" s="1"/>
  <c r="CN2" i="31"/>
  <c r="CM2" i="31"/>
  <c r="CL2" i="31"/>
  <c r="DW2" i="31" s="1"/>
  <c r="CG2" i="31" a="1"/>
  <c r="CG2" i="31" s="1"/>
  <c r="AW2" i="31"/>
  <c r="AV2" i="31"/>
  <c r="AX2" i="31" s="1"/>
  <c r="J2" i="31"/>
  <c r="G2" i="31"/>
  <c r="IQ3" i="31"/>
  <c r="IN3" i="31"/>
  <c r="IX3" i="31" s="1"/>
  <c r="IM3" i="31"/>
  <c r="HX3" i="31"/>
  <c r="IW3" i="31" s="1"/>
  <c r="HX3" i="31" a="1"/>
  <c r="HW3" i="31" a="1"/>
  <c r="HW3" i="31" s="1"/>
  <c r="IV3" i="31" s="1"/>
  <c r="HV3" i="31" a="1"/>
  <c r="HV3" i="31" s="1"/>
  <c r="IU3" i="31" s="1"/>
  <c r="HU3" i="31" a="1"/>
  <c r="HU3" i="31" s="1"/>
  <c r="IT3" i="31" s="1"/>
  <c r="HT3" i="31" a="1"/>
  <c r="HT3" i="31" s="1"/>
  <c r="IS3" i="31" s="1"/>
  <c r="HS3" i="31" a="1"/>
  <c r="HS3" i="31" s="1"/>
  <c r="IR3" i="31" s="1"/>
  <c r="HR3" i="31"/>
  <c r="HR3" i="31" a="1"/>
  <c r="HQ3" i="31" a="1"/>
  <c r="HQ3" i="31" s="1"/>
  <c r="IP3" i="31" s="1"/>
  <c r="HP3" i="31" a="1"/>
  <c r="HP3" i="31" s="1"/>
  <c r="IO3" i="31" s="1"/>
  <c r="HL3" i="31"/>
  <c r="HJ3" i="31"/>
  <c r="HH3" i="31"/>
  <c r="HI3" i="31" s="1"/>
  <c r="HB3" i="31"/>
  <c r="HA3" i="31"/>
  <c r="GZ3" i="31"/>
  <c r="GY3" i="31"/>
  <c r="GX3" i="31"/>
  <c r="GW3" i="31"/>
  <c r="GV3" i="31"/>
  <c r="GU3" i="31"/>
  <c r="GT3" i="31"/>
  <c r="HC3" i="31" s="1"/>
  <c r="GP3" i="31"/>
  <c r="GN3" i="31"/>
  <c r="GM3" i="31"/>
  <c r="GL3" i="31"/>
  <c r="GJ3" i="31"/>
  <c r="GK3" i="31" s="1"/>
  <c r="GI3" i="31"/>
  <c r="GH3" i="31"/>
  <c r="GG3" i="31"/>
  <c r="GF3" i="31"/>
  <c r="GE3" i="31"/>
  <c r="GB3" i="31"/>
  <c r="GA3" i="31"/>
  <c r="FZ3" i="31"/>
  <c r="FY3" i="31"/>
  <c r="FW3" i="31"/>
  <c r="FV3" i="31"/>
  <c r="FU3" i="31"/>
  <c r="FT3" i="31"/>
  <c r="FS3" i="31"/>
  <c r="FR3" i="31"/>
  <c r="FQ3" i="31"/>
  <c r="FP3" i="31"/>
  <c r="FJ3" i="31"/>
  <c r="FM3" i="31" s="1"/>
  <c r="FI3" i="31"/>
  <c r="FL3" i="31" s="1"/>
  <c r="FH3" i="31"/>
  <c r="FK3" i="31" s="1"/>
  <c r="FG3" i="31"/>
  <c r="FF3" i="31"/>
  <c r="FE3" i="31"/>
  <c r="FO3" i="31" s="1"/>
  <c r="FD3" i="31"/>
  <c r="FB3" i="31"/>
  <c r="FA3" i="31"/>
  <c r="EZ3" i="31"/>
  <c r="EY3" i="31"/>
  <c r="EX3" i="31"/>
  <c r="EW3" i="31"/>
  <c r="EV3" i="31"/>
  <c r="EU3" i="31"/>
  <c r="ET3" i="31"/>
  <c r="ES3" i="31"/>
  <c r="ER3" i="31"/>
  <c r="EQ3" i="31"/>
  <c r="EP3" i="31"/>
  <c r="EO3" i="31"/>
  <c r="EN3" i="31"/>
  <c r="EM3" i="31"/>
  <c r="EL3" i="31"/>
  <c r="EK3" i="31"/>
  <c r="EJ3" i="31"/>
  <c r="EI3" i="31"/>
  <c r="EH3" i="31"/>
  <c r="EG3" i="31"/>
  <c r="EF3" i="31"/>
  <c r="EE3" i="31"/>
  <c r="ED3" i="31"/>
  <c r="EC3" i="31"/>
  <c r="EB3" i="31"/>
  <c r="EA3" i="31"/>
  <c r="DU3" i="31"/>
  <c r="DT3" i="31"/>
  <c r="DS3" i="31"/>
  <c r="DR3" i="31"/>
  <c r="DQ3" i="31"/>
  <c r="DP3" i="31"/>
  <c r="DO3" i="31"/>
  <c r="DN3" i="31"/>
  <c r="DM3" i="31" a="1"/>
  <c r="DM3" i="31" s="1"/>
  <c r="DL3" i="31"/>
  <c r="DK3" i="31"/>
  <c r="DJ3" i="31"/>
  <c r="DI3" i="31"/>
  <c r="DH3" i="31"/>
  <c r="DG3" i="31"/>
  <c r="DF3" i="31"/>
  <c r="DE3" i="31"/>
  <c r="DD3" i="31"/>
  <c r="DB3" i="31"/>
  <c r="DA3" i="31"/>
  <c r="CV3" i="31"/>
  <c r="CU3" i="31"/>
  <c r="CT3" i="31"/>
  <c r="CS3" i="31"/>
  <c r="CR3" i="31"/>
  <c r="CQ3" i="31"/>
  <c r="CP3" i="31"/>
  <c r="CO3" i="31"/>
  <c r="DZ3" i="31" s="1"/>
  <c r="CN3" i="31"/>
  <c r="DY3" i="31" s="1"/>
  <c r="CM3" i="31"/>
  <c r="DX3" i="31" s="1"/>
  <c r="CL3" i="31"/>
  <c r="DW3" i="31" s="1"/>
  <c r="CK3" i="31"/>
  <c r="CZ3" i="31" s="1"/>
  <c r="CJ3" i="31"/>
  <c r="CY3" i="31" s="1"/>
  <c r="CI3" i="31"/>
  <c r="CX3" i="31" s="1"/>
  <c r="CH3" i="31"/>
  <c r="CW3" i="31" s="1"/>
  <c r="CG3" i="31"/>
  <c r="CG3" i="31" a="1"/>
  <c r="AW3" i="31"/>
  <c r="AV3" i="31"/>
  <c r="J3" i="31"/>
  <c r="G3" i="31"/>
  <c r="HX3" i="42" a="1"/>
  <c r="HX3" i="42" s="1"/>
  <c r="IW3" i="42" s="1"/>
  <c r="HW3" i="42" a="1"/>
  <c r="HW3" i="42" s="1"/>
  <c r="IV3" i="42" s="1"/>
  <c r="HV3" i="42" a="1"/>
  <c r="HV3" i="42" s="1"/>
  <c r="IU3" i="42" s="1"/>
  <c r="HU3" i="42" a="1"/>
  <c r="HU3" i="42" s="1"/>
  <c r="IT3" i="42" s="1"/>
  <c r="HT3" i="42" a="1"/>
  <c r="HT3" i="42" s="1"/>
  <c r="IS3" i="42" s="1"/>
  <c r="HS3" i="42" a="1"/>
  <c r="HS3" i="42" s="1"/>
  <c r="IR3" i="42" s="1"/>
  <c r="HR3" i="42" a="1"/>
  <c r="HR3" i="42" s="1"/>
  <c r="IQ3" i="42" s="1"/>
  <c r="HQ3" i="42" a="1"/>
  <c r="HQ3" i="42" s="1"/>
  <c r="IP3" i="42" s="1"/>
  <c r="HP3" i="42" a="1"/>
  <c r="HP3" i="42" s="1"/>
  <c r="IO3" i="42" s="1"/>
  <c r="HL3" i="42"/>
  <c r="HJ3" i="42"/>
  <c r="HH3" i="42"/>
  <c r="HI3" i="42" s="1"/>
  <c r="HB3" i="42"/>
  <c r="HA3" i="42"/>
  <c r="GZ3" i="42"/>
  <c r="GY3" i="42"/>
  <c r="GX3" i="42"/>
  <c r="GW3" i="42"/>
  <c r="GV3" i="42"/>
  <c r="GU3" i="42"/>
  <c r="GT3" i="42"/>
  <c r="HC3" i="42" s="1"/>
  <c r="GP3" i="42"/>
  <c r="GN3" i="42"/>
  <c r="GM3" i="42"/>
  <c r="GL3" i="42"/>
  <c r="GJ3" i="42"/>
  <c r="GK3" i="42" s="1"/>
  <c r="GI3" i="42"/>
  <c r="GH3" i="42"/>
  <c r="GG3" i="42"/>
  <c r="GF3" i="42"/>
  <c r="GE3" i="42"/>
  <c r="GB3" i="42"/>
  <c r="GA3" i="42"/>
  <c r="FZ3" i="42"/>
  <c r="FY3" i="42"/>
  <c r="FW3" i="42"/>
  <c r="FV3" i="42"/>
  <c r="FU3" i="42"/>
  <c r="FT3" i="42"/>
  <c r="FS3" i="42"/>
  <c r="FR3" i="42"/>
  <c r="FQ3" i="42"/>
  <c r="FP3" i="42"/>
  <c r="FJ3" i="42"/>
  <c r="FM3" i="42" s="1"/>
  <c r="FI3" i="42"/>
  <c r="FL3" i="42" s="1"/>
  <c r="FH3" i="42"/>
  <c r="FK3" i="42" s="1"/>
  <c r="FG3" i="42"/>
  <c r="FF3" i="42"/>
  <c r="FE3" i="42"/>
  <c r="FO3" i="42" s="1"/>
  <c r="FD3" i="42"/>
  <c r="FB3" i="42"/>
  <c r="FA3" i="42"/>
  <c r="EZ3" i="42"/>
  <c r="EY3" i="42"/>
  <c r="EX3" i="42"/>
  <c r="EW3" i="42"/>
  <c r="EV3" i="42"/>
  <c r="EU3" i="42"/>
  <c r="ET3" i="42"/>
  <c r="ES3" i="42"/>
  <c r="ER3" i="42"/>
  <c r="EQ3" i="42"/>
  <c r="EP3" i="42"/>
  <c r="EO3" i="42"/>
  <c r="EN3" i="42"/>
  <c r="EM3" i="42"/>
  <c r="EL3" i="42"/>
  <c r="EK3" i="42"/>
  <c r="EJ3" i="42"/>
  <c r="EI3" i="42"/>
  <c r="EH3" i="42"/>
  <c r="EG3" i="42"/>
  <c r="EF3" i="42"/>
  <c r="EE3" i="42"/>
  <c r="ED3" i="42"/>
  <c r="EC3" i="42"/>
  <c r="EB3" i="42"/>
  <c r="EA3" i="42"/>
  <c r="DU3" i="42"/>
  <c r="DT3" i="42"/>
  <c r="DS3" i="42"/>
  <c r="DR3" i="42"/>
  <c r="DQ3" i="42"/>
  <c r="DP3" i="42"/>
  <c r="DO3" i="42"/>
  <c r="DN3" i="42"/>
  <c r="DK3" i="42"/>
  <c r="DJ3" i="42"/>
  <c r="DI3" i="42"/>
  <c r="DH3" i="42"/>
  <c r="DG3" i="42"/>
  <c r="DF3" i="42"/>
  <c r="DE3" i="42"/>
  <c r="DD3" i="42"/>
  <c r="DB3" i="42"/>
  <c r="DA3" i="42"/>
  <c r="CV3" i="42"/>
  <c r="CU3" i="42"/>
  <c r="CT3" i="42"/>
  <c r="CS3" i="42"/>
  <c r="CR3" i="42"/>
  <c r="CQ3" i="42"/>
  <c r="CP3" i="42"/>
  <c r="CO3" i="42"/>
  <c r="DZ3" i="42" s="1"/>
  <c r="CN3" i="42"/>
  <c r="DY3" i="42" s="1"/>
  <c r="CM3" i="42"/>
  <c r="DX3" i="42" s="1"/>
  <c r="CL3" i="42"/>
  <c r="DW3" i="42" s="1"/>
  <c r="CG3" i="42" a="1"/>
  <c r="CG3" i="42" s="1"/>
  <c r="AW3" i="42"/>
  <c r="AV3" i="42"/>
  <c r="J3" i="42"/>
  <c r="G3" i="42"/>
  <c r="IL2" i="42"/>
  <c r="HX2" i="42"/>
  <c r="IW2" i="42" s="1"/>
  <c r="HX2" i="42" a="1"/>
  <c r="HW2" i="42" a="1"/>
  <c r="HW2" i="42" s="1"/>
  <c r="IV2" i="42" s="1"/>
  <c r="HV2" i="42" a="1"/>
  <c r="HV2" i="42" s="1"/>
  <c r="IU2" i="42" s="1"/>
  <c r="HU2" i="42" a="1"/>
  <c r="HU2" i="42" s="1"/>
  <c r="IT2" i="42" s="1"/>
  <c r="HT2" i="42" a="1"/>
  <c r="HT2" i="42" s="1"/>
  <c r="IS2" i="42" s="1"/>
  <c r="HS2" i="42"/>
  <c r="IR2" i="42" s="1"/>
  <c r="HS2" i="42" a="1"/>
  <c r="HR2" i="42"/>
  <c r="IQ2" i="42" s="1"/>
  <c r="HR2" i="42" a="1"/>
  <c r="HQ2" i="42" a="1"/>
  <c r="HQ2" i="42" s="1"/>
  <c r="IP2" i="42" s="1"/>
  <c r="HP2" i="42" a="1"/>
  <c r="HP2" i="42" s="1"/>
  <c r="IO2" i="42" s="1"/>
  <c r="HL2" i="42"/>
  <c r="HJ2" i="42"/>
  <c r="HI2" i="42"/>
  <c r="HH2" i="42"/>
  <c r="HB2" i="42"/>
  <c r="HA2" i="42"/>
  <c r="GZ2" i="42"/>
  <c r="GY2" i="42"/>
  <c r="GX2" i="42"/>
  <c r="GW2" i="42"/>
  <c r="GV2" i="42"/>
  <c r="GU2" i="42"/>
  <c r="HC2" i="42" s="1"/>
  <c r="GT2" i="42"/>
  <c r="GP2" i="42"/>
  <c r="GN2" i="42"/>
  <c r="GI2" i="42"/>
  <c r="GH2" i="42"/>
  <c r="GG2" i="42"/>
  <c r="GF2" i="42"/>
  <c r="GE2" i="42"/>
  <c r="GD2" i="42"/>
  <c r="GC2" i="42"/>
  <c r="GB2" i="42"/>
  <c r="GA2" i="42"/>
  <c r="FZ2" i="42"/>
  <c r="FY2" i="42"/>
  <c r="FX2" i="42"/>
  <c r="FW2" i="42"/>
  <c r="FV2" i="42"/>
  <c r="FU2" i="42"/>
  <c r="FT2" i="42"/>
  <c r="FS2" i="42"/>
  <c r="FR2" i="42"/>
  <c r="FQ2" i="42"/>
  <c r="FP2" i="42"/>
  <c r="FO2" i="42"/>
  <c r="FN2" i="42"/>
  <c r="FJ2" i="42"/>
  <c r="FM2" i="42" s="1"/>
  <c r="FI2" i="42"/>
  <c r="FL2" i="42" s="1"/>
  <c r="FH2" i="42"/>
  <c r="FK2" i="42" s="1"/>
  <c r="FG2" i="42"/>
  <c r="FF2" i="42"/>
  <c r="FE2" i="42"/>
  <c r="FD2" i="42"/>
  <c r="FC2" i="42"/>
  <c r="FB2" i="42"/>
  <c r="FA2" i="42"/>
  <c r="EZ2" i="42"/>
  <c r="EY2" i="42"/>
  <c r="EX2" i="42"/>
  <c r="EW2" i="42"/>
  <c r="EV2" i="42"/>
  <c r="EU2" i="42"/>
  <c r="ET2" i="42"/>
  <c r="ES2" i="42"/>
  <c r="ER2" i="42"/>
  <c r="EQ2" i="42"/>
  <c r="EP2" i="42"/>
  <c r="EO2" i="42"/>
  <c r="EN2" i="42"/>
  <c r="EM2" i="42"/>
  <c r="EL2" i="42"/>
  <c r="EK2" i="42"/>
  <c r="EJ2" i="42"/>
  <c r="EI2" i="42"/>
  <c r="EH2" i="42"/>
  <c r="EG2" i="42"/>
  <c r="EF2" i="42"/>
  <c r="EE2" i="42"/>
  <c r="ED2" i="42"/>
  <c r="EC2" i="42"/>
  <c r="EB2" i="42"/>
  <c r="EA2" i="42"/>
  <c r="DY2" i="42"/>
  <c r="DX2" i="42"/>
  <c r="DW2" i="42"/>
  <c r="DV2" i="42"/>
  <c r="DU2" i="42"/>
  <c r="DT2" i="42"/>
  <c r="DS2" i="42"/>
  <c r="DR2" i="42"/>
  <c r="DQ2" i="42"/>
  <c r="DP2" i="42"/>
  <c r="DO2" i="42"/>
  <c r="DN2" i="42"/>
  <c r="DK2" i="42"/>
  <c r="DJ2" i="42"/>
  <c r="DI2" i="42"/>
  <c r="DH2" i="42"/>
  <c r="DG2" i="42"/>
  <c r="DF2" i="42"/>
  <c r="DE2" i="42"/>
  <c r="DD2" i="42"/>
  <c r="DC2" i="42"/>
  <c r="DB2" i="42"/>
  <c r="DA2" i="42"/>
  <c r="CV2" i="42"/>
  <c r="CU2" i="42"/>
  <c r="CT2" i="42"/>
  <c r="CS2" i="42"/>
  <c r="CR2" i="42"/>
  <c r="GM2" i="42" s="1"/>
  <c r="CQ2" i="42"/>
  <c r="GL2" i="42" s="1"/>
  <c r="CP2" i="42"/>
  <c r="GJ2" i="42" s="1"/>
  <c r="GK2" i="42" s="1"/>
  <c r="CO2" i="42"/>
  <c r="DZ2" i="42" s="1"/>
  <c r="CN2" i="42"/>
  <c r="CM2" i="42"/>
  <c r="CL2" i="42"/>
  <c r="CG2" i="42" a="1"/>
  <c r="CG2" i="42" s="1"/>
  <c r="AW2" i="42"/>
  <c r="AV2" i="42"/>
  <c r="AX2" i="42" s="1"/>
  <c r="J2" i="42"/>
  <c r="G2" i="42"/>
  <c r="IL2" i="43"/>
  <c r="HX2" i="43" a="1"/>
  <c r="HX2" i="43" s="1"/>
  <c r="IW2" i="43" s="1"/>
  <c r="HW2" i="43" a="1"/>
  <c r="HW2" i="43" s="1"/>
  <c r="IV2" i="43" s="1"/>
  <c r="HV2" i="43" a="1"/>
  <c r="HV2" i="43" s="1"/>
  <c r="IU2" i="43" s="1"/>
  <c r="HU2" i="43" a="1"/>
  <c r="HU2" i="43" s="1"/>
  <c r="IT2" i="43" s="1"/>
  <c r="HT2" i="43" a="1"/>
  <c r="HT2" i="43" s="1"/>
  <c r="IS2" i="43" s="1"/>
  <c r="HS2" i="43"/>
  <c r="IR2" i="43" s="1"/>
  <c r="HS2" i="43" a="1"/>
  <c r="HR2" i="43" a="1"/>
  <c r="HR2" i="43" s="1"/>
  <c r="IQ2" i="43" s="1"/>
  <c r="HQ2" i="43" a="1"/>
  <c r="HQ2" i="43" s="1"/>
  <c r="IP2" i="43" s="1"/>
  <c r="HP2" i="43" a="1"/>
  <c r="HP2" i="43" s="1"/>
  <c r="IO2" i="43" s="1"/>
  <c r="HL2" i="43"/>
  <c r="HJ2" i="43"/>
  <c r="HI2" i="43"/>
  <c r="HH2" i="43"/>
  <c r="HB2" i="43"/>
  <c r="HA2" i="43"/>
  <c r="GZ2" i="43"/>
  <c r="GY2" i="43"/>
  <c r="GX2" i="43"/>
  <c r="GW2" i="43"/>
  <c r="GV2" i="43"/>
  <c r="GU2" i="43"/>
  <c r="HC2" i="43" s="1"/>
  <c r="GT2" i="43"/>
  <c r="GP2" i="43"/>
  <c r="GI2" i="43"/>
  <c r="GH2" i="43"/>
  <c r="GG2" i="43"/>
  <c r="GF2" i="43"/>
  <c r="GE2" i="43"/>
  <c r="GD2" i="43"/>
  <c r="GC2" i="43"/>
  <c r="GB2" i="43"/>
  <c r="GA2" i="43"/>
  <c r="FZ2" i="43"/>
  <c r="FY2" i="43"/>
  <c r="FX2" i="43"/>
  <c r="FW2" i="43"/>
  <c r="FV2" i="43"/>
  <c r="FU2" i="43"/>
  <c r="FT2" i="43"/>
  <c r="FS2" i="43"/>
  <c r="FR2" i="43"/>
  <c r="FQ2" i="43"/>
  <c r="FP2" i="43"/>
  <c r="FO2" i="43"/>
  <c r="FN2" i="43"/>
  <c r="FJ2" i="43"/>
  <c r="FM2" i="43" s="1"/>
  <c r="FI2" i="43"/>
  <c r="FL2" i="43" s="1"/>
  <c r="FH2" i="43"/>
  <c r="FK2" i="43" s="1"/>
  <c r="FG2" i="43"/>
  <c r="FF2" i="43"/>
  <c r="FE2" i="43"/>
  <c r="FD2" i="43"/>
  <c r="FC2" i="43"/>
  <c r="FB2" i="43"/>
  <c r="FA2" i="43"/>
  <c r="EZ2" i="43"/>
  <c r="EY2" i="43"/>
  <c r="EX2" i="43"/>
  <c r="EW2" i="43"/>
  <c r="EV2" i="43"/>
  <c r="EU2" i="43"/>
  <c r="ET2" i="43"/>
  <c r="ES2" i="43"/>
  <c r="ER2" i="43"/>
  <c r="EQ2" i="43"/>
  <c r="EP2" i="43"/>
  <c r="EO2" i="43"/>
  <c r="EN2" i="43"/>
  <c r="EM2" i="43"/>
  <c r="EL2" i="43"/>
  <c r="EK2" i="43"/>
  <c r="EJ2" i="43"/>
  <c r="EI2" i="43"/>
  <c r="EH2" i="43"/>
  <c r="EG2" i="43"/>
  <c r="EF2" i="43"/>
  <c r="EE2" i="43"/>
  <c r="ED2" i="43"/>
  <c r="EC2" i="43"/>
  <c r="EB2" i="43"/>
  <c r="EA2" i="43"/>
  <c r="DY2" i="43"/>
  <c r="DX2" i="43"/>
  <c r="DV2" i="43"/>
  <c r="DU2" i="43"/>
  <c r="DT2" i="43"/>
  <c r="DS2" i="43"/>
  <c r="DR2" i="43"/>
  <c r="DQ2" i="43"/>
  <c r="DP2" i="43"/>
  <c r="DO2" i="43"/>
  <c r="DN2" i="43"/>
  <c r="DK2" i="43"/>
  <c r="DJ2" i="43"/>
  <c r="DI2" i="43"/>
  <c r="DH2" i="43"/>
  <c r="DG2" i="43"/>
  <c r="DF2" i="43"/>
  <c r="DE2" i="43"/>
  <c r="DD2" i="43"/>
  <c r="DC2" i="43"/>
  <c r="DB2" i="43"/>
  <c r="DA2" i="43"/>
  <c r="CV2" i="43"/>
  <c r="CU2" i="43"/>
  <c r="CT2" i="43"/>
  <c r="CS2" i="43"/>
  <c r="GN2" i="43" s="1"/>
  <c r="CR2" i="43"/>
  <c r="GM2" i="43" s="1"/>
  <c r="CQ2" i="43"/>
  <c r="GL2" i="43" s="1"/>
  <c r="CP2" i="43"/>
  <c r="GJ2" i="43" s="1"/>
  <c r="GK2" i="43" s="1"/>
  <c r="CO2" i="43"/>
  <c r="DZ2" i="43" s="1"/>
  <c r="CN2" i="43"/>
  <c r="CM2" i="43"/>
  <c r="CL2" i="43"/>
  <c r="DW2" i="43" s="1"/>
  <c r="CG2" i="43" a="1"/>
  <c r="CG2" i="43" s="1"/>
  <c r="AW2" i="43"/>
  <c r="AV2" i="43"/>
  <c r="AX2" i="43" s="1"/>
  <c r="J2" i="43"/>
  <c r="G2" i="43"/>
  <c r="HX3" i="43" a="1"/>
  <c r="HX3" i="43" s="1"/>
  <c r="IW3" i="43" s="1"/>
  <c r="HW3" i="43" a="1"/>
  <c r="HW3" i="43" s="1"/>
  <c r="IV3" i="43" s="1"/>
  <c r="HV3" i="43" a="1"/>
  <c r="HV3" i="43" s="1"/>
  <c r="IU3" i="43" s="1"/>
  <c r="HU3" i="43" a="1"/>
  <c r="HU3" i="43" s="1"/>
  <c r="IT3" i="43" s="1"/>
  <c r="HT3" i="43" a="1"/>
  <c r="HT3" i="43" s="1"/>
  <c r="IS3" i="43" s="1"/>
  <c r="HS3" i="43" a="1"/>
  <c r="HS3" i="43" s="1"/>
  <c r="IR3" i="43" s="1"/>
  <c r="HR3" i="43" a="1"/>
  <c r="HR3" i="43" s="1"/>
  <c r="IQ3" i="43" s="1"/>
  <c r="HQ3" i="43" a="1"/>
  <c r="HQ3" i="43" s="1"/>
  <c r="IP3" i="43" s="1"/>
  <c r="HP3" i="43" a="1"/>
  <c r="HP3" i="43" s="1"/>
  <c r="IO3" i="43" s="1"/>
  <c r="HL3" i="43"/>
  <c r="HJ3" i="43"/>
  <c r="HH3" i="43"/>
  <c r="HI3" i="43" s="1"/>
  <c r="HB3" i="43"/>
  <c r="HA3" i="43"/>
  <c r="GZ3" i="43"/>
  <c r="GY3" i="43"/>
  <c r="GX3" i="43"/>
  <c r="GW3" i="43"/>
  <c r="GV3" i="43"/>
  <c r="GU3" i="43"/>
  <c r="GT3" i="43"/>
  <c r="HC3" i="43" s="1"/>
  <c r="GP3" i="43"/>
  <c r="GN3" i="43"/>
  <c r="GM3" i="43"/>
  <c r="GL3" i="43"/>
  <c r="GJ3" i="43"/>
  <c r="GK3" i="43" s="1"/>
  <c r="GI3" i="43"/>
  <c r="GH3" i="43"/>
  <c r="GG3" i="43"/>
  <c r="GF3" i="43"/>
  <c r="GE3" i="43"/>
  <c r="GB3" i="43"/>
  <c r="GA3" i="43"/>
  <c r="FZ3" i="43"/>
  <c r="FY3" i="43"/>
  <c r="FW3" i="43"/>
  <c r="FV3" i="43"/>
  <c r="FU3" i="43"/>
  <c r="FT3" i="43"/>
  <c r="FS3" i="43"/>
  <c r="FR3" i="43"/>
  <c r="FQ3" i="43"/>
  <c r="FP3" i="43"/>
  <c r="FJ3" i="43"/>
  <c r="FM3" i="43" s="1"/>
  <c r="FI3" i="43"/>
  <c r="FL3" i="43" s="1"/>
  <c r="FH3" i="43"/>
  <c r="FK3" i="43" s="1"/>
  <c r="FG3" i="43"/>
  <c r="FF3" i="43"/>
  <c r="FE3" i="43"/>
  <c r="FO3" i="43" s="1"/>
  <c r="FD3" i="43"/>
  <c r="FB3" i="43"/>
  <c r="FA3" i="43"/>
  <c r="EZ3" i="43"/>
  <c r="EY3" i="43"/>
  <c r="EX3" i="43"/>
  <c r="EW3" i="43"/>
  <c r="EV3" i="43"/>
  <c r="EU3" i="43"/>
  <c r="ET3" i="43"/>
  <c r="ES3" i="43"/>
  <c r="ER3" i="43"/>
  <c r="EQ3" i="43"/>
  <c r="EP3" i="43"/>
  <c r="EO3" i="43"/>
  <c r="EN3" i="43"/>
  <c r="EM3" i="43"/>
  <c r="EL3" i="43"/>
  <c r="EK3" i="43"/>
  <c r="EJ3" i="43"/>
  <c r="EI3" i="43"/>
  <c r="EH3" i="43"/>
  <c r="EG3" i="43"/>
  <c r="EF3" i="43"/>
  <c r="EE3" i="43"/>
  <c r="ED3" i="43"/>
  <c r="EC3" i="43"/>
  <c r="EB3" i="43"/>
  <c r="EA3" i="43"/>
  <c r="DU3" i="43"/>
  <c r="DT3" i="43"/>
  <c r="DS3" i="43"/>
  <c r="DR3" i="43"/>
  <c r="DQ3" i="43"/>
  <c r="DP3" i="43"/>
  <c r="DO3" i="43"/>
  <c r="DN3" i="43"/>
  <c r="DK3" i="43"/>
  <c r="DJ3" i="43"/>
  <c r="DI3" i="43"/>
  <c r="DH3" i="43"/>
  <c r="DG3" i="43"/>
  <c r="DF3" i="43"/>
  <c r="DE3" i="43"/>
  <c r="DD3" i="43"/>
  <c r="DB3" i="43"/>
  <c r="DA3" i="43"/>
  <c r="CV3" i="43"/>
  <c r="CU3" i="43"/>
  <c r="CT3" i="43"/>
  <c r="CS3" i="43"/>
  <c r="CR3" i="43"/>
  <c r="CQ3" i="43"/>
  <c r="CP3" i="43"/>
  <c r="CO3" i="43"/>
  <c r="DZ3" i="43" s="1"/>
  <c r="CN3" i="43"/>
  <c r="DY3" i="43" s="1"/>
  <c r="CM3" i="43"/>
  <c r="DX3" i="43" s="1"/>
  <c r="CL3" i="43"/>
  <c r="DW3" i="43" s="1"/>
  <c r="CG3" i="43" a="1"/>
  <c r="CG3" i="43" s="1"/>
  <c r="AW3" i="43"/>
  <c r="AV3" i="43"/>
  <c r="J3" i="43"/>
  <c r="G3" i="43"/>
  <c r="IL3" i="41"/>
  <c r="HX3" i="41" a="1"/>
  <c r="HX3" i="41" s="1"/>
  <c r="IW3" i="41" s="1"/>
  <c r="HW3" i="41" a="1"/>
  <c r="HW3" i="41" s="1"/>
  <c r="IV3" i="41" s="1"/>
  <c r="HV3" i="41" a="1"/>
  <c r="HV3" i="41" s="1"/>
  <c r="IU3" i="41" s="1"/>
  <c r="HU3" i="41" a="1"/>
  <c r="HU3" i="41" s="1"/>
  <c r="IT3" i="41" s="1"/>
  <c r="HT3" i="41" a="1"/>
  <c r="HT3" i="41" s="1"/>
  <c r="IS3" i="41" s="1"/>
  <c r="HS3" i="41" a="1"/>
  <c r="HS3" i="41" s="1"/>
  <c r="IR3" i="41" s="1"/>
  <c r="HR3" i="41" a="1"/>
  <c r="HR3" i="41" s="1"/>
  <c r="IQ3" i="41" s="1"/>
  <c r="HQ3" i="41" a="1"/>
  <c r="HQ3" i="41" s="1"/>
  <c r="IP3" i="41" s="1"/>
  <c r="HP3" i="41" a="1"/>
  <c r="HP3" i="41" s="1"/>
  <c r="IO3" i="41" s="1"/>
  <c r="HL3" i="41"/>
  <c r="HJ3" i="41"/>
  <c r="HH3" i="41"/>
  <c r="HB3" i="41"/>
  <c r="HA3" i="41"/>
  <c r="GZ3" i="41"/>
  <c r="GY3" i="41"/>
  <c r="GX3" i="41"/>
  <c r="GW3" i="41"/>
  <c r="GV3" i="41"/>
  <c r="GU3" i="41"/>
  <c r="GT3" i="41"/>
  <c r="GP3" i="41"/>
  <c r="GI3" i="41"/>
  <c r="GH3" i="41"/>
  <c r="GG3" i="41"/>
  <c r="GF3" i="41"/>
  <c r="GE3" i="41"/>
  <c r="GD3" i="41"/>
  <c r="GC3" i="41"/>
  <c r="GB3" i="41"/>
  <c r="GA3" i="41"/>
  <c r="FZ3" i="41"/>
  <c r="FY3" i="41"/>
  <c r="FX3" i="41"/>
  <c r="FW3" i="41"/>
  <c r="FV3" i="41"/>
  <c r="FU3" i="41"/>
  <c r="FT3" i="41"/>
  <c r="FS3" i="41"/>
  <c r="FR3" i="41"/>
  <c r="FQ3" i="41"/>
  <c r="FP3" i="41"/>
  <c r="FO3" i="41"/>
  <c r="FN3" i="41"/>
  <c r="FJ3" i="41"/>
  <c r="FM3" i="41" s="1"/>
  <c r="FI3" i="41"/>
  <c r="FL3" i="41" s="1"/>
  <c r="FH3" i="41"/>
  <c r="FG3" i="41"/>
  <c r="FF3" i="41"/>
  <c r="FE3" i="41"/>
  <c r="FD3" i="41"/>
  <c r="FC3" i="41"/>
  <c r="FB3" i="41"/>
  <c r="FA3" i="41"/>
  <c r="EZ3" i="41"/>
  <c r="EY3" i="41"/>
  <c r="EX3" i="41"/>
  <c r="EW3" i="41"/>
  <c r="EV3" i="41"/>
  <c r="EU3" i="41"/>
  <c r="ET3" i="41"/>
  <c r="ES3" i="41"/>
  <c r="ER3" i="41"/>
  <c r="EQ3" i="41"/>
  <c r="EP3" i="41"/>
  <c r="EO3" i="41"/>
  <c r="EN3" i="41"/>
  <c r="EM3" i="41"/>
  <c r="EL3" i="41"/>
  <c r="EK3" i="41"/>
  <c r="EJ3" i="41"/>
  <c r="EI3" i="41"/>
  <c r="EH3" i="41"/>
  <c r="EG3" i="41"/>
  <c r="EF3" i="41"/>
  <c r="EE3" i="41"/>
  <c r="ED3" i="41"/>
  <c r="EC3" i="41"/>
  <c r="EB3" i="41"/>
  <c r="EA3" i="41"/>
  <c r="DY3" i="41"/>
  <c r="DX3" i="41"/>
  <c r="DV3" i="41"/>
  <c r="DU3" i="41"/>
  <c r="DT3" i="41"/>
  <c r="DS3" i="41"/>
  <c r="DR3" i="41"/>
  <c r="DQ3" i="41"/>
  <c r="DP3" i="41"/>
  <c r="DO3" i="41"/>
  <c r="DN3" i="41"/>
  <c r="DK3" i="41"/>
  <c r="DJ3" i="41"/>
  <c r="DI3" i="41"/>
  <c r="DH3" i="41"/>
  <c r="DG3" i="41"/>
  <c r="DF3" i="41"/>
  <c r="DE3" i="41"/>
  <c r="DD3" i="41"/>
  <c r="DC3" i="41"/>
  <c r="DB3" i="41"/>
  <c r="DA3" i="41"/>
  <c r="CV3" i="41"/>
  <c r="CU3" i="41"/>
  <c r="CT3" i="41"/>
  <c r="CS3" i="41"/>
  <c r="GN3" i="41" s="1"/>
  <c r="CR3" i="41"/>
  <c r="GM3" i="41" s="1"/>
  <c r="CQ3" i="41"/>
  <c r="GL3" i="41" s="1"/>
  <c r="CP3" i="41"/>
  <c r="GJ3" i="41" s="1"/>
  <c r="GK3" i="41" s="1"/>
  <c r="CO3" i="41"/>
  <c r="DZ3" i="41" s="1"/>
  <c r="CN3" i="41"/>
  <c r="CM3" i="41"/>
  <c r="CL3" i="41"/>
  <c r="DW3" i="41" s="1"/>
  <c r="CG3" i="41" a="1"/>
  <c r="CG3" i="41" s="1"/>
  <c r="AW3" i="41"/>
  <c r="AV3" i="41"/>
  <c r="J3" i="41"/>
  <c r="HI3" i="41" s="1"/>
  <c r="G3" i="41"/>
  <c r="HX4" i="41" a="1"/>
  <c r="HX4" i="41" s="1"/>
  <c r="IW4" i="41" s="1"/>
  <c r="HW4" i="41" a="1"/>
  <c r="HW4" i="41" s="1"/>
  <c r="IV4" i="41" s="1"/>
  <c r="HV4" i="41" a="1"/>
  <c r="HV4" i="41" s="1"/>
  <c r="IU4" i="41" s="1"/>
  <c r="HU4" i="41" a="1"/>
  <c r="HU4" i="41" s="1"/>
  <c r="IT4" i="41" s="1"/>
  <c r="HT4" i="41" a="1"/>
  <c r="HT4" i="41" s="1"/>
  <c r="IS4" i="41" s="1"/>
  <c r="HS4" i="41" a="1"/>
  <c r="HS4" i="41" s="1"/>
  <c r="IR4" i="41" s="1"/>
  <c r="HR4" i="41" a="1"/>
  <c r="HR4" i="41" s="1"/>
  <c r="IQ4" i="41" s="1"/>
  <c r="HQ4" i="41" a="1"/>
  <c r="HQ4" i="41" s="1"/>
  <c r="IP4" i="41" s="1"/>
  <c r="HP4" i="41" a="1"/>
  <c r="HP4" i="41" s="1"/>
  <c r="IO4" i="41" s="1"/>
  <c r="HL4" i="41"/>
  <c r="HJ4" i="41"/>
  <c r="HH4" i="41"/>
  <c r="HI4" i="41" s="1"/>
  <c r="HB4" i="41"/>
  <c r="HA4" i="41"/>
  <c r="GZ4" i="41"/>
  <c r="GY4" i="41"/>
  <c r="GX4" i="41"/>
  <c r="GW4" i="41"/>
  <c r="GV4" i="41"/>
  <c r="GU4" i="41"/>
  <c r="GT4" i="41"/>
  <c r="GP4" i="41"/>
  <c r="GI4" i="41"/>
  <c r="GH4" i="41"/>
  <c r="GG4" i="41"/>
  <c r="GF4" i="41"/>
  <c r="GE4" i="41"/>
  <c r="GB4" i="41"/>
  <c r="GA4" i="41"/>
  <c r="FZ4" i="41"/>
  <c r="FY4" i="41"/>
  <c r="FW4" i="41"/>
  <c r="FV4" i="41"/>
  <c r="FU4" i="41"/>
  <c r="FT4" i="41"/>
  <c r="FS4" i="41"/>
  <c r="FR4" i="41"/>
  <c r="FQ4" i="41"/>
  <c r="FJ4" i="41"/>
  <c r="FM4" i="41" s="1"/>
  <c r="FI4" i="41"/>
  <c r="FL4" i="41" s="1"/>
  <c r="FH4" i="41"/>
  <c r="FK4" i="41" s="1"/>
  <c r="FG4" i="41"/>
  <c r="FF4" i="41"/>
  <c r="FP4" i="41" s="1"/>
  <c r="FE4" i="41"/>
  <c r="FO4" i="41" s="1"/>
  <c r="FD4" i="41"/>
  <c r="FB4" i="41"/>
  <c r="FA4" i="41"/>
  <c r="EZ4" i="41"/>
  <c r="EY4" i="41"/>
  <c r="EX4" i="41"/>
  <c r="EW4" i="41"/>
  <c r="EV4" i="41"/>
  <c r="EU4" i="41"/>
  <c r="ET4" i="41"/>
  <c r="ES4" i="41"/>
  <c r="ER4" i="41"/>
  <c r="EQ4" i="41"/>
  <c r="EP4" i="41"/>
  <c r="EO4" i="41"/>
  <c r="EN4" i="41"/>
  <c r="EM4" i="41"/>
  <c r="EL4" i="41"/>
  <c r="EK4" i="41"/>
  <c r="EJ4" i="41"/>
  <c r="EI4" i="41"/>
  <c r="EH4" i="41"/>
  <c r="EG4" i="41"/>
  <c r="EF4" i="41"/>
  <c r="EE4" i="41"/>
  <c r="ED4" i="41"/>
  <c r="EC4" i="41"/>
  <c r="EB4" i="41"/>
  <c r="EA4" i="41"/>
  <c r="DU4" i="41"/>
  <c r="DT4" i="41"/>
  <c r="DS4" i="41"/>
  <c r="DR4" i="41"/>
  <c r="DQ4" i="41"/>
  <c r="DP4" i="41"/>
  <c r="DO4" i="41"/>
  <c r="DN4" i="41"/>
  <c r="DK4" i="41"/>
  <c r="DJ4" i="41"/>
  <c r="DI4" i="41"/>
  <c r="DH4" i="41"/>
  <c r="DG4" i="41"/>
  <c r="DF4" i="41"/>
  <c r="DE4" i="41"/>
  <c r="DD4" i="41"/>
  <c r="DB4" i="41"/>
  <c r="DA4" i="41"/>
  <c r="CV4" i="41"/>
  <c r="CU4" i="41"/>
  <c r="CT4" i="41"/>
  <c r="CS4" i="41"/>
  <c r="GN4" i="41" s="1"/>
  <c r="CR4" i="41"/>
  <c r="GM4" i="41" s="1"/>
  <c r="CQ4" i="41"/>
  <c r="GL4" i="41" s="1"/>
  <c r="CP4" i="41"/>
  <c r="GJ4" i="41" s="1"/>
  <c r="GK4" i="41" s="1"/>
  <c r="CO4" i="41"/>
  <c r="DZ4" i="41" s="1"/>
  <c r="CN4" i="41"/>
  <c r="DY4" i="41" s="1"/>
  <c r="CM4" i="41"/>
  <c r="DX4" i="41" s="1"/>
  <c r="CL4" i="41"/>
  <c r="DW4" i="41" s="1"/>
  <c r="CG4" i="41" a="1"/>
  <c r="CG4" i="41" s="1"/>
  <c r="AW4" i="41"/>
  <c r="AV4" i="41"/>
  <c r="J4" i="41"/>
  <c r="G4" i="41"/>
  <c r="IL2" i="41"/>
  <c r="HX2" i="41" a="1"/>
  <c r="HX2" i="41" s="1"/>
  <c r="IW2" i="41" s="1"/>
  <c r="HW2" i="41" a="1"/>
  <c r="HW2" i="41" s="1"/>
  <c r="IV2" i="41" s="1"/>
  <c r="HV2" i="41" a="1"/>
  <c r="HV2" i="41" s="1"/>
  <c r="IU2" i="41" s="1"/>
  <c r="HU2" i="41" a="1"/>
  <c r="HU2" i="41" s="1"/>
  <c r="IT2" i="41" s="1"/>
  <c r="HT2" i="41" a="1"/>
  <c r="HT2" i="41" s="1"/>
  <c r="IS2" i="41" s="1"/>
  <c r="HS2" i="41"/>
  <c r="IR2" i="41" s="1"/>
  <c r="HS2" i="41" a="1"/>
  <c r="HR2" i="41" a="1"/>
  <c r="HR2" i="41" s="1"/>
  <c r="IQ2" i="41" s="1"/>
  <c r="HQ2" i="41" a="1"/>
  <c r="HQ2" i="41" s="1"/>
  <c r="IP2" i="41" s="1"/>
  <c r="HP2" i="41" a="1"/>
  <c r="HP2" i="41" s="1"/>
  <c r="IO2" i="41" s="1"/>
  <c r="HL2" i="41"/>
  <c r="HJ2" i="41"/>
  <c r="HH2" i="41"/>
  <c r="HI2" i="41" s="1"/>
  <c r="HB2" i="41"/>
  <c r="HA2" i="41"/>
  <c r="GZ2" i="41"/>
  <c r="GY2" i="41"/>
  <c r="GX2" i="41"/>
  <c r="GW2" i="41"/>
  <c r="GV2" i="41"/>
  <c r="GU2" i="41"/>
  <c r="GT2" i="41"/>
  <c r="GP2" i="41"/>
  <c r="GI2" i="41"/>
  <c r="GH2" i="41"/>
  <c r="GG2" i="41"/>
  <c r="GF2" i="41"/>
  <c r="GE2" i="41"/>
  <c r="GD2" i="41"/>
  <c r="GC2" i="41"/>
  <c r="GB2" i="41"/>
  <c r="GA2" i="41"/>
  <c r="FZ2" i="41"/>
  <c r="FY2" i="41"/>
  <c r="FX2" i="41"/>
  <c r="FW2" i="41"/>
  <c r="FV2" i="41"/>
  <c r="FU2" i="41"/>
  <c r="FT2" i="41"/>
  <c r="FS2" i="41"/>
  <c r="FR2" i="41"/>
  <c r="FQ2" i="41"/>
  <c r="FJ2" i="41"/>
  <c r="FI2" i="41"/>
  <c r="FH2" i="41"/>
  <c r="FG2" i="41"/>
  <c r="FO2" i="41" s="1"/>
  <c r="FF2" i="41"/>
  <c r="FP2" i="41" s="1"/>
  <c r="FE2" i="41"/>
  <c r="FD2" i="41"/>
  <c r="FC2" i="41"/>
  <c r="FB2" i="41"/>
  <c r="FA2" i="41"/>
  <c r="EZ2" i="41"/>
  <c r="EY2" i="41"/>
  <c r="EX2" i="41"/>
  <c r="EW2" i="41"/>
  <c r="EV2" i="41"/>
  <c r="EU2" i="41"/>
  <c r="ET2" i="41"/>
  <c r="ES2" i="41"/>
  <c r="ER2" i="41"/>
  <c r="EQ2" i="41"/>
  <c r="EP2" i="41"/>
  <c r="EO2" i="41"/>
  <c r="EN2" i="41"/>
  <c r="EM2" i="41"/>
  <c r="EL2" i="41"/>
  <c r="EK2" i="41"/>
  <c r="EJ2" i="41"/>
  <c r="EI2" i="41"/>
  <c r="EH2" i="41"/>
  <c r="EG2" i="41"/>
  <c r="EF2" i="41"/>
  <c r="EE2" i="41"/>
  <c r="ED2" i="41"/>
  <c r="EC2" i="41"/>
  <c r="EB2" i="41"/>
  <c r="EA2" i="41"/>
  <c r="DY2" i="41"/>
  <c r="DX2" i="41"/>
  <c r="DV2" i="41"/>
  <c r="DU2" i="41"/>
  <c r="DT2" i="41"/>
  <c r="DS2" i="41"/>
  <c r="DR2" i="41"/>
  <c r="DQ2" i="41"/>
  <c r="DP2" i="41"/>
  <c r="DO2" i="41"/>
  <c r="DN2" i="41"/>
  <c r="DK2" i="41"/>
  <c r="DJ2" i="41"/>
  <c r="DI2" i="41"/>
  <c r="DH2" i="41"/>
  <c r="DG2" i="41"/>
  <c r="DF2" i="41"/>
  <c r="DE2" i="41"/>
  <c r="DD2" i="41"/>
  <c r="DC2" i="41"/>
  <c r="DB2" i="41"/>
  <c r="DA2" i="41"/>
  <c r="CV2" i="41"/>
  <c r="CU2" i="41"/>
  <c r="CT2" i="41"/>
  <c r="CS2" i="41"/>
  <c r="GN2" i="41" s="1"/>
  <c r="CR2" i="41"/>
  <c r="GM2" i="41" s="1"/>
  <c r="CQ2" i="41"/>
  <c r="GL2" i="41" s="1"/>
  <c r="CP2" i="41"/>
  <c r="GJ2" i="41" s="1"/>
  <c r="GK2" i="41" s="1"/>
  <c r="CO2" i="41"/>
  <c r="DZ2" i="41" s="1"/>
  <c r="CN2" i="41"/>
  <c r="CM2" i="41"/>
  <c r="CL2" i="41"/>
  <c r="DW2" i="41" s="1"/>
  <c r="CG2" i="41" a="1"/>
  <c r="CG2" i="41" s="1"/>
  <c r="AW2" i="41"/>
  <c r="AV2" i="41"/>
  <c r="AX2" i="41" s="1"/>
  <c r="J2" i="41"/>
  <c r="G2" i="41"/>
  <c r="IL2" i="39"/>
  <c r="HX2" i="39" a="1"/>
  <c r="HX2" i="39" s="1"/>
  <c r="IW2" i="39" s="1"/>
  <c r="HW2" i="39" a="1"/>
  <c r="HW2" i="39" s="1"/>
  <c r="IV2" i="39" s="1"/>
  <c r="HV2" i="39" a="1"/>
  <c r="HV2" i="39" s="1"/>
  <c r="IU2" i="39" s="1"/>
  <c r="HU2" i="39" a="1"/>
  <c r="HU2" i="39" s="1"/>
  <c r="IT2" i="39" s="1"/>
  <c r="HT2" i="39" a="1"/>
  <c r="HT2" i="39" s="1"/>
  <c r="IS2" i="39" s="1"/>
  <c r="HS2" i="39"/>
  <c r="IR2" i="39" s="1"/>
  <c r="HS2" i="39" a="1"/>
  <c r="HR2" i="39" a="1"/>
  <c r="HR2" i="39" s="1"/>
  <c r="IQ2" i="39" s="1"/>
  <c r="HQ2" i="39" a="1"/>
  <c r="HQ2" i="39" s="1"/>
  <c r="IP2" i="39" s="1"/>
  <c r="HP2" i="39" a="1"/>
  <c r="HP2" i="39" s="1"/>
  <c r="IO2" i="39" s="1"/>
  <c r="HL2" i="39"/>
  <c r="HJ2" i="39"/>
  <c r="HI2" i="39"/>
  <c r="HH2" i="39"/>
  <c r="HB2" i="39"/>
  <c r="HA2" i="39"/>
  <c r="GZ2" i="39"/>
  <c r="GY2" i="39"/>
  <c r="GX2" i="39"/>
  <c r="GW2" i="39"/>
  <c r="GV2" i="39"/>
  <c r="GU2" i="39"/>
  <c r="HC2" i="39" s="1"/>
  <c r="GT2" i="39"/>
  <c r="GP2" i="39"/>
  <c r="GI2" i="39"/>
  <c r="GH2" i="39"/>
  <c r="GG2" i="39"/>
  <c r="GF2" i="39"/>
  <c r="GE2" i="39"/>
  <c r="GD2" i="39"/>
  <c r="GC2" i="39"/>
  <c r="GB2" i="39"/>
  <c r="GA2" i="39"/>
  <c r="FZ2" i="39"/>
  <c r="FY2" i="39"/>
  <c r="FX2" i="39"/>
  <c r="FW2" i="39"/>
  <c r="FV2" i="39"/>
  <c r="FU2" i="39"/>
  <c r="FT2" i="39"/>
  <c r="FS2" i="39"/>
  <c r="FR2" i="39"/>
  <c r="FQ2" i="39"/>
  <c r="FP2" i="39"/>
  <c r="FO2" i="39"/>
  <c r="FN2" i="39"/>
  <c r="FJ2" i="39"/>
  <c r="FM2" i="39" s="1"/>
  <c r="FI2" i="39"/>
  <c r="FL2" i="39" s="1"/>
  <c r="FH2" i="39"/>
  <c r="FK2" i="39" s="1"/>
  <c r="FG2" i="39"/>
  <c r="FF2" i="39"/>
  <c r="FE2" i="39"/>
  <c r="FD2" i="39"/>
  <c r="FC2" i="39"/>
  <c r="FB2" i="39"/>
  <c r="FA2" i="39"/>
  <c r="EZ2" i="39"/>
  <c r="EY2" i="39"/>
  <c r="EX2" i="39"/>
  <c r="EW2" i="39"/>
  <c r="EV2" i="39"/>
  <c r="EU2" i="39"/>
  <c r="ET2" i="39"/>
  <c r="ES2" i="39"/>
  <c r="ER2" i="39"/>
  <c r="EQ2" i="39"/>
  <c r="EP2" i="39"/>
  <c r="EO2" i="39"/>
  <c r="EN2" i="39"/>
  <c r="EM2" i="39"/>
  <c r="EL2" i="39"/>
  <c r="EK2" i="39"/>
  <c r="EJ2" i="39"/>
  <c r="EI2" i="39"/>
  <c r="EH2" i="39"/>
  <c r="EG2" i="39"/>
  <c r="EF2" i="39"/>
  <c r="EE2" i="39"/>
  <c r="ED2" i="39"/>
  <c r="EC2" i="39"/>
  <c r="EB2" i="39"/>
  <c r="EA2" i="39"/>
  <c r="DY2" i="39"/>
  <c r="DX2" i="39"/>
  <c r="DV2" i="39"/>
  <c r="DU2" i="39"/>
  <c r="DT2" i="39"/>
  <c r="DS2" i="39"/>
  <c r="DR2" i="39"/>
  <c r="DQ2" i="39"/>
  <c r="DP2" i="39"/>
  <c r="DO2" i="39"/>
  <c r="DN2" i="39"/>
  <c r="DK2" i="39"/>
  <c r="DJ2" i="39"/>
  <c r="DI2" i="39"/>
  <c r="DH2" i="39"/>
  <c r="DG2" i="39"/>
  <c r="DF2" i="39"/>
  <c r="DE2" i="39"/>
  <c r="DD2" i="39"/>
  <c r="DC2" i="39"/>
  <c r="DB2" i="39"/>
  <c r="DA2" i="39"/>
  <c r="CV2" i="39"/>
  <c r="CU2" i="39"/>
  <c r="CT2" i="39"/>
  <c r="CS2" i="39"/>
  <c r="GN2" i="39" s="1"/>
  <c r="CR2" i="39"/>
  <c r="GM2" i="39" s="1"/>
  <c r="CQ2" i="39"/>
  <c r="GL2" i="39" s="1"/>
  <c r="CP2" i="39"/>
  <c r="GJ2" i="39" s="1"/>
  <c r="GK2" i="39" s="1"/>
  <c r="CO2" i="39"/>
  <c r="DZ2" i="39" s="1"/>
  <c r="CN2" i="39"/>
  <c r="CM2" i="39"/>
  <c r="CL2" i="39"/>
  <c r="DW2" i="39" s="1"/>
  <c r="CG2" i="39" a="1"/>
  <c r="CG2" i="39" s="1"/>
  <c r="AW2" i="39"/>
  <c r="AV2" i="39"/>
  <c r="AX2" i="39" s="1"/>
  <c r="J2" i="39"/>
  <c r="G2" i="39"/>
  <c r="HX4" i="39" a="1"/>
  <c r="HX4" i="39" s="1"/>
  <c r="IW4" i="39" s="1"/>
  <c r="HW4" i="39" a="1"/>
  <c r="HW4" i="39" s="1"/>
  <c r="IV4" i="39" s="1"/>
  <c r="HV4" i="39" a="1"/>
  <c r="HV4" i="39" s="1"/>
  <c r="IU4" i="39" s="1"/>
  <c r="HU4" i="39" a="1"/>
  <c r="HU4" i="39" s="1"/>
  <c r="IT4" i="39" s="1"/>
  <c r="HT4" i="39" a="1"/>
  <c r="HT4" i="39" s="1"/>
  <c r="IS4" i="39" s="1"/>
  <c r="HS4" i="39" a="1"/>
  <c r="HS4" i="39" s="1"/>
  <c r="IR4" i="39" s="1"/>
  <c r="HR4" i="39" a="1"/>
  <c r="HR4" i="39" s="1"/>
  <c r="IQ4" i="39" s="1"/>
  <c r="HQ4" i="39" a="1"/>
  <c r="HQ4" i="39" s="1"/>
  <c r="IP4" i="39" s="1"/>
  <c r="HP4" i="39" a="1"/>
  <c r="HP4" i="39" s="1"/>
  <c r="IO4" i="39" s="1"/>
  <c r="HL4" i="39"/>
  <c r="HJ4" i="39"/>
  <c r="HH4" i="39"/>
  <c r="HI4" i="39" s="1"/>
  <c r="HB4" i="39"/>
  <c r="HA4" i="39"/>
  <c r="GZ4" i="39"/>
  <c r="GY4" i="39"/>
  <c r="GX4" i="39"/>
  <c r="GW4" i="39"/>
  <c r="GV4" i="39"/>
  <c r="GU4" i="39"/>
  <c r="GT4" i="39"/>
  <c r="HC4" i="39" s="1"/>
  <c r="GP4" i="39"/>
  <c r="GN4" i="39"/>
  <c r="GM4" i="39"/>
  <c r="GL4" i="39"/>
  <c r="GJ4" i="39"/>
  <c r="GK4" i="39" s="1"/>
  <c r="GI4" i="39"/>
  <c r="GH4" i="39"/>
  <c r="GG4" i="39"/>
  <c r="GF4" i="39"/>
  <c r="GE4" i="39"/>
  <c r="GB4" i="39"/>
  <c r="GA4" i="39"/>
  <c r="FZ4" i="39"/>
  <c r="FY4" i="39"/>
  <c r="FW4" i="39"/>
  <c r="FV4" i="39"/>
  <c r="FU4" i="39"/>
  <c r="FT4" i="39"/>
  <c r="FS4" i="39"/>
  <c r="FR4" i="39"/>
  <c r="FQ4" i="39"/>
  <c r="FP4" i="39"/>
  <c r="FJ4" i="39"/>
  <c r="FM4" i="39" s="1"/>
  <c r="FI4" i="39"/>
  <c r="FL4" i="39" s="1"/>
  <c r="FH4" i="39"/>
  <c r="FK4" i="39" s="1"/>
  <c r="FG4" i="39"/>
  <c r="FF4" i="39"/>
  <c r="FE4" i="39"/>
  <c r="FO4" i="39" s="1"/>
  <c r="FD4" i="39"/>
  <c r="FB4" i="39"/>
  <c r="FA4" i="39"/>
  <c r="EZ4" i="39"/>
  <c r="EY4" i="39"/>
  <c r="EX4" i="39"/>
  <c r="EW4" i="39"/>
  <c r="EV4" i="39"/>
  <c r="EU4" i="39"/>
  <c r="ET4" i="39"/>
  <c r="ES4" i="39"/>
  <c r="ER4" i="39"/>
  <c r="EQ4" i="39"/>
  <c r="EP4" i="39"/>
  <c r="EO4" i="39"/>
  <c r="EN4" i="39"/>
  <c r="EM4" i="39"/>
  <c r="EL4" i="39"/>
  <c r="EK4" i="39"/>
  <c r="EJ4" i="39"/>
  <c r="EI4" i="39"/>
  <c r="EH4" i="39"/>
  <c r="EG4" i="39"/>
  <c r="EF4" i="39"/>
  <c r="EE4" i="39"/>
  <c r="ED4" i="39"/>
  <c r="EC4" i="39"/>
  <c r="EB4" i="39"/>
  <c r="EA4" i="39"/>
  <c r="DU4" i="39"/>
  <c r="DT4" i="39"/>
  <c r="DS4" i="39"/>
  <c r="DR4" i="39"/>
  <c r="DQ4" i="39"/>
  <c r="DP4" i="39"/>
  <c r="DO4" i="39"/>
  <c r="DN4" i="39"/>
  <c r="DK4" i="39"/>
  <c r="DJ4" i="39"/>
  <c r="DI4" i="39"/>
  <c r="DH4" i="39"/>
  <c r="DG4" i="39"/>
  <c r="DF4" i="39"/>
  <c r="DE4" i="39"/>
  <c r="DD4" i="39"/>
  <c r="DB4" i="39"/>
  <c r="DA4" i="39"/>
  <c r="CV4" i="39"/>
  <c r="CU4" i="39"/>
  <c r="CT4" i="39"/>
  <c r="CS4" i="39"/>
  <c r="CR4" i="39"/>
  <c r="CQ4" i="39"/>
  <c r="CP4" i="39"/>
  <c r="CO4" i="39"/>
  <c r="DZ4" i="39" s="1"/>
  <c r="CN4" i="39"/>
  <c r="DY4" i="39" s="1"/>
  <c r="CM4" i="39"/>
  <c r="DX4" i="39" s="1"/>
  <c r="CL4" i="39"/>
  <c r="DW4" i="39" s="1"/>
  <c r="CG4" i="39" a="1"/>
  <c r="CG4" i="39" s="1"/>
  <c r="AW4" i="39"/>
  <c r="AV4" i="39"/>
  <c r="J4" i="39"/>
  <c r="G4" i="39"/>
  <c r="IT3" i="39"/>
  <c r="IS3" i="39"/>
  <c r="HX3" i="39" a="1"/>
  <c r="HX3" i="39" s="1"/>
  <c r="IW3" i="39" s="1"/>
  <c r="HW3" i="39" a="1"/>
  <c r="HW3" i="39" s="1"/>
  <c r="IV3" i="39" s="1"/>
  <c r="HV3" i="39" a="1"/>
  <c r="HV3" i="39" s="1"/>
  <c r="IU3" i="39" s="1"/>
  <c r="HU3" i="39" a="1"/>
  <c r="HU3" i="39" s="1"/>
  <c r="HT3" i="39" a="1"/>
  <c r="HT3" i="39" s="1"/>
  <c r="HS3" i="39" a="1"/>
  <c r="HS3" i="39" s="1"/>
  <c r="IR3" i="39" s="1"/>
  <c r="HR3" i="39" a="1"/>
  <c r="HR3" i="39" s="1"/>
  <c r="IQ3" i="39" s="1"/>
  <c r="HQ3" i="39" a="1"/>
  <c r="HQ3" i="39" s="1"/>
  <c r="IP3" i="39" s="1"/>
  <c r="HP3" i="39"/>
  <c r="IO3" i="39" s="1"/>
  <c r="HP3" i="39" a="1"/>
  <c r="HL3" i="39"/>
  <c r="HJ3" i="39"/>
  <c r="HH3" i="39"/>
  <c r="HB3" i="39"/>
  <c r="HA3" i="39"/>
  <c r="GZ3" i="39"/>
  <c r="GY3" i="39"/>
  <c r="GX3" i="39"/>
  <c r="GW3" i="39"/>
  <c r="GV3" i="39"/>
  <c r="GU3" i="39"/>
  <c r="GT3" i="39"/>
  <c r="GP3" i="39"/>
  <c r="GN3" i="39"/>
  <c r="GM3" i="39"/>
  <c r="GL3" i="39"/>
  <c r="GK3" i="39"/>
  <c r="GI3" i="39"/>
  <c r="GH3" i="39"/>
  <c r="GG3" i="39"/>
  <c r="GF3" i="39"/>
  <c r="GE3" i="39"/>
  <c r="GB3" i="39"/>
  <c r="GA3" i="39"/>
  <c r="FZ3" i="39"/>
  <c r="FY3" i="39"/>
  <c r="FW3" i="39"/>
  <c r="FV3" i="39"/>
  <c r="FU3" i="39"/>
  <c r="FT3" i="39"/>
  <c r="FS3" i="39"/>
  <c r="FR3" i="39"/>
  <c r="FQ3" i="39"/>
  <c r="FP3" i="39"/>
  <c r="FO3" i="39"/>
  <c r="FN3" i="39"/>
  <c r="FL3" i="39"/>
  <c r="FK3" i="39"/>
  <c r="FJ3" i="39"/>
  <c r="FM3" i="39" s="1"/>
  <c r="FI3" i="39"/>
  <c r="FH3" i="39"/>
  <c r="FG3" i="39"/>
  <c r="FF3" i="39"/>
  <c r="FE3" i="39"/>
  <c r="FD3" i="39"/>
  <c r="FB3" i="39"/>
  <c r="FA3" i="39"/>
  <c r="EZ3" i="39"/>
  <c r="EY3" i="39"/>
  <c r="EX3" i="39"/>
  <c r="EW3" i="39"/>
  <c r="EV3" i="39"/>
  <c r="EU3" i="39"/>
  <c r="ET3" i="39"/>
  <c r="ES3" i="39"/>
  <c r="ER3" i="39"/>
  <c r="EQ3" i="39"/>
  <c r="EP3" i="39"/>
  <c r="EO3" i="39"/>
  <c r="EN3" i="39"/>
  <c r="EM3" i="39"/>
  <c r="EL3" i="39"/>
  <c r="EK3" i="39"/>
  <c r="EJ3" i="39"/>
  <c r="EI3" i="39"/>
  <c r="EH3" i="39"/>
  <c r="EG3" i="39"/>
  <c r="EF3" i="39"/>
  <c r="EE3" i="39"/>
  <c r="ED3" i="39"/>
  <c r="EC3" i="39"/>
  <c r="EB3" i="39"/>
  <c r="EA3" i="39"/>
  <c r="DY3" i="39"/>
  <c r="DU3" i="39"/>
  <c r="DT3" i="39"/>
  <c r="DS3" i="39"/>
  <c r="DR3" i="39"/>
  <c r="DQ3" i="39"/>
  <c r="DP3" i="39"/>
  <c r="DO3" i="39"/>
  <c r="DN3" i="39"/>
  <c r="DM3" i="39" a="1"/>
  <c r="DM3" i="39" s="1"/>
  <c r="DK3" i="39"/>
  <c r="DJ3" i="39"/>
  <c r="DI3" i="39"/>
  <c r="DH3" i="39"/>
  <c r="DG3" i="39"/>
  <c r="DF3" i="39"/>
  <c r="DE3" i="39"/>
  <c r="DD3" i="39"/>
  <c r="DB3" i="39"/>
  <c r="DA3" i="39"/>
  <c r="CV3" i="39"/>
  <c r="CU3" i="39"/>
  <c r="CT3" i="39"/>
  <c r="CS3" i="39"/>
  <c r="CR3" i="39"/>
  <c r="CQ3" i="39"/>
  <c r="CP3" i="39"/>
  <c r="GJ3" i="39" s="1"/>
  <c r="CO3" i="39"/>
  <c r="DZ3" i="39" s="1"/>
  <c r="CN3" i="39"/>
  <c r="CM3" i="39"/>
  <c r="DX3" i="39" s="1"/>
  <c r="CL3" i="39"/>
  <c r="DW3" i="39" s="1"/>
  <c r="CG3" i="39" a="1"/>
  <c r="CG3" i="39" s="1"/>
  <c r="AW3" i="39"/>
  <c r="AV3" i="39"/>
  <c r="J3" i="39"/>
  <c r="HI3" i="39" s="1"/>
  <c r="G3" i="39"/>
  <c r="IP3" i="40"/>
  <c r="HX3" i="40" a="1"/>
  <c r="HX3" i="40" s="1"/>
  <c r="IW3" i="40" s="1"/>
  <c r="HW3" i="40"/>
  <c r="IV3" i="40" s="1"/>
  <c r="HW3" i="40" a="1"/>
  <c r="HV3" i="40" a="1"/>
  <c r="HV3" i="40" s="1"/>
  <c r="IU3" i="40" s="1"/>
  <c r="HU3" i="40" a="1"/>
  <c r="HU3" i="40" s="1"/>
  <c r="IT3" i="40" s="1"/>
  <c r="HT3" i="40" a="1"/>
  <c r="HT3" i="40" s="1"/>
  <c r="IS3" i="40" s="1"/>
  <c r="HS3" i="40" a="1"/>
  <c r="HS3" i="40" s="1"/>
  <c r="IR3" i="40" s="1"/>
  <c r="HR3" i="40" a="1"/>
  <c r="HR3" i="40" s="1"/>
  <c r="IQ3" i="40" s="1"/>
  <c r="HQ3" i="40"/>
  <c r="HQ3" i="40" a="1"/>
  <c r="HP3" i="40" a="1"/>
  <c r="HP3" i="40" s="1"/>
  <c r="IO3" i="40" s="1"/>
  <c r="HL3" i="40"/>
  <c r="HJ3" i="40"/>
  <c r="HH3" i="40"/>
  <c r="HI3" i="40" s="1"/>
  <c r="HB3" i="40"/>
  <c r="HA3" i="40"/>
  <c r="GZ3" i="40"/>
  <c r="GY3" i="40"/>
  <c r="GX3" i="40"/>
  <c r="GW3" i="40"/>
  <c r="GV3" i="40"/>
  <c r="GU3" i="40"/>
  <c r="GT3" i="40"/>
  <c r="HC3" i="40" s="1"/>
  <c r="GP3" i="40"/>
  <c r="GL3" i="40"/>
  <c r="GJ3" i="40"/>
  <c r="GK3" i="40" s="1"/>
  <c r="GI3" i="40"/>
  <c r="GH3" i="40"/>
  <c r="GG3" i="40"/>
  <c r="GF3" i="40"/>
  <c r="GE3" i="40"/>
  <c r="GB3" i="40"/>
  <c r="GA3" i="40"/>
  <c r="FZ3" i="40"/>
  <c r="FY3" i="40"/>
  <c r="FW3" i="40"/>
  <c r="FV3" i="40"/>
  <c r="FU3" i="40"/>
  <c r="FT3" i="40"/>
  <c r="FS3" i="40"/>
  <c r="FR3" i="40"/>
  <c r="FQ3" i="40"/>
  <c r="FP3" i="40"/>
  <c r="FJ3" i="40"/>
  <c r="FM3" i="40" s="1"/>
  <c r="FI3" i="40"/>
  <c r="FL3" i="40" s="1"/>
  <c r="FH3" i="40"/>
  <c r="FK3" i="40" s="1"/>
  <c r="FG3" i="40"/>
  <c r="FF3" i="40"/>
  <c r="FE3" i="40"/>
  <c r="FO3" i="40" s="1"/>
  <c r="FD3" i="40"/>
  <c r="FB3" i="40"/>
  <c r="FA3" i="40"/>
  <c r="EZ3" i="40"/>
  <c r="EY3" i="40"/>
  <c r="EX3" i="40"/>
  <c r="EW3" i="40"/>
  <c r="EV3" i="40"/>
  <c r="EU3" i="40"/>
  <c r="ET3" i="40"/>
  <c r="ES3" i="40"/>
  <c r="ER3" i="40"/>
  <c r="EQ3" i="40"/>
  <c r="EP3" i="40"/>
  <c r="EO3" i="40"/>
  <c r="EN3" i="40"/>
  <c r="EM3" i="40"/>
  <c r="EL3" i="40"/>
  <c r="EK3" i="40"/>
  <c r="EJ3" i="40"/>
  <c r="EI3" i="40"/>
  <c r="EH3" i="40"/>
  <c r="EG3" i="40"/>
  <c r="EF3" i="40"/>
  <c r="EE3" i="40"/>
  <c r="ED3" i="40"/>
  <c r="EC3" i="40"/>
  <c r="EB3" i="40"/>
  <c r="EA3" i="40"/>
  <c r="DU3" i="40"/>
  <c r="DT3" i="40"/>
  <c r="DS3" i="40"/>
  <c r="DR3" i="40"/>
  <c r="DQ3" i="40"/>
  <c r="DP3" i="40"/>
  <c r="DO3" i="40"/>
  <c r="DN3" i="40"/>
  <c r="DK3" i="40"/>
  <c r="DJ3" i="40"/>
  <c r="DI3" i="40"/>
  <c r="DH3" i="40"/>
  <c r="DG3" i="40"/>
  <c r="DF3" i="40"/>
  <c r="DE3" i="40"/>
  <c r="DD3" i="40"/>
  <c r="DB3" i="40"/>
  <c r="DA3" i="40"/>
  <c r="CV3" i="40"/>
  <c r="CU3" i="40"/>
  <c r="CT3" i="40"/>
  <c r="CS3" i="40"/>
  <c r="GN3" i="40" s="1"/>
  <c r="CR3" i="40"/>
  <c r="GM3" i="40" s="1"/>
  <c r="CQ3" i="40"/>
  <c r="CP3" i="40"/>
  <c r="CO3" i="40"/>
  <c r="DZ3" i="40" s="1"/>
  <c r="CN3" i="40"/>
  <c r="DY3" i="40" s="1"/>
  <c r="CM3" i="40"/>
  <c r="DX3" i="40" s="1"/>
  <c r="CL3" i="40"/>
  <c r="DW3" i="40" s="1"/>
  <c r="CG3" i="40" a="1"/>
  <c r="CG3" i="40" s="1"/>
  <c r="AW3" i="40"/>
  <c r="AV3" i="40"/>
  <c r="J3" i="40"/>
  <c r="G3" i="40"/>
  <c r="IR2" i="40"/>
  <c r="IQ2" i="40"/>
  <c r="IL2" i="40"/>
  <c r="HX2" i="40"/>
  <c r="IW2" i="40" s="1"/>
  <c r="HX2" i="40" a="1"/>
  <c r="HW2" i="40" a="1"/>
  <c r="HW2" i="40" s="1"/>
  <c r="IV2" i="40" s="1"/>
  <c r="HV2" i="40" a="1"/>
  <c r="HV2" i="40" s="1"/>
  <c r="IU2" i="40" s="1"/>
  <c r="HU2" i="40"/>
  <c r="IT2" i="40" s="1"/>
  <c r="HU2" i="40" a="1"/>
  <c r="HT2" i="40" a="1"/>
  <c r="HT2" i="40" s="1"/>
  <c r="IS2" i="40" s="1"/>
  <c r="HS2" i="40"/>
  <c r="HS2" i="40" a="1"/>
  <c r="HR2" i="40"/>
  <c r="HR2" i="40" a="1"/>
  <c r="HQ2" i="40" a="1"/>
  <c r="HQ2" i="40" s="1"/>
  <c r="IP2" i="40" s="1"/>
  <c r="HP2" i="40" a="1"/>
  <c r="HP2" i="40" s="1"/>
  <c r="IO2" i="40" s="1"/>
  <c r="HL2" i="40"/>
  <c r="HJ2" i="40"/>
  <c r="HI2" i="40"/>
  <c r="HH2" i="40"/>
  <c r="HB2" i="40"/>
  <c r="HA2" i="40"/>
  <c r="GZ2" i="40"/>
  <c r="GY2" i="40"/>
  <c r="GX2" i="40"/>
  <c r="GW2" i="40"/>
  <c r="GV2" i="40"/>
  <c r="GU2" i="40"/>
  <c r="GT2" i="40"/>
  <c r="HC2" i="40" s="1"/>
  <c r="GP2" i="40"/>
  <c r="GM2" i="40"/>
  <c r="GL2" i="40"/>
  <c r="GJ2" i="40"/>
  <c r="GK2" i="40" s="1"/>
  <c r="GI2" i="40"/>
  <c r="GH2" i="40"/>
  <c r="GG2" i="40"/>
  <c r="GF2" i="40"/>
  <c r="GE2" i="40"/>
  <c r="GD2" i="40"/>
  <c r="GC2" i="40"/>
  <c r="GB2" i="40"/>
  <c r="GA2" i="40"/>
  <c r="FZ2" i="40"/>
  <c r="FY2" i="40"/>
  <c r="FX2" i="40"/>
  <c r="FW2" i="40"/>
  <c r="FV2" i="40"/>
  <c r="FU2" i="40"/>
  <c r="FT2" i="40"/>
  <c r="FS2" i="40"/>
  <c r="FR2" i="40"/>
  <c r="FQ2" i="40"/>
  <c r="FO2" i="40"/>
  <c r="FN2" i="40"/>
  <c r="FM2" i="40"/>
  <c r="FL2" i="40"/>
  <c r="FJ2" i="40"/>
  <c r="FI2" i="40"/>
  <c r="FH2" i="40"/>
  <c r="FK2" i="40" s="1"/>
  <c r="FG2" i="40"/>
  <c r="FF2" i="40"/>
  <c r="FP2" i="40" s="1"/>
  <c r="FE2" i="40"/>
  <c r="FD2" i="40"/>
  <c r="FC2" i="40"/>
  <c r="FB2" i="40"/>
  <c r="FA2" i="40"/>
  <c r="EZ2" i="40"/>
  <c r="EY2" i="40"/>
  <c r="EX2" i="40"/>
  <c r="EW2" i="40"/>
  <c r="EV2" i="40"/>
  <c r="EU2" i="40"/>
  <c r="ET2" i="40"/>
  <c r="ES2" i="40"/>
  <c r="ER2" i="40"/>
  <c r="EQ2" i="40"/>
  <c r="EP2" i="40"/>
  <c r="EO2" i="40"/>
  <c r="EN2" i="40"/>
  <c r="EM2" i="40"/>
  <c r="EL2" i="40"/>
  <c r="EK2" i="40"/>
  <c r="EJ2" i="40"/>
  <c r="EI2" i="40"/>
  <c r="EH2" i="40"/>
  <c r="EG2" i="40"/>
  <c r="EF2" i="40"/>
  <c r="EE2" i="40"/>
  <c r="ED2" i="40"/>
  <c r="EC2" i="40"/>
  <c r="EB2" i="40"/>
  <c r="EA2" i="40"/>
  <c r="DY2" i="40"/>
  <c r="DX2" i="40"/>
  <c r="DW2" i="40"/>
  <c r="DV2" i="40"/>
  <c r="DU2" i="40"/>
  <c r="DT2" i="40"/>
  <c r="DS2" i="40"/>
  <c r="DR2" i="40"/>
  <c r="DQ2" i="40"/>
  <c r="DP2" i="40"/>
  <c r="DO2" i="40"/>
  <c r="DN2" i="40"/>
  <c r="DK2" i="40"/>
  <c r="DJ2" i="40"/>
  <c r="DI2" i="40"/>
  <c r="DH2" i="40"/>
  <c r="DG2" i="40"/>
  <c r="DF2" i="40"/>
  <c r="DE2" i="40"/>
  <c r="DD2" i="40"/>
  <c r="DC2" i="40"/>
  <c r="DB2" i="40"/>
  <c r="DA2" i="40"/>
  <c r="CV2" i="40"/>
  <c r="CU2" i="40"/>
  <c r="CT2" i="40"/>
  <c r="CS2" i="40"/>
  <c r="GN2" i="40" s="1"/>
  <c r="CR2" i="40"/>
  <c r="CQ2" i="40"/>
  <c r="CP2" i="40"/>
  <c r="CO2" i="40"/>
  <c r="DZ2" i="40" s="1"/>
  <c r="CN2" i="40"/>
  <c r="CM2" i="40"/>
  <c r="CL2" i="40"/>
  <c r="CG2" i="40"/>
  <c r="DL2" i="40" s="1"/>
  <c r="CG2" i="40" a="1"/>
  <c r="AW2" i="40"/>
  <c r="AV2" i="40"/>
  <c r="AX2" i="40" s="1"/>
  <c r="J2" i="40"/>
  <c r="G2" i="40"/>
  <c r="IQ2" i="38"/>
  <c r="IL2" i="38"/>
  <c r="HX2" i="38"/>
  <c r="IW2" i="38" s="1"/>
  <c r="HX2" i="38" a="1"/>
  <c r="HW2" i="38" a="1"/>
  <c r="HW2" i="38" s="1"/>
  <c r="IV2" i="38" s="1"/>
  <c r="HV2" i="38" a="1"/>
  <c r="HV2" i="38" s="1"/>
  <c r="IU2" i="38" s="1"/>
  <c r="HU2" i="38" a="1"/>
  <c r="HU2" i="38" s="1"/>
  <c r="IT2" i="38" s="1"/>
  <c r="HT2" i="38" a="1"/>
  <c r="HT2" i="38" s="1"/>
  <c r="IS2" i="38" s="1"/>
  <c r="HS2" i="38"/>
  <c r="IR2" i="38" s="1"/>
  <c r="HS2" i="38" a="1"/>
  <c r="HR2" i="38"/>
  <c r="HR2" i="38" a="1"/>
  <c r="HQ2" i="38" a="1"/>
  <c r="HQ2" i="38" s="1"/>
  <c r="IP2" i="38" s="1"/>
  <c r="HP2" i="38" a="1"/>
  <c r="HP2" i="38" s="1"/>
  <c r="IO2" i="38" s="1"/>
  <c r="HL2" i="38"/>
  <c r="HJ2" i="38"/>
  <c r="HI2" i="38"/>
  <c r="HH2" i="38"/>
  <c r="HB2" i="38"/>
  <c r="HA2" i="38"/>
  <c r="GZ2" i="38"/>
  <c r="GY2" i="38"/>
  <c r="GX2" i="38"/>
  <c r="GW2" i="38"/>
  <c r="GV2" i="38"/>
  <c r="GU2" i="38"/>
  <c r="HC2" i="38" s="1"/>
  <c r="GT2" i="38"/>
  <c r="GP2" i="38"/>
  <c r="GI2" i="38"/>
  <c r="GH2" i="38"/>
  <c r="GG2" i="38"/>
  <c r="GF2" i="38"/>
  <c r="GE2" i="38"/>
  <c r="GD2" i="38"/>
  <c r="GC2" i="38"/>
  <c r="GB2" i="38"/>
  <c r="GA2" i="38"/>
  <c r="FZ2" i="38"/>
  <c r="FY2" i="38"/>
  <c r="FX2" i="38"/>
  <c r="FW2" i="38"/>
  <c r="FV2" i="38"/>
  <c r="FU2" i="38"/>
  <c r="FT2" i="38"/>
  <c r="FS2" i="38"/>
  <c r="FR2" i="38"/>
  <c r="FQ2" i="38"/>
  <c r="FO2" i="38"/>
  <c r="FN2" i="38"/>
  <c r="FJ2" i="38"/>
  <c r="FM2" i="38" s="1"/>
  <c r="FI2" i="38"/>
  <c r="FL2" i="38" s="1"/>
  <c r="FH2" i="38"/>
  <c r="FK2" i="38" s="1"/>
  <c r="FG2" i="38"/>
  <c r="FF2" i="38"/>
  <c r="FP2" i="38" s="1"/>
  <c r="FE2" i="38"/>
  <c r="FD2" i="38"/>
  <c r="FC2" i="38"/>
  <c r="FB2" i="38"/>
  <c r="FA2" i="38"/>
  <c r="EZ2" i="38"/>
  <c r="EY2" i="38"/>
  <c r="EX2" i="38"/>
  <c r="EW2" i="38"/>
  <c r="EV2" i="38"/>
  <c r="EU2" i="38"/>
  <c r="ET2" i="38"/>
  <c r="ES2" i="38"/>
  <c r="ER2" i="38"/>
  <c r="EQ2" i="38"/>
  <c r="EP2" i="38"/>
  <c r="EO2" i="38"/>
  <c r="EN2" i="38"/>
  <c r="EM2" i="38"/>
  <c r="EL2" i="38"/>
  <c r="EK2" i="38"/>
  <c r="EJ2" i="38"/>
  <c r="EI2" i="38"/>
  <c r="EH2" i="38"/>
  <c r="EG2" i="38"/>
  <c r="EF2" i="38"/>
  <c r="EE2" i="38"/>
  <c r="ED2" i="38"/>
  <c r="EC2" i="38"/>
  <c r="EB2" i="38"/>
  <c r="EA2" i="38"/>
  <c r="DY2" i="38"/>
  <c r="DX2" i="38"/>
  <c r="DW2" i="38"/>
  <c r="DV2" i="38"/>
  <c r="DU2" i="38"/>
  <c r="DT2" i="38"/>
  <c r="DS2" i="38"/>
  <c r="DR2" i="38"/>
  <c r="DQ2" i="38"/>
  <c r="DP2" i="38"/>
  <c r="DO2" i="38"/>
  <c r="DN2" i="38"/>
  <c r="DK2" i="38"/>
  <c r="DJ2" i="38"/>
  <c r="DI2" i="38"/>
  <c r="DH2" i="38"/>
  <c r="DG2" i="38"/>
  <c r="DF2" i="38"/>
  <c r="DE2" i="38"/>
  <c r="DD2" i="38"/>
  <c r="DC2" i="38"/>
  <c r="DB2" i="38"/>
  <c r="DA2" i="38"/>
  <c r="CV2" i="38"/>
  <c r="CU2" i="38"/>
  <c r="CT2" i="38"/>
  <c r="CS2" i="38"/>
  <c r="GN2" i="38" s="1"/>
  <c r="CR2" i="38"/>
  <c r="GM2" i="38" s="1"/>
  <c r="CQ2" i="38"/>
  <c r="GL2" i="38" s="1"/>
  <c r="CP2" i="38"/>
  <c r="GJ2" i="38" s="1"/>
  <c r="GK2" i="38" s="1"/>
  <c r="CO2" i="38"/>
  <c r="DZ2" i="38" s="1"/>
  <c r="CN2" i="38"/>
  <c r="CM2" i="38"/>
  <c r="CL2" i="38"/>
  <c r="CG2" i="38" a="1"/>
  <c r="CG2" i="38" s="1"/>
  <c r="AW2" i="38"/>
  <c r="AV2" i="38"/>
  <c r="AX2" i="38" s="1"/>
  <c r="J2" i="38"/>
  <c r="G2" i="38"/>
  <c r="IL4" i="38"/>
  <c r="HX4" i="38"/>
  <c r="IW4" i="38" s="1"/>
  <c r="HX4" i="38" a="1"/>
  <c r="HW4" i="38" a="1"/>
  <c r="HW4" i="38" s="1"/>
  <c r="IV4" i="38" s="1"/>
  <c r="HV4" i="38" a="1"/>
  <c r="HV4" i="38" s="1"/>
  <c r="IU4" i="38" s="1"/>
  <c r="HU4" i="38" a="1"/>
  <c r="HU4" i="38" s="1"/>
  <c r="IT4" i="38" s="1"/>
  <c r="HT4" i="38" a="1"/>
  <c r="HT4" i="38" s="1"/>
  <c r="IS4" i="38" s="1"/>
  <c r="HS4" i="38" a="1"/>
  <c r="HS4" i="38" s="1"/>
  <c r="IR4" i="38" s="1"/>
  <c r="HR4" i="38"/>
  <c r="IQ4" i="38" s="1"/>
  <c r="HR4" i="38" a="1"/>
  <c r="HQ4" i="38" a="1"/>
  <c r="HQ4" i="38" s="1"/>
  <c r="IP4" i="38" s="1"/>
  <c r="HP4" i="38" a="1"/>
  <c r="HP4" i="38" s="1"/>
  <c r="IO4" i="38" s="1"/>
  <c r="HL4" i="38"/>
  <c r="HJ4" i="38"/>
  <c r="HH4" i="38"/>
  <c r="HB4" i="38"/>
  <c r="HA4" i="38"/>
  <c r="GZ4" i="38"/>
  <c r="GY4" i="38"/>
  <c r="GX4" i="38"/>
  <c r="GW4" i="38"/>
  <c r="GV4" i="38"/>
  <c r="GU4" i="38"/>
  <c r="GT4" i="38"/>
  <c r="HC4" i="38" s="1"/>
  <c r="GP4" i="38"/>
  <c r="GI4" i="38"/>
  <c r="GH4" i="38"/>
  <c r="GG4" i="38"/>
  <c r="GF4" i="38"/>
  <c r="GE4" i="38"/>
  <c r="GD4" i="38"/>
  <c r="GC4" i="38"/>
  <c r="GB4" i="38"/>
  <c r="GA4" i="38"/>
  <c r="FZ4" i="38"/>
  <c r="FY4" i="38"/>
  <c r="FX4" i="38"/>
  <c r="FW4" i="38"/>
  <c r="FV4" i="38"/>
  <c r="FU4" i="38"/>
  <c r="FT4" i="38"/>
  <c r="FS4" i="38"/>
  <c r="FR4" i="38"/>
  <c r="FQ4" i="38"/>
  <c r="FJ4" i="38"/>
  <c r="FM4" i="38" s="1"/>
  <c r="FI4" i="38"/>
  <c r="FL4" i="38" s="1"/>
  <c r="FH4" i="38"/>
  <c r="FK4" i="38" s="1"/>
  <c r="FG4" i="38"/>
  <c r="FO4" i="38" s="1"/>
  <c r="FF4" i="38"/>
  <c r="FE4" i="38"/>
  <c r="FD4" i="38"/>
  <c r="FC4" i="38"/>
  <c r="FB4" i="38"/>
  <c r="FA4" i="38"/>
  <c r="EZ4" i="38"/>
  <c r="EY4" i="38"/>
  <c r="EX4" i="38"/>
  <c r="EW4" i="38"/>
  <c r="EV4" i="38"/>
  <c r="EU4" i="38"/>
  <c r="ET4" i="38"/>
  <c r="ES4" i="38"/>
  <c r="ER4" i="38"/>
  <c r="EQ4" i="38"/>
  <c r="EP4" i="38"/>
  <c r="EO4" i="38"/>
  <c r="EN4" i="38"/>
  <c r="EM4" i="38"/>
  <c r="EL4" i="38"/>
  <c r="EK4" i="38"/>
  <c r="EJ4" i="38"/>
  <c r="EI4" i="38"/>
  <c r="EH4" i="38"/>
  <c r="EG4" i="38"/>
  <c r="EF4" i="38"/>
  <c r="EE4" i="38"/>
  <c r="ED4" i="38"/>
  <c r="EC4" i="38"/>
  <c r="EB4" i="38"/>
  <c r="EA4" i="38"/>
  <c r="DW4" i="38"/>
  <c r="DV4" i="38"/>
  <c r="DU4" i="38"/>
  <c r="DT4" i="38"/>
  <c r="DS4" i="38"/>
  <c r="DR4" i="38"/>
  <c r="DQ4" i="38"/>
  <c r="DP4" i="38"/>
  <c r="DO4" i="38"/>
  <c r="DN4" i="38"/>
  <c r="DK4" i="38"/>
  <c r="DJ4" i="38"/>
  <c r="DI4" i="38"/>
  <c r="DH4" i="38"/>
  <c r="DG4" i="38"/>
  <c r="DF4" i="38"/>
  <c r="DE4" i="38"/>
  <c r="DD4" i="38"/>
  <c r="DC4" i="38"/>
  <c r="DB4" i="38"/>
  <c r="DA4" i="38"/>
  <c r="CV4" i="38"/>
  <c r="CU4" i="38"/>
  <c r="CT4" i="38"/>
  <c r="CS4" i="38"/>
  <c r="GN4" i="38" s="1"/>
  <c r="CR4" i="38"/>
  <c r="GM4" i="38" s="1"/>
  <c r="CQ4" i="38"/>
  <c r="GL4" i="38" s="1"/>
  <c r="CP4" i="38"/>
  <c r="GJ4" i="38" s="1"/>
  <c r="GK4" i="38" s="1"/>
  <c r="CO4" i="38"/>
  <c r="DZ4" i="38" s="1"/>
  <c r="CN4" i="38"/>
  <c r="DY4" i="38" s="1"/>
  <c r="CM4" i="38"/>
  <c r="DX4" i="38" s="1"/>
  <c r="CL4" i="38"/>
  <c r="CG4" i="38" a="1"/>
  <c r="CG4" i="38" s="1"/>
  <c r="AW4" i="38"/>
  <c r="AV4" i="38"/>
  <c r="J4" i="38"/>
  <c r="HI4" i="38" s="1"/>
  <c r="G4" i="38"/>
  <c r="HX3" i="38"/>
  <c r="IW3" i="38" s="1"/>
  <c r="HX3" i="38" a="1"/>
  <c r="HW3" i="38" a="1"/>
  <c r="HW3" i="38" s="1"/>
  <c r="IV3" i="38" s="1"/>
  <c r="HV3" i="38" a="1"/>
  <c r="HV3" i="38" s="1"/>
  <c r="IU3" i="38" s="1"/>
  <c r="HU3" i="38" a="1"/>
  <c r="HU3" i="38" s="1"/>
  <c r="IT3" i="38" s="1"/>
  <c r="HT3" i="38" a="1"/>
  <c r="HT3" i="38" s="1"/>
  <c r="IS3" i="38" s="1"/>
  <c r="HS3" i="38" a="1"/>
  <c r="HS3" i="38" s="1"/>
  <c r="IR3" i="38" s="1"/>
  <c r="HR3" i="38"/>
  <c r="IQ3" i="38" s="1"/>
  <c r="HR3" i="38" a="1"/>
  <c r="HQ3" i="38" a="1"/>
  <c r="HQ3" i="38" s="1"/>
  <c r="IP3" i="38" s="1"/>
  <c r="HP3" i="38" a="1"/>
  <c r="HP3" i="38" s="1"/>
  <c r="IO3" i="38" s="1"/>
  <c r="HL3" i="38"/>
  <c r="HJ3" i="38"/>
  <c r="HH3" i="38"/>
  <c r="HI3" i="38" s="1"/>
  <c r="HB3" i="38"/>
  <c r="HA3" i="38"/>
  <c r="GZ3" i="38"/>
  <c r="GY3" i="38"/>
  <c r="GX3" i="38"/>
  <c r="GW3" i="38"/>
  <c r="GV3" i="38"/>
  <c r="GU3" i="38"/>
  <c r="GT3" i="38"/>
  <c r="HC3" i="38" s="1"/>
  <c r="GP3" i="38"/>
  <c r="GM3" i="38"/>
  <c r="GL3" i="38"/>
  <c r="GJ3" i="38"/>
  <c r="GK3" i="38" s="1"/>
  <c r="GI3" i="38"/>
  <c r="GH3" i="38"/>
  <c r="GG3" i="38"/>
  <c r="GF3" i="38"/>
  <c r="GE3" i="38"/>
  <c r="GB3" i="38"/>
  <c r="GA3" i="38"/>
  <c r="FZ3" i="38"/>
  <c r="FY3" i="38"/>
  <c r="FW3" i="38"/>
  <c r="FV3" i="38"/>
  <c r="FU3" i="38"/>
  <c r="FT3" i="38"/>
  <c r="FS3" i="38"/>
  <c r="FR3" i="38"/>
  <c r="FQ3" i="38"/>
  <c r="FP3" i="38"/>
  <c r="FO3" i="38"/>
  <c r="FJ3" i="38"/>
  <c r="FM3" i="38" s="1"/>
  <c r="FI3" i="38"/>
  <c r="FL3" i="38" s="1"/>
  <c r="FH3" i="38"/>
  <c r="FK3" i="38" s="1"/>
  <c r="FG3" i="38"/>
  <c r="FF3" i="38"/>
  <c r="FE3" i="38"/>
  <c r="FN3" i="38" s="1"/>
  <c r="FD3" i="38"/>
  <c r="FB3" i="38"/>
  <c r="FA3" i="38"/>
  <c r="EZ3" i="38"/>
  <c r="EY3" i="38"/>
  <c r="EX3" i="38"/>
  <c r="EW3" i="38"/>
  <c r="EV3" i="38"/>
  <c r="EU3" i="38"/>
  <c r="ET3" i="38"/>
  <c r="ES3" i="38"/>
  <c r="ER3" i="38"/>
  <c r="EQ3" i="38"/>
  <c r="EP3" i="38"/>
  <c r="EO3" i="38"/>
  <c r="EN3" i="38"/>
  <c r="EM3" i="38"/>
  <c r="EL3" i="38"/>
  <c r="EK3" i="38"/>
  <c r="EJ3" i="38"/>
  <c r="EI3" i="38"/>
  <c r="EH3" i="38"/>
  <c r="EG3" i="38"/>
  <c r="EF3" i="38"/>
  <c r="EE3" i="38"/>
  <c r="ED3" i="38"/>
  <c r="EC3" i="38"/>
  <c r="EB3" i="38"/>
  <c r="EA3" i="38"/>
  <c r="DU3" i="38"/>
  <c r="DT3" i="38"/>
  <c r="DS3" i="38"/>
  <c r="DR3" i="38"/>
  <c r="DQ3" i="38"/>
  <c r="DP3" i="38"/>
  <c r="DO3" i="38"/>
  <c r="DN3" i="38"/>
  <c r="DK3" i="38"/>
  <c r="DJ3" i="38"/>
  <c r="DI3" i="38"/>
  <c r="DH3" i="38"/>
  <c r="DG3" i="38"/>
  <c r="DF3" i="38"/>
  <c r="DE3" i="38"/>
  <c r="DD3" i="38"/>
  <c r="DB3" i="38"/>
  <c r="DA3" i="38"/>
  <c r="CV3" i="38"/>
  <c r="CU3" i="38"/>
  <c r="CT3" i="38"/>
  <c r="CS3" i="38"/>
  <c r="GN3" i="38" s="1"/>
  <c r="CR3" i="38"/>
  <c r="CQ3" i="38"/>
  <c r="CP3" i="38"/>
  <c r="CO3" i="38"/>
  <c r="DZ3" i="38" s="1"/>
  <c r="CN3" i="38"/>
  <c r="DY3" i="38" s="1"/>
  <c r="CM3" i="38"/>
  <c r="DX3" i="38" s="1"/>
  <c r="CL3" i="38"/>
  <c r="DW3" i="38" s="1"/>
  <c r="CG3" i="38"/>
  <c r="CG3" i="38" a="1"/>
  <c r="AW3" i="38"/>
  <c r="AV3" i="38"/>
  <c r="J3" i="38"/>
  <c r="G3" i="38"/>
  <c r="HX3" i="36" a="1"/>
  <c r="HX3" i="36" s="1"/>
  <c r="IW3" i="36" s="1"/>
  <c r="HW3" i="36" a="1"/>
  <c r="HW3" i="36" s="1"/>
  <c r="IV3" i="36" s="1"/>
  <c r="HV3" i="36" a="1"/>
  <c r="HV3" i="36" s="1"/>
  <c r="IU3" i="36" s="1"/>
  <c r="HU3" i="36" a="1"/>
  <c r="HU3" i="36" s="1"/>
  <c r="IT3" i="36" s="1"/>
  <c r="HT3" i="36" a="1"/>
  <c r="HT3" i="36" s="1"/>
  <c r="IS3" i="36" s="1"/>
  <c r="HS3" i="36" a="1"/>
  <c r="HS3" i="36" s="1"/>
  <c r="IR3" i="36" s="1"/>
  <c r="HR3" i="36" a="1"/>
  <c r="HR3" i="36" s="1"/>
  <c r="IQ3" i="36" s="1"/>
  <c r="HQ3" i="36" a="1"/>
  <c r="HQ3" i="36" s="1"/>
  <c r="IP3" i="36" s="1"/>
  <c r="HP3" i="36" a="1"/>
  <c r="HP3" i="36" s="1"/>
  <c r="IO3" i="36" s="1"/>
  <c r="HL3" i="36"/>
  <c r="HJ3" i="36"/>
  <c r="HH3" i="36"/>
  <c r="HI3" i="36" s="1"/>
  <c r="HB3" i="36"/>
  <c r="HA3" i="36"/>
  <c r="GZ3" i="36"/>
  <c r="GY3" i="36"/>
  <c r="GX3" i="36"/>
  <c r="GW3" i="36"/>
  <c r="GV3" i="36"/>
  <c r="GU3" i="36"/>
  <c r="GT3" i="36"/>
  <c r="HC3" i="36" s="1"/>
  <c r="GP3" i="36"/>
  <c r="GM3" i="36"/>
  <c r="GL3" i="36"/>
  <c r="GJ3" i="36"/>
  <c r="GK3" i="36" s="1"/>
  <c r="GI3" i="36"/>
  <c r="GH3" i="36"/>
  <c r="GG3" i="36"/>
  <c r="GF3" i="36"/>
  <c r="GE3" i="36"/>
  <c r="GB3" i="36"/>
  <c r="GA3" i="36"/>
  <c r="FZ3" i="36"/>
  <c r="FY3" i="36"/>
  <c r="FW3" i="36"/>
  <c r="FV3" i="36"/>
  <c r="FU3" i="36"/>
  <c r="FT3" i="36"/>
  <c r="FS3" i="36"/>
  <c r="FR3" i="36"/>
  <c r="FQ3" i="36"/>
  <c r="FP3" i="36"/>
  <c r="FJ3" i="36"/>
  <c r="FM3" i="36" s="1"/>
  <c r="FI3" i="36"/>
  <c r="FL3" i="36" s="1"/>
  <c r="FH3" i="36"/>
  <c r="FK3" i="36" s="1"/>
  <c r="FG3" i="36"/>
  <c r="FF3" i="36"/>
  <c r="FE3" i="36"/>
  <c r="FO3" i="36" s="1"/>
  <c r="FD3" i="36"/>
  <c r="FB3" i="36"/>
  <c r="FA3" i="36"/>
  <c r="EZ3" i="36"/>
  <c r="EY3" i="36"/>
  <c r="EX3" i="36"/>
  <c r="EW3" i="36"/>
  <c r="EV3" i="36"/>
  <c r="EU3" i="36"/>
  <c r="ET3" i="36"/>
  <c r="ES3" i="36"/>
  <c r="ER3" i="36"/>
  <c r="EQ3" i="36"/>
  <c r="EP3" i="36"/>
  <c r="EO3" i="36"/>
  <c r="EN3" i="36"/>
  <c r="EM3" i="36"/>
  <c r="EL3" i="36"/>
  <c r="EK3" i="36"/>
  <c r="EJ3" i="36"/>
  <c r="EI3" i="36"/>
  <c r="EH3" i="36"/>
  <c r="EG3" i="36"/>
  <c r="EF3" i="36"/>
  <c r="EE3" i="36"/>
  <c r="ED3" i="36"/>
  <c r="EC3" i="36"/>
  <c r="EB3" i="36"/>
  <c r="EA3" i="36"/>
  <c r="DU3" i="36"/>
  <c r="DT3" i="36"/>
  <c r="DS3" i="36"/>
  <c r="DR3" i="36"/>
  <c r="DQ3" i="36"/>
  <c r="DP3" i="36"/>
  <c r="DO3" i="36"/>
  <c r="DN3" i="36"/>
  <c r="DK3" i="36"/>
  <c r="DJ3" i="36"/>
  <c r="DI3" i="36"/>
  <c r="DH3" i="36"/>
  <c r="DG3" i="36"/>
  <c r="DF3" i="36"/>
  <c r="DE3" i="36"/>
  <c r="DD3" i="36"/>
  <c r="DB3" i="36"/>
  <c r="DA3" i="36"/>
  <c r="CV3" i="36"/>
  <c r="CU3" i="36"/>
  <c r="CT3" i="36"/>
  <c r="CS3" i="36"/>
  <c r="GN3" i="36" s="1"/>
  <c r="CR3" i="36"/>
  <c r="CQ3" i="36"/>
  <c r="CP3" i="36"/>
  <c r="CO3" i="36"/>
  <c r="DZ3" i="36" s="1"/>
  <c r="CN3" i="36"/>
  <c r="DY3" i="36" s="1"/>
  <c r="CM3" i="36"/>
  <c r="DX3" i="36" s="1"/>
  <c r="CL3" i="36"/>
  <c r="DW3" i="36" s="1"/>
  <c r="CG3" i="36" a="1"/>
  <c r="CG3" i="36" s="1"/>
  <c r="AW3" i="36"/>
  <c r="AV3" i="36"/>
  <c r="J3" i="36"/>
  <c r="G3" i="36"/>
  <c r="IQ2" i="36"/>
  <c r="IL2" i="36"/>
  <c r="HX2" i="36"/>
  <c r="IW2" i="36" s="1"/>
  <c r="HX2" i="36" a="1"/>
  <c r="HW2" i="36" a="1"/>
  <c r="HW2" i="36" s="1"/>
  <c r="IV2" i="36" s="1"/>
  <c r="HV2" i="36" a="1"/>
  <c r="HV2" i="36" s="1"/>
  <c r="IU2" i="36" s="1"/>
  <c r="HU2" i="36" a="1"/>
  <c r="HU2" i="36" s="1"/>
  <c r="IT2" i="36" s="1"/>
  <c r="HT2" i="36" a="1"/>
  <c r="HT2" i="36" s="1"/>
  <c r="IS2" i="36" s="1"/>
  <c r="HS2" i="36"/>
  <c r="IR2" i="36" s="1"/>
  <c r="HS2" i="36" a="1"/>
  <c r="HR2" i="36"/>
  <c r="HR2" i="36" a="1"/>
  <c r="HQ2" i="36" a="1"/>
  <c r="HQ2" i="36" s="1"/>
  <c r="IP2" i="36" s="1"/>
  <c r="HP2" i="36" a="1"/>
  <c r="HP2" i="36" s="1"/>
  <c r="IO2" i="36" s="1"/>
  <c r="HL2" i="36"/>
  <c r="HJ2" i="36"/>
  <c r="HI2" i="36"/>
  <c r="HH2" i="36"/>
  <c r="HB2" i="36"/>
  <c r="HA2" i="36"/>
  <c r="GZ2" i="36"/>
  <c r="GY2" i="36"/>
  <c r="GX2" i="36"/>
  <c r="GW2" i="36"/>
  <c r="GV2" i="36"/>
  <c r="GU2" i="36"/>
  <c r="HC2" i="36" s="1"/>
  <c r="GT2" i="36"/>
  <c r="GP2" i="36"/>
  <c r="GI2" i="36"/>
  <c r="GH2" i="36"/>
  <c r="GG2" i="36"/>
  <c r="GF2" i="36"/>
  <c r="GE2" i="36"/>
  <c r="GD2" i="36"/>
  <c r="GC2" i="36"/>
  <c r="GB2" i="36"/>
  <c r="GA2" i="36"/>
  <c r="FZ2" i="36"/>
  <c r="FY2" i="36"/>
  <c r="FX2" i="36"/>
  <c r="FW2" i="36"/>
  <c r="FV2" i="36"/>
  <c r="FU2" i="36"/>
  <c r="FT2" i="36"/>
  <c r="FS2" i="36"/>
  <c r="FR2" i="36"/>
  <c r="FQ2" i="36"/>
  <c r="FP2" i="36"/>
  <c r="FO2" i="36"/>
  <c r="FN2" i="36"/>
  <c r="FJ2" i="36"/>
  <c r="FM2" i="36" s="1"/>
  <c r="FI2" i="36"/>
  <c r="FL2" i="36" s="1"/>
  <c r="FH2" i="36"/>
  <c r="FK2" i="36" s="1"/>
  <c r="FG2" i="36"/>
  <c r="FF2" i="36"/>
  <c r="FE2" i="36"/>
  <c r="FD2" i="36"/>
  <c r="FC2" i="36"/>
  <c r="FB2" i="36"/>
  <c r="FA2" i="36"/>
  <c r="EZ2" i="36"/>
  <c r="EY2" i="36"/>
  <c r="EX2" i="36"/>
  <c r="EW2" i="36"/>
  <c r="EV2" i="36"/>
  <c r="EU2" i="36"/>
  <c r="ET2" i="36"/>
  <c r="ES2" i="36"/>
  <c r="ER2" i="36"/>
  <c r="EQ2" i="36"/>
  <c r="EP2" i="36"/>
  <c r="EO2" i="36"/>
  <c r="EN2" i="36"/>
  <c r="EM2" i="36"/>
  <c r="EL2" i="36"/>
  <c r="EK2" i="36"/>
  <c r="EJ2" i="36"/>
  <c r="EI2" i="36"/>
  <c r="EH2" i="36"/>
  <c r="EG2" i="36"/>
  <c r="EF2" i="36"/>
  <c r="EE2" i="36"/>
  <c r="ED2" i="36"/>
  <c r="EC2" i="36"/>
  <c r="EB2" i="36"/>
  <c r="EA2" i="36"/>
  <c r="DY2" i="36"/>
  <c r="DX2" i="36"/>
  <c r="DW2" i="36"/>
  <c r="DV2" i="36"/>
  <c r="DU2" i="36"/>
  <c r="DT2" i="36"/>
  <c r="DS2" i="36"/>
  <c r="DR2" i="36"/>
  <c r="DQ2" i="36"/>
  <c r="DP2" i="36"/>
  <c r="DO2" i="36"/>
  <c r="DN2" i="36"/>
  <c r="DK2" i="36"/>
  <c r="DJ2" i="36"/>
  <c r="DI2" i="36"/>
  <c r="DH2" i="36"/>
  <c r="DG2" i="36"/>
  <c r="DF2" i="36"/>
  <c r="DE2" i="36"/>
  <c r="DD2" i="36"/>
  <c r="DC2" i="36"/>
  <c r="DB2" i="36"/>
  <c r="DA2" i="36"/>
  <c r="CV2" i="36"/>
  <c r="CU2" i="36"/>
  <c r="CT2" i="36"/>
  <c r="CS2" i="36"/>
  <c r="GN2" i="36" s="1"/>
  <c r="CR2" i="36"/>
  <c r="GM2" i="36" s="1"/>
  <c r="CQ2" i="36"/>
  <c r="GL2" i="36" s="1"/>
  <c r="CP2" i="36"/>
  <c r="GJ2" i="36" s="1"/>
  <c r="GK2" i="36" s="1"/>
  <c r="CO2" i="36"/>
  <c r="DZ2" i="36" s="1"/>
  <c r="CN2" i="36"/>
  <c r="CM2" i="36"/>
  <c r="CL2" i="36"/>
  <c r="CG2" i="36" a="1"/>
  <c r="CG2" i="36" s="1"/>
  <c r="AW2" i="36"/>
  <c r="AV2" i="36"/>
  <c r="AX2" i="36" s="1"/>
  <c r="J2" i="36"/>
  <c r="G2" i="36"/>
  <c r="IL2" i="49"/>
  <c r="HX2" i="49" a="1"/>
  <c r="HX2" i="49" s="1"/>
  <c r="IW2" i="49" s="1"/>
  <c r="HW2" i="49" a="1"/>
  <c r="HW2" i="49" s="1"/>
  <c r="IV2" i="49" s="1"/>
  <c r="HV2" i="49" a="1"/>
  <c r="HV2" i="49" s="1"/>
  <c r="IU2" i="49" s="1"/>
  <c r="HU2" i="49" a="1"/>
  <c r="HU2" i="49" s="1"/>
  <c r="IT2" i="49" s="1"/>
  <c r="HT2" i="49" a="1"/>
  <c r="HT2" i="49" s="1"/>
  <c r="IS2" i="49" s="1"/>
  <c r="HS2" i="49"/>
  <c r="IR2" i="49" s="1"/>
  <c r="HS2" i="49" a="1"/>
  <c r="HR2" i="49" a="1"/>
  <c r="HR2" i="49" s="1"/>
  <c r="IQ2" i="49" s="1"/>
  <c r="HQ2" i="49" a="1"/>
  <c r="HQ2" i="49" s="1"/>
  <c r="IP2" i="49" s="1"/>
  <c r="HP2" i="49" a="1"/>
  <c r="HP2" i="49" s="1"/>
  <c r="IO2" i="49" s="1"/>
  <c r="HL2" i="49"/>
  <c r="HJ2" i="49"/>
  <c r="HI2" i="49"/>
  <c r="HH2" i="49"/>
  <c r="HB2" i="49"/>
  <c r="HA2" i="49"/>
  <c r="GZ2" i="49"/>
  <c r="GY2" i="49"/>
  <c r="GX2" i="49"/>
  <c r="GW2" i="49"/>
  <c r="GV2" i="49"/>
  <c r="GU2" i="49"/>
  <c r="HC2" i="49" s="1"/>
  <c r="GT2" i="49"/>
  <c r="GP2" i="49"/>
  <c r="GI2" i="49"/>
  <c r="GH2" i="49"/>
  <c r="GG2" i="49"/>
  <c r="GF2" i="49"/>
  <c r="GE2" i="49"/>
  <c r="GD2" i="49"/>
  <c r="GC2" i="49"/>
  <c r="GB2" i="49"/>
  <c r="GA2" i="49"/>
  <c r="FZ2" i="49"/>
  <c r="FY2" i="49"/>
  <c r="FX2" i="49"/>
  <c r="FW2" i="49"/>
  <c r="FV2" i="49"/>
  <c r="FU2" i="49"/>
  <c r="FT2" i="49"/>
  <c r="FS2" i="49"/>
  <c r="FR2" i="49"/>
  <c r="FQ2" i="49"/>
  <c r="FP2" i="49"/>
  <c r="FO2" i="49"/>
  <c r="FN2" i="49"/>
  <c r="FJ2" i="49"/>
  <c r="FM2" i="49" s="1"/>
  <c r="FI2" i="49"/>
  <c r="FL2" i="49" s="1"/>
  <c r="FH2" i="49"/>
  <c r="FK2" i="49" s="1"/>
  <c r="FG2" i="49"/>
  <c r="FF2" i="49"/>
  <c r="FE2" i="49"/>
  <c r="FD2" i="49"/>
  <c r="FC2" i="49"/>
  <c r="FB2" i="49"/>
  <c r="FA2" i="49"/>
  <c r="EZ2" i="49"/>
  <c r="EY2" i="49"/>
  <c r="EX2" i="49"/>
  <c r="EW2" i="49"/>
  <c r="EV2" i="49"/>
  <c r="EU2" i="49"/>
  <c r="ET2" i="49"/>
  <c r="ES2" i="49"/>
  <c r="ER2" i="49"/>
  <c r="EQ2" i="49"/>
  <c r="EP2" i="49"/>
  <c r="EO2" i="49"/>
  <c r="EN2" i="49"/>
  <c r="EM2" i="49"/>
  <c r="EL2" i="49"/>
  <c r="EK2" i="49"/>
  <c r="EJ2" i="49"/>
  <c r="EI2" i="49"/>
  <c r="EH2" i="49"/>
  <c r="EG2" i="49"/>
  <c r="EF2" i="49"/>
  <c r="EE2" i="49"/>
  <c r="ED2" i="49"/>
  <c r="EC2" i="49"/>
  <c r="EB2" i="49"/>
  <c r="EA2" i="49"/>
  <c r="DY2" i="49"/>
  <c r="DX2" i="49"/>
  <c r="DV2" i="49"/>
  <c r="DU2" i="49"/>
  <c r="DT2" i="49"/>
  <c r="DS2" i="49"/>
  <c r="DR2" i="49"/>
  <c r="DQ2" i="49"/>
  <c r="DP2" i="49"/>
  <c r="DO2" i="49"/>
  <c r="DN2" i="49"/>
  <c r="DK2" i="49"/>
  <c r="DJ2" i="49"/>
  <c r="DI2" i="49"/>
  <c r="DH2" i="49"/>
  <c r="DG2" i="49"/>
  <c r="DF2" i="49"/>
  <c r="DE2" i="49"/>
  <c r="DD2" i="49"/>
  <c r="DC2" i="49"/>
  <c r="DB2" i="49"/>
  <c r="DA2" i="49"/>
  <c r="CV2" i="49"/>
  <c r="CU2" i="49"/>
  <c r="CT2" i="49"/>
  <c r="CS2" i="49"/>
  <c r="GN2" i="49" s="1"/>
  <c r="CR2" i="49"/>
  <c r="GM2" i="49" s="1"/>
  <c r="CQ2" i="49"/>
  <c r="GL2" i="49" s="1"/>
  <c r="CP2" i="49"/>
  <c r="GJ2" i="49" s="1"/>
  <c r="GK2" i="49" s="1"/>
  <c r="CO2" i="49"/>
  <c r="DZ2" i="49" s="1"/>
  <c r="CN2" i="49"/>
  <c r="CM2" i="49"/>
  <c r="CL2" i="49"/>
  <c r="DW2" i="49" s="1"/>
  <c r="CG2" i="49" a="1"/>
  <c r="CG2" i="49" s="1"/>
  <c r="AW2" i="49"/>
  <c r="AV2" i="49"/>
  <c r="AX2" i="49" s="1"/>
  <c r="J2" i="49"/>
  <c r="G2" i="49"/>
  <c r="IP3" i="49"/>
  <c r="HX3" i="49" a="1"/>
  <c r="HX3" i="49" s="1"/>
  <c r="IW3" i="49" s="1"/>
  <c r="HW3" i="49"/>
  <c r="IV3" i="49" s="1"/>
  <c r="HW3" i="49" a="1"/>
  <c r="HV3" i="49" a="1"/>
  <c r="HV3" i="49" s="1"/>
  <c r="IU3" i="49" s="1"/>
  <c r="HU3" i="49" a="1"/>
  <c r="HU3" i="49" s="1"/>
  <c r="IT3" i="49" s="1"/>
  <c r="HT3" i="49" a="1"/>
  <c r="HT3" i="49" s="1"/>
  <c r="IS3" i="49" s="1"/>
  <c r="HS3" i="49" a="1"/>
  <c r="HS3" i="49" s="1"/>
  <c r="IR3" i="49" s="1"/>
  <c r="HR3" i="49" a="1"/>
  <c r="HR3" i="49" s="1"/>
  <c r="IQ3" i="49" s="1"/>
  <c r="HQ3" i="49"/>
  <c r="HQ3" i="49" a="1"/>
  <c r="HP3" i="49" a="1"/>
  <c r="HP3" i="49" s="1"/>
  <c r="IO3" i="49" s="1"/>
  <c r="HL3" i="49"/>
  <c r="HJ3" i="49"/>
  <c r="HH3" i="49"/>
  <c r="HI3" i="49" s="1"/>
  <c r="HB3" i="49"/>
  <c r="HA3" i="49"/>
  <c r="GZ3" i="49"/>
  <c r="GY3" i="49"/>
  <c r="GX3" i="49"/>
  <c r="GW3" i="49"/>
  <c r="GV3" i="49"/>
  <c r="GU3" i="49"/>
  <c r="GT3" i="49"/>
  <c r="HC3" i="49" s="1"/>
  <c r="GP3" i="49"/>
  <c r="GN3" i="49"/>
  <c r="GJ3" i="49"/>
  <c r="GK3" i="49" s="1"/>
  <c r="GI3" i="49"/>
  <c r="GH3" i="49"/>
  <c r="GG3" i="49"/>
  <c r="GF3" i="49"/>
  <c r="GE3" i="49"/>
  <c r="GB3" i="49"/>
  <c r="GA3" i="49"/>
  <c r="FZ3" i="49"/>
  <c r="FY3" i="49"/>
  <c r="FW3" i="49"/>
  <c r="FV3" i="49"/>
  <c r="FU3" i="49"/>
  <c r="FT3" i="49"/>
  <c r="FS3" i="49"/>
  <c r="FR3" i="49"/>
  <c r="FQ3" i="49"/>
  <c r="FP3" i="49"/>
  <c r="FJ3" i="49"/>
  <c r="FM3" i="49" s="1"/>
  <c r="FI3" i="49"/>
  <c r="FL3" i="49" s="1"/>
  <c r="FH3" i="49"/>
  <c r="FK3" i="49" s="1"/>
  <c r="FG3" i="49"/>
  <c r="FF3" i="49"/>
  <c r="FE3" i="49"/>
  <c r="FO3" i="49" s="1"/>
  <c r="FD3" i="49"/>
  <c r="FB3" i="49"/>
  <c r="FA3" i="49"/>
  <c r="EZ3" i="49"/>
  <c r="EY3" i="49"/>
  <c r="EX3" i="49"/>
  <c r="EW3" i="49"/>
  <c r="EV3" i="49"/>
  <c r="EU3" i="49"/>
  <c r="ET3" i="49"/>
  <c r="ES3" i="49"/>
  <c r="ER3" i="49"/>
  <c r="EQ3" i="49"/>
  <c r="EP3" i="49"/>
  <c r="EO3" i="49"/>
  <c r="EN3" i="49"/>
  <c r="EM3" i="49"/>
  <c r="EL3" i="49"/>
  <c r="EK3" i="49"/>
  <c r="EJ3" i="49"/>
  <c r="EI3" i="49"/>
  <c r="EH3" i="49"/>
  <c r="EG3" i="49"/>
  <c r="EF3" i="49"/>
  <c r="EE3" i="49"/>
  <c r="ED3" i="49"/>
  <c r="EC3" i="49"/>
  <c r="EB3" i="49"/>
  <c r="EA3" i="49"/>
  <c r="DU3" i="49"/>
  <c r="DT3" i="49"/>
  <c r="DS3" i="49"/>
  <c r="DR3" i="49"/>
  <c r="DQ3" i="49"/>
  <c r="DP3" i="49"/>
  <c r="DO3" i="49"/>
  <c r="DN3" i="49"/>
  <c r="DK3" i="49"/>
  <c r="DJ3" i="49"/>
  <c r="DI3" i="49"/>
  <c r="DH3" i="49"/>
  <c r="DG3" i="49"/>
  <c r="DF3" i="49"/>
  <c r="DE3" i="49"/>
  <c r="DD3" i="49"/>
  <c r="DB3" i="49"/>
  <c r="DA3" i="49"/>
  <c r="CV3" i="49"/>
  <c r="CU3" i="49"/>
  <c r="CT3" i="49"/>
  <c r="CS3" i="49"/>
  <c r="CR3" i="49"/>
  <c r="GM3" i="49" s="1"/>
  <c r="CQ3" i="49"/>
  <c r="GL3" i="49" s="1"/>
  <c r="CP3" i="49"/>
  <c r="CO3" i="49"/>
  <c r="DZ3" i="49" s="1"/>
  <c r="CN3" i="49"/>
  <c r="DY3" i="49" s="1"/>
  <c r="CM3" i="49"/>
  <c r="DX3" i="49" s="1"/>
  <c r="CL3" i="49"/>
  <c r="DW3" i="49" s="1"/>
  <c r="CG3" i="49" a="1"/>
  <c r="CG3" i="49" s="1"/>
  <c r="AW3" i="49"/>
  <c r="AV3" i="49"/>
  <c r="J3" i="49"/>
  <c r="G3" i="49"/>
  <c r="IP3" i="48"/>
  <c r="HX3" i="48" a="1"/>
  <c r="HX3" i="48" s="1"/>
  <c r="IW3" i="48" s="1"/>
  <c r="HW3" i="48"/>
  <c r="IV3" i="48" s="1"/>
  <c r="HW3" i="48" a="1"/>
  <c r="HV3" i="48" a="1"/>
  <c r="HV3" i="48" s="1"/>
  <c r="IU3" i="48" s="1"/>
  <c r="HU3" i="48" a="1"/>
  <c r="HU3" i="48" s="1"/>
  <c r="IT3" i="48" s="1"/>
  <c r="HT3" i="48" a="1"/>
  <c r="HT3" i="48" s="1"/>
  <c r="IS3" i="48" s="1"/>
  <c r="HS3" i="48" a="1"/>
  <c r="HS3" i="48" s="1"/>
  <c r="IR3" i="48" s="1"/>
  <c r="HR3" i="48" a="1"/>
  <c r="HR3" i="48" s="1"/>
  <c r="IQ3" i="48" s="1"/>
  <c r="HQ3" i="48"/>
  <c r="HQ3" i="48" a="1"/>
  <c r="HP3" i="48" a="1"/>
  <c r="HP3" i="48" s="1"/>
  <c r="IO3" i="48" s="1"/>
  <c r="HL3" i="48"/>
  <c r="HJ3" i="48"/>
  <c r="HH3" i="48"/>
  <c r="HI3" i="48" s="1"/>
  <c r="HB3" i="48"/>
  <c r="HA3" i="48"/>
  <c r="GZ3" i="48"/>
  <c r="GY3" i="48"/>
  <c r="GX3" i="48"/>
  <c r="GW3" i="48"/>
  <c r="GV3" i="48"/>
  <c r="GU3" i="48"/>
  <c r="GT3" i="48"/>
  <c r="HC3" i="48" s="1"/>
  <c r="GP3" i="48"/>
  <c r="GN3" i="48"/>
  <c r="GL3" i="48"/>
  <c r="GJ3" i="48"/>
  <c r="GK3" i="48" s="1"/>
  <c r="GI3" i="48"/>
  <c r="GH3" i="48"/>
  <c r="GG3" i="48"/>
  <c r="GF3" i="48"/>
  <c r="GE3" i="48"/>
  <c r="GB3" i="48"/>
  <c r="GA3" i="48"/>
  <c r="FZ3" i="48"/>
  <c r="FY3" i="48"/>
  <c r="FW3" i="48"/>
  <c r="FV3" i="48"/>
  <c r="FU3" i="48"/>
  <c r="FT3" i="48"/>
  <c r="FS3" i="48"/>
  <c r="FR3" i="48"/>
  <c r="FQ3" i="48"/>
  <c r="FP3" i="48"/>
  <c r="FJ3" i="48"/>
  <c r="FM3" i="48" s="1"/>
  <c r="FI3" i="48"/>
  <c r="FL3" i="48" s="1"/>
  <c r="FH3" i="48"/>
  <c r="FK3" i="48" s="1"/>
  <c r="FG3" i="48"/>
  <c r="FF3" i="48"/>
  <c r="FE3" i="48"/>
  <c r="FO3" i="48" s="1"/>
  <c r="FD3" i="48"/>
  <c r="FB3" i="48"/>
  <c r="FA3" i="48"/>
  <c r="EZ3" i="48"/>
  <c r="EY3" i="48"/>
  <c r="EX3" i="48"/>
  <c r="EW3" i="48"/>
  <c r="EV3" i="48"/>
  <c r="EU3" i="48"/>
  <c r="ET3" i="48"/>
  <c r="ES3" i="48"/>
  <c r="ER3" i="48"/>
  <c r="EQ3" i="48"/>
  <c r="EP3" i="48"/>
  <c r="EO3" i="48"/>
  <c r="EN3" i="48"/>
  <c r="EM3" i="48"/>
  <c r="EL3" i="48"/>
  <c r="EK3" i="48"/>
  <c r="EJ3" i="48"/>
  <c r="EI3" i="48"/>
  <c r="EH3" i="48"/>
  <c r="EG3" i="48"/>
  <c r="EF3" i="48"/>
  <c r="EE3" i="48"/>
  <c r="ED3" i="48"/>
  <c r="EC3" i="48"/>
  <c r="EB3" i="48"/>
  <c r="EA3" i="48"/>
  <c r="DU3" i="48"/>
  <c r="DT3" i="48"/>
  <c r="DS3" i="48"/>
  <c r="DR3" i="48"/>
  <c r="DQ3" i="48"/>
  <c r="DP3" i="48"/>
  <c r="DO3" i="48"/>
  <c r="DN3" i="48"/>
  <c r="DK3" i="48"/>
  <c r="DJ3" i="48"/>
  <c r="DI3" i="48"/>
  <c r="DH3" i="48"/>
  <c r="DG3" i="48"/>
  <c r="DF3" i="48"/>
  <c r="DE3" i="48"/>
  <c r="DD3" i="48"/>
  <c r="DB3" i="48"/>
  <c r="DA3" i="48"/>
  <c r="CV3" i="48"/>
  <c r="CU3" i="48"/>
  <c r="CT3" i="48"/>
  <c r="CS3" i="48"/>
  <c r="CR3" i="48"/>
  <c r="GM3" i="48" s="1"/>
  <c r="CQ3" i="48"/>
  <c r="CP3" i="48"/>
  <c r="CO3" i="48"/>
  <c r="DZ3" i="48" s="1"/>
  <c r="CN3" i="48"/>
  <c r="DY3" i="48" s="1"/>
  <c r="CM3" i="48"/>
  <c r="DX3" i="48" s="1"/>
  <c r="CL3" i="48"/>
  <c r="DW3" i="48" s="1"/>
  <c r="CG3" i="48" a="1"/>
  <c r="CG3" i="48" s="1"/>
  <c r="AW3" i="48"/>
  <c r="AV3" i="48"/>
  <c r="J3" i="48"/>
  <c r="G3" i="48"/>
  <c r="IL2" i="48"/>
  <c r="HX2" i="48" a="1"/>
  <c r="HX2" i="48" s="1"/>
  <c r="IW2" i="48" s="1"/>
  <c r="HW2" i="48" a="1"/>
  <c r="HW2" i="48" s="1"/>
  <c r="IV2" i="48" s="1"/>
  <c r="HV2" i="48" a="1"/>
  <c r="HV2" i="48" s="1"/>
  <c r="IU2" i="48" s="1"/>
  <c r="HU2" i="48" a="1"/>
  <c r="HU2" i="48" s="1"/>
  <c r="IT2" i="48" s="1"/>
  <c r="HT2" i="48" a="1"/>
  <c r="HT2" i="48" s="1"/>
  <c r="IS2" i="48" s="1"/>
  <c r="HS2" i="48"/>
  <c r="IR2" i="48" s="1"/>
  <c r="HS2" i="48" a="1"/>
  <c r="HR2" i="48" a="1"/>
  <c r="HR2" i="48" s="1"/>
  <c r="IQ2" i="48" s="1"/>
  <c r="HQ2" i="48" a="1"/>
  <c r="HQ2" i="48" s="1"/>
  <c r="IP2" i="48" s="1"/>
  <c r="HP2" i="48" a="1"/>
  <c r="HP2" i="48" s="1"/>
  <c r="IO2" i="48" s="1"/>
  <c r="HL2" i="48"/>
  <c r="HJ2" i="48"/>
  <c r="HI2" i="48"/>
  <c r="HH2" i="48"/>
  <c r="HB2" i="48"/>
  <c r="HA2" i="48"/>
  <c r="GZ2" i="48"/>
  <c r="GY2" i="48"/>
  <c r="GX2" i="48"/>
  <c r="GW2" i="48"/>
  <c r="GV2" i="48"/>
  <c r="GU2" i="48"/>
  <c r="HC2" i="48" s="1"/>
  <c r="GT2" i="48"/>
  <c r="GP2" i="48"/>
  <c r="GI2" i="48"/>
  <c r="GH2" i="48"/>
  <c r="GG2" i="48"/>
  <c r="GF2" i="48"/>
  <c r="GE2" i="48"/>
  <c r="GD2" i="48"/>
  <c r="GC2" i="48"/>
  <c r="GB2" i="48"/>
  <c r="GA2" i="48"/>
  <c r="FZ2" i="48"/>
  <c r="FY2" i="48"/>
  <c r="FX2" i="48"/>
  <c r="FW2" i="48"/>
  <c r="FV2" i="48"/>
  <c r="FU2" i="48"/>
  <c r="FT2" i="48"/>
  <c r="FS2" i="48"/>
  <c r="FR2" i="48"/>
  <c r="FQ2" i="48"/>
  <c r="FP2" i="48"/>
  <c r="FO2" i="48"/>
  <c r="FN2" i="48"/>
  <c r="FJ2" i="48"/>
  <c r="FM2" i="48" s="1"/>
  <c r="FI2" i="48"/>
  <c r="FL2" i="48" s="1"/>
  <c r="FH2" i="48"/>
  <c r="FK2" i="48" s="1"/>
  <c r="FG2" i="48"/>
  <c r="FF2" i="48"/>
  <c r="FE2" i="48"/>
  <c r="FD2" i="48"/>
  <c r="FC2" i="48"/>
  <c r="FB2" i="48"/>
  <c r="FA2" i="48"/>
  <c r="EZ2" i="48"/>
  <c r="EY2" i="48"/>
  <c r="EX2" i="48"/>
  <c r="EW2" i="48"/>
  <c r="EV2" i="48"/>
  <c r="EU2" i="48"/>
  <c r="ET2" i="48"/>
  <c r="ES2" i="48"/>
  <c r="ER2" i="48"/>
  <c r="EQ2" i="48"/>
  <c r="EP2" i="48"/>
  <c r="EO2" i="48"/>
  <c r="EN2" i="48"/>
  <c r="EM2" i="48"/>
  <c r="EL2" i="48"/>
  <c r="EK2" i="48"/>
  <c r="EJ2" i="48"/>
  <c r="EI2" i="48"/>
  <c r="EH2" i="48"/>
  <c r="EG2" i="48"/>
  <c r="EF2" i="48"/>
  <c r="EE2" i="48"/>
  <c r="ED2" i="48"/>
  <c r="EC2" i="48"/>
  <c r="EB2" i="48"/>
  <c r="EA2" i="48"/>
  <c r="DY2" i="48"/>
  <c r="DX2" i="48"/>
  <c r="DV2" i="48"/>
  <c r="DU2" i="48"/>
  <c r="DT2" i="48"/>
  <c r="DS2" i="48"/>
  <c r="DR2" i="48"/>
  <c r="DQ2" i="48"/>
  <c r="DP2" i="48"/>
  <c r="DO2" i="48"/>
  <c r="DN2" i="48"/>
  <c r="DK2" i="48"/>
  <c r="DJ2" i="48"/>
  <c r="DI2" i="48"/>
  <c r="DH2" i="48"/>
  <c r="DG2" i="48"/>
  <c r="DF2" i="48"/>
  <c r="DE2" i="48"/>
  <c r="DD2" i="48"/>
  <c r="DC2" i="48"/>
  <c r="DB2" i="48"/>
  <c r="DA2" i="48"/>
  <c r="CV2" i="48"/>
  <c r="CU2" i="48"/>
  <c r="CT2" i="48"/>
  <c r="CS2" i="48"/>
  <c r="GN2" i="48" s="1"/>
  <c r="CR2" i="48"/>
  <c r="GM2" i="48" s="1"/>
  <c r="CQ2" i="48"/>
  <c r="GL2" i="48" s="1"/>
  <c r="CP2" i="48"/>
  <c r="GJ2" i="48" s="1"/>
  <c r="GK2" i="48" s="1"/>
  <c r="CO2" i="48"/>
  <c r="DZ2" i="48" s="1"/>
  <c r="CN2" i="48"/>
  <c r="CM2" i="48"/>
  <c r="CL2" i="48"/>
  <c r="DW2" i="48" s="1"/>
  <c r="CG2" i="48" a="1"/>
  <c r="CG2" i="48" s="1"/>
  <c r="AW2" i="48"/>
  <c r="AV2" i="48"/>
  <c r="AX2" i="48" s="1"/>
  <c r="J2" i="48"/>
  <c r="G2" i="48"/>
  <c r="IL2" i="47"/>
  <c r="HX2" i="47" a="1"/>
  <c r="HX2" i="47" s="1"/>
  <c r="IW2" i="47" s="1"/>
  <c r="HW2" i="47" a="1"/>
  <c r="HW2" i="47" s="1"/>
  <c r="IV2" i="47" s="1"/>
  <c r="HV2" i="47"/>
  <c r="IU2" i="47" s="1"/>
  <c r="HV2" i="47" a="1"/>
  <c r="HU2" i="47" a="1"/>
  <c r="HU2" i="47" s="1"/>
  <c r="IT2" i="47" s="1"/>
  <c r="HT2" i="47" a="1"/>
  <c r="HT2" i="47" s="1"/>
  <c r="IS2" i="47" s="1"/>
  <c r="HS2" i="47"/>
  <c r="IR2" i="47" s="1"/>
  <c r="HS2" i="47" a="1"/>
  <c r="HR2" i="47" a="1"/>
  <c r="HR2" i="47" s="1"/>
  <c r="IQ2" i="47" s="1"/>
  <c r="HQ2" i="47" a="1"/>
  <c r="HQ2" i="47" s="1"/>
  <c r="IP2" i="47" s="1"/>
  <c r="HP2" i="47"/>
  <c r="IO2" i="47" s="1"/>
  <c r="HP2" i="47" a="1"/>
  <c r="HL2" i="47"/>
  <c r="HJ2" i="47"/>
  <c r="HI2" i="47"/>
  <c r="HH2" i="47"/>
  <c r="HB2" i="47"/>
  <c r="HA2" i="47"/>
  <c r="GZ2" i="47"/>
  <c r="GY2" i="47"/>
  <c r="GX2" i="47"/>
  <c r="GW2" i="47"/>
  <c r="GV2" i="47"/>
  <c r="GU2" i="47"/>
  <c r="GT2" i="47"/>
  <c r="HC2" i="47" s="1"/>
  <c r="GP2" i="47"/>
  <c r="GM2" i="47"/>
  <c r="GL2" i="47"/>
  <c r="GI2" i="47"/>
  <c r="GH2" i="47"/>
  <c r="GG2" i="47"/>
  <c r="GF2" i="47"/>
  <c r="GE2" i="47"/>
  <c r="GD2" i="47"/>
  <c r="GC2" i="47"/>
  <c r="GB2" i="47"/>
  <c r="GA2" i="47"/>
  <c r="FZ2" i="47"/>
  <c r="FY2" i="47"/>
  <c r="FX2" i="47"/>
  <c r="FW2" i="47"/>
  <c r="FV2" i="47"/>
  <c r="FU2" i="47"/>
  <c r="FT2" i="47"/>
  <c r="FS2" i="47"/>
  <c r="FR2" i="47"/>
  <c r="FQ2" i="47"/>
  <c r="FP2" i="47"/>
  <c r="FN2" i="47"/>
  <c r="FJ2" i="47"/>
  <c r="FM2" i="47" s="1"/>
  <c r="FI2" i="47"/>
  <c r="FL2" i="47" s="1"/>
  <c r="FH2" i="47"/>
  <c r="FK2" i="47" s="1"/>
  <c r="FG2" i="47"/>
  <c r="FO2" i="47" s="1"/>
  <c r="FF2" i="47"/>
  <c r="FE2" i="47"/>
  <c r="FD2" i="47"/>
  <c r="FC2" i="47"/>
  <c r="FB2" i="47"/>
  <c r="FA2" i="47"/>
  <c r="EZ2" i="47"/>
  <c r="EY2" i="47"/>
  <c r="EX2" i="47"/>
  <c r="EW2" i="47"/>
  <c r="EV2" i="47"/>
  <c r="EU2" i="47"/>
  <c r="ET2" i="47"/>
  <c r="ES2" i="47"/>
  <c r="ER2" i="47"/>
  <c r="EQ2" i="47"/>
  <c r="EP2" i="47"/>
  <c r="EO2" i="47"/>
  <c r="EN2" i="47"/>
  <c r="EM2" i="47"/>
  <c r="EL2" i="47"/>
  <c r="EK2" i="47"/>
  <c r="EJ2" i="47"/>
  <c r="EI2" i="47"/>
  <c r="EH2" i="47"/>
  <c r="EG2" i="47"/>
  <c r="EF2" i="47"/>
  <c r="EE2" i="47"/>
  <c r="ED2" i="47"/>
  <c r="EC2" i="47"/>
  <c r="EB2" i="47"/>
  <c r="EA2" i="47"/>
  <c r="DX2" i="47"/>
  <c r="DW2" i="47"/>
  <c r="DV2" i="47"/>
  <c r="DU2" i="47"/>
  <c r="DT2" i="47"/>
  <c r="DS2" i="47"/>
  <c r="DR2" i="47"/>
  <c r="DQ2" i="47"/>
  <c r="DP2" i="47"/>
  <c r="DO2" i="47"/>
  <c r="DN2" i="47"/>
  <c r="DK2" i="47"/>
  <c r="DJ2" i="47"/>
  <c r="DI2" i="47"/>
  <c r="DH2" i="47"/>
  <c r="DG2" i="47"/>
  <c r="DF2" i="47"/>
  <c r="DE2" i="47"/>
  <c r="DD2" i="47"/>
  <c r="DC2" i="47"/>
  <c r="DB2" i="47"/>
  <c r="DA2" i="47"/>
  <c r="CV2" i="47"/>
  <c r="CU2" i="47"/>
  <c r="CT2" i="47"/>
  <c r="CS2" i="47"/>
  <c r="GN2" i="47" s="1"/>
  <c r="CR2" i="47"/>
  <c r="CQ2" i="47"/>
  <c r="CP2" i="47"/>
  <c r="GJ2" i="47" s="1"/>
  <c r="GK2" i="47" s="1"/>
  <c r="CO2" i="47"/>
  <c r="DZ2" i="47" s="1"/>
  <c r="CN2" i="47"/>
  <c r="DY2" i="47" s="1"/>
  <c r="CM2" i="47"/>
  <c r="CL2" i="47"/>
  <c r="CG2" i="47" a="1"/>
  <c r="CG2" i="47" s="1"/>
  <c r="AW2" i="47"/>
  <c r="AV2" i="47"/>
  <c r="AX2" i="47" s="1"/>
  <c r="J2" i="47"/>
  <c r="G2" i="47"/>
  <c r="IL3" i="47"/>
  <c r="HX3" i="47" a="1"/>
  <c r="HX3" i="47" s="1"/>
  <c r="IW3" i="47" s="1"/>
  <c r="HW3" i="47" a="1"/>
  <c r="HW3" i="47" s="1"/>
  <c r="IV3" i="47" s="1"/>
  <c r="HV3" i="47" a="1"/>
  <c r="HV3" i="47" s="1"/>
  <c r="IU3" i="47" s="1"/>
  <c r="HU3" i="47" a="1"/>
  <c r="HU3" i="47" s="1"/>
  <c r="IT3" i="47" s="1"/>
  <c r="HT3" i="47" a="1"/>
  <c r="HT3" i="47" s="1"/>
  <c r="IS3" i="47" s="1"/>
  <c r="HS3" i="47"/>
  <c r="IR3" i="47" s="1"/>
  <c r="HS3" i="47" a="1"/>
  <c r="HR3" i="47" a="1"/>
  <c r="HR3" i="47" s="1"/>
  <c r="IQ3" i="47" s="1"/>
  <c r="HQ3" i="47" a="1"/>
  <c r="HQ3" i="47" s="1"/>
  <c r="IP3" i="47" s="1"/>
  <c r="HP3" i="47" a="1"/>
  <c r="HP3" i="47" s="1"/>
  <c r="IO3" i="47" s="1"/>
  <c r="HL3" i="47"/>
  <c r="HJ3" i="47"/>
  <c r="HI3" i="47"/>
  <c r="HH3" i="47"/>
  <c r="HB3" i="47"/>
  <c r="HA3" i="47"/>
  <c r="GZ3" i="47"/>
  <c r="GY3" i="47"/>
  <c r="GX3" i="47"/>
  <c r="GW3" i="47"/>
  <c r="GV3" i="47"/>
  <c r="GU3" i="47"/>
  <c r="HC3" i="47" s="1"/>
  <c r="GT3" i="47"/>
  <c r="GP3" i="47"/>
  <c r="GI3" i="47"/>
  <c r="GH3" i="47"/>
  <c r="GG3" i="47"/>
  <c r="GF3" i="47"/>
  <c r="GE3" i="47"/>
  <c r="GD3" i="47"/>
  <c r="GC3" i="47"/>
  <c r="GB3" i="47"/>
  <c r="GA3" i="47"/>
  <c r="FZ3" i="47"/>
  <c r="FY3" i="47"/>
  <c r="FX3" i="47"/>
  <c r="FW3" i="47"/>
  <c r="FV3" i="47"/>
  <c r="FU3" i="47"/>
  <c r="FT3" i="47"/>
  <c r="FS3" i="47"/>
  <c r="FR3" i="47"/>
  <c r="FQ3" i="47"/>
  <c r="FP3" i="47"/>
  <c r="FO3" i="47"/>
  <c r="FN3" i="47"/>
  <c r="FJ3" i="47"/>
  <c r="FM3" i="47" s="1"/>
  <c r="FI3" i="47"/>
  <c r="FL3" i="47" s="1"/>
  <c r="FH3" i="47"/>
  <c r="FK3" i="47" s="1"/>
  <c r="FG3" i="47"/>
  <c r="FF3" i="47"/>
  <c r="FE3" i="47"/>
  <c r="FD3" i="47"/>
  <c r="FC3" i="47"/>
  <c r="FB3" i="47"/>
  <c r="FA3" i="47"/>
  <c r="EZ3" i="47"/>
  <c r="EY3" i="47"/>
  <c r="EX3" i="47"/>
  <c r="EW3" i="47"/>
  <c r="EV3" i="47"/>
  <c r="EU3" i="47"/>
  <c r="ET3" i="47"/>
  <c r="ES3" i="47"/>
  <c r="ER3" i="47"/>
  <c r="EQ3" i="47"/>
  <c r="EP3" i="47"/>
  <c r="EO3" i="47"/>
  <c r="EN3" i="47"/>
  <c r="EM3" i="47"/>
  <c r="EL3" i="47"/>
  <c r="EK3" i="47"/>
  <c r="EJ3" i="47"/>
  <c r="EI3" i="47"/>
  <c r="EH3" i="47"/>
  <c r="EG3" i="47"/>
  <c r="EF3" i="47"/>
  <c r="EE3" i="47"/>
  <c r="ED3" i="47"/>
  <c r="EC3" i="47"/>
  <c r="EB3" i="47"/>
  <c r="EA3" i="47"/>
  <c r="DY3" i="47"/>
  <c r="DX3" i="47"/>
  <c r="DW3" i="47"/>
  <c r="DV3" i="47"/>
  <c r="DU3" i="47"/>
  <c r="DT3" i="47"/>
  <c r="DS3" i="47"/>
  <c r="DR3" i="47"/>
  <c r="DQ3" i="47"/>
  <c r="DP3" i="47"/>
  <c r="DO3" i="47"/>
  <c r="DN3" i="47"/>
  <c r="DK3" i="47"/>
  <c r="DJ3" i="47"/>
  <c r="DI3" i="47"/>
  <c r="DH3" i="47"/>
  <c r="DG3" i="47"/>
  <c r="DF3" i="47"/>
  <c r="DE3" i="47"/>
  <c r="DD3" i="47"/>
  <c r="DC3" i="47"/>
  <c r="DB3" i="47"/>
  <c r="DA3" i="47"/>
  <c r="CV3" i="47"/>
  <c r="CU3" i="47"/>
  <c r="CT3" i="47"/>
  <c r="CS3" i="47"/>
  <c r="GN3" i="47" s="1"/>
  <c r="CR3" i="47"/>
  <c r="GM3" i="47" s="1"/>
  <c r="CQ3" i="47"/>
  <c r="GL3" i="47" s="1"/>
  <c r="CP3" i="47"/>
  <c r="GJ3" i="47" s="1"/>
  <c r="GK3" i="47" s="1"/>
  <c r="CO3" i="47"/>
  <c r="DZ3" i="47" s="1"/>
  <c r="CN3" i="47"/>
  <c r="CM3" i="47"/>
  <c r="CL3" i="47"/>
  <c r="CG3" i="47" a="1"/>
  <c r="CG3" i="47" s="1"/>
  <c r="AW3" i="47"/>
  <c r="AV3" i="47"/>
  <c r="J3" i="47"/>
  <c r="G3" i="47"/>
  <c r="IQ2" i="9"/>
  <c r="IL2" i="9"/>
  <c r="HX2" i="9"/>
  <c r="IW2" i="9" s="1"/>
  <c r="HX2" i="9" a="1"/>
  <c r="HW2" i="9" a="1"/>
  <c r="HW2" i="9" s="1"/>
  <c r="IV2" i="9" s="1"/>
  <c r="HV2" i="9" a="1"/>
  <c r="HV2" i="9" s="1"/>
  <c r="IU2" i="9" s="1"/>
  <c r="HU2" i="9" a="1"/>
  <c r="HU2" i="9" s="1"/>
  <c r="IT2" i="9" s="1"/>
  <c r="HT2" i="9" a="1"/>
  <c r="HT2" i="9" s="1"/>
  <c r="IS2" i="9" s="1"/>
  <c r="HS2" i="9"/>
  <c r="IR2" i="9" s="1"/>
  <c r="HS2" i="9" a="1"/>
  <c r="HR2" i="9"/>
  <c r="HR2" i="9" a="1"/>
  <c r="HQ2" i="9" a="1"/>
  <c r="HQ2" i="9" s="1"/>
  <c r="IP2" i="9" s="1"/>
  <c r="HP2" i="9" a="1"/>
  <c r="HP2" i="9" s="1"/>
  <c r="IO2" i="9" s="1"/>
  <c r="HL2" i="9"/>
  <c r="HJ2" i="9"/>
  <c r="HI2" i="9"/>
  <c r="HH2" i="9"/>
  <c r="HB2" i="9"/>
  <c r="HA2" i="9"/>
  <c r="GZ2" i="9"/>
  <c r="GY2" i="9"/>
  <c r="GX2" i="9"/>
  <c r="GW2" i="9"/>
  <c r="GV2" i="9"/>
  <c r="GU2" i="9"/>
  <c r="HC2" i="9" s="1"/>
  <c r="GT2" i="9"/>
  <c r="GP2" i="9"/>
  <c r="GI2" i="9"/>
  <c r="GH2" i="9"/>
  <c r="GG2" i="9"/>
  <c r="GF2" i="9"/>
  <c r="GE2" i="9"/>
  <c r="GD2" i="9"/>
  <c r="GC2" i="9"/>
  <c r="GB2" i="9"/>
  <c r="GA2" i="9"/>
  <c r="FZ2" i="9"/>
  <c r="FY2" i="9"/>
  <c r="FX2" i="9"/>
  <c r="FW2" i="9"/>
  <c r="FV2" i="9"/>
  <c r="FU2" i="9"/>
  <c r="FT2" i="9"/>
  <c r="FS2" i="9"/>
  <c r="FR2" i="9"/>
  <c r="FQ2" i="9"/>
  <c r="FO2" i="9"/>
  <c r="FN2" i="9"/>
  <c r="FJ2" i="9"/>
  <c r="FM2" i="9" s="1"/>
  <c r="FI2" i="9"/>
  <c r="FL2" i="9" s="1"/>
  <c r="FH2" i="9"/>
  <c r="FK2" i="9" s="1"/>
  <c r="FG2" i="9"/>
  <c r="FF2" i="9"/>
  <c r="FP2" i="9" s="1"/>
  <c r="FE2" i="9"/>
  <c r="FD2" i="9"/>
  <c r="FC2" i="9"/>
  <c r="FB2" i="9"/>
  <c r="FA2" i="9"/>
  <c r="EZ2" i="9"/>
  <c r="EY2" i="9"/>
  <c r="EX2" i="9"/>
  <c r="EW2" i="9"/>
  <c r="EV2" i="9"/>
  <c r="EU2" i="9"/>
  <c r="ET2" i="9"/>
  <c r="ES2" i="9"/>
  <c r="ER2" i="9"/>
  <c r="EQ2" i="9"/>
  <c r="EP2" i="9"/>
  <c r="EO2" i="9"/>
  <c r="EN2" i="9"/>
  <c r="EM2" i="9"/>
  <c r="EL2" i="9"/>
  <c r="EK2" i="9"/>
  <c r="EJ2" i="9"/>
  <c r="EI2" i="9"/>
  <c r="EH2" i="9"/>
  <c r="EG2" i="9"/>
  <c r="EF2" i="9"/>
  <c r="EE2" i="9"/>
  <c r="ED2" i="9"/>
  <c r="EC2" i="9"/>
  <c r="EB2" i="9"/>
  <c r="EA2" i="9"/>
  <c r="DY2" i="9"/>
  <c r="DX2" i="9"/>
  <c r="DV2" i="9"/>
  <c r="DU2" i="9"/>
  <c r="DT2" i="9"/>
  <c r="DS2" i="9"/>
  <c r="DR2" i="9"/>
  <c r="DQ2" i="9"/>
  <c r="DP2" i="9"/>
  <c r="DO2" i="9"/>
  <c r="DN2" i="9"/>
  <c r="DK2" i="9"/>
  <c r="DJ2" i="9"/>
  <c r="DI2" i="9"/>
  <c r="DH2" i="9"/>
  <c r="DG2" i="9"/>
  <c r="DF2" i="9"/>
  <c r="DE2" i="9"/>
  <c r="DD2" i="9"/>
  <c r="DC2" i="9"/>
  <c r="DB2" i="9"/>
  <c r="DA2" i="9"/>
  <c r="CV2" i="9"/>
  <c r="CU2" i="9"/>
  <c r="CT2" i="9"/>
  <c r="CS2" i="9"/>
  <c r="GN2" i="9" s="1"/>
  <c r="CR2" i="9"/>
  <c r="GM2" i="9" s="1"/>
  <c r="CQ2" i="9"/>
  <c r="GL2" i="9" s="1"/>
  <c r="CP2" i="9"/>
  <c r="GJ2" i="9" s="1"/>
  <c r="GK2" i="9" s="1"/>
  <c r="CO2" i="9"/>
  <c r="DZ2" i="9" s="1"/>
  <c r="CN2" i="9"/>
  <c r="CM2" i="9"/>
  <c r="CL2" i="9"/>
  <c r="DW2" i="9" s="1"/>
  <c r="CG2" i="9" a="1"/>
  <c r="CG2" i="9" s="1"/>
  <c r="AW2" i="9"/>
  <c r="AV2" i="9"/>
  <c r="AX2" i="9" s="1"/>
  <c r="J2" i="9"/>
  <c r="G2" i="9"/>
  <c r="HX4" i="9" a="1"/>
  <c r="HX4" i="9" s="1"/>
  <c r="IW4" i="9" s="1"/>
  <c r="HW4" i="9" a="1"/>
  <c r="HW4" i="9" s="1"/>
  <c r="IV4" i="9" s="1"/>
  <c r="HV4" i="9" a="1"/>
  <c r="HV4" i="9" s="1"/>
  <c r="IU4" i="9" s="1"/>
  <c r="HU4" i="9" a="1"/>
  <c r="HU4" i="9" s="1"/>
  <c r="IT4" i="9" s="1"/>
  <c r="HT4" i="9" a="1"/>
  <c r="HT4" i="9" s="1"/>
  <c r="IS4" i="9" s="1"/>
  <c r="HS4" i="9" a="1"/>
  <c r="HS4" i="9" s="1"/>
  <c r="IR4" i="9" s="1"/>
  <c r="HR4" i="9" a="1"/>
  <c r="HR4" i="9" s="1"/>
  <c r="IQ4" i="9" s="1"/>
  <c r="HQ4" i="9" a="1"/>
  <c r="HQ4" i="9" s="1"/>
  <c r="IP4" i="9" s="1"/>
  <c r="HP4" i="9" a="1"/>
  <c r="HP4" i="9" s="1"/>
  <c r="IO4" i="9" s="1"/>
  <c r="HL4" i="9"/>
  <c r="HJ4" i="9"/>
  <c r="HH4" i="9"/>
  <c r="HI4" i="9" s="1"/>
  <c r="HB4" i="9"/>
  <c r="HA4" i="9"/>
  <c r="GZ4" i="9"/>
  <c r="GY4" i="9"/>
  <c r="GX4" i="9"/>
  <c r="GW4" i="9"/>
  <c r="GV4" i="9"/>
  <c r="GU4" i="9"/>
  <c r="GT4" i="9"/>
  <c r="HC4" i="9" s="1"/>
  <c r="GP4" i="9"/>
  <c r="GN4" i="9"/>
  <c r="GM4" i="9"/>
  <c r="GL4" i="9"/>
  <c r="GJ4" i="9"/>
  <c r="GK4" i="9" s="1"/>
  <c r="GI4" i="9"/>
  <c r="GH4" i="9"/>
  <c r="GG4" i="9"/>
  <c r="GF4" i="9"/>
  <c r="GE4" i="9"/>
  <c r="GB4" i="9"/>
  <c r="GA4" i="9"/>
  <c r="FZ4" i="9"/>
  <c r="FY4" i="9"/>
  <c r="FW4" i="9"/>
  <c r="FV4" i="9"/>
  <c r="FU4" i="9"/>
  <c r="FT4" i="9"/>
  <c r="FS4" i="9"/>
  <c r="FR4" i="9"/>
  <c r="FQ4" i="9"/>
  <c r="FP4" i="9"/>
  <c r="FJ4" i="9"/>
  <c r="FM4" i="9" s="1"/>
  <c r="FI4" i="9"/>
  <c r="FL4" i="9" s="1"/>
  <c r="FH4" i="9"/>
  <c r="FK4" i="9" s="1"/>
  <c r="FG4" i="9"/>
  <c r="FF4" i="9"/>
  <c r="FE4" i="9"/>
  <c r="FD4" i="9"/>
  <c r="FB4" i="9"/>
  <c r="FA4" i="9"/>
  <c r="EZ4" i="9"/>
  <c r="EY4" i="9"/>
  <c r="EX4" i="9"/>
  <c r="EW4" i="9"/>
  <c r="EV4" i="9"/>
  <c r="EU4" i="9"/>
  <c r="ET4" i="9"/>
  <c r="ES4" i="9"/>
  <c r="ER4" i="9"/>
  <c r="EQ4" i="9"/>
  <c r="EP4" i="9"/>
  <c r="EO4" i="9"/>
  <c r="EN4" i="9"/>
  <c r="EM4" i="9"/>
  <c r="EL4" i="9"/>
  <c r="EK4" i="9"/>
  <c r="EJ4" i="9"/>
  <c r="EI4" i="9"/>
  <c r="EH4" i="9"/>
  <c r="EG4" i="9"/>
  <c r="EF4" i="9"/>
  <c r="EE4" i="9"/>
  <c r="ED4" i="9"/>
  <c r="EC4" i="9"/>
  <c r="EB4" i="9"/>
  <c r="EA4" i="9"/>
  <c r="DU4" i="9"/>
  <c r="DT4" i="9"/>
  <c r="DS4" i="9"/>
  <c r="DR4" i="9"/>
  <c r="DQ4" i="9"/>
  <c r="DP4" i="9"/>
  <c r="DO4" i="9"/>
  <c r="DN4" i="9"/>
  <c r="DK4" i="9"/>
  <c r="DJ4" i="9"/>
  <c r="DI4" i="9"/>
  <c r="DH4" i="9"/>
  <c r="DG4" i="9"/>
  <c r="DF4" i="9"/>
  <c r="DE4" i="9"/>
  <c r="DD4" i="9"/>
  <c r="DB4" i="9"/>
  <c r="DA4" i="9"/>
  <c r="CV4" i="9"/>
  <c r="CU4" i="9"/>
  <c r="CT4" i="9"/>
  <c r="CS4" i="9"/>
  <c r="CR4" i="9"/>
  <c r="CQ4" i="9"/>
  <c r="CP4" i="9"/>
  <c r="CO4" i="9"/>
  <c r="DZ4" i="9" s="1"/>
  <c r="CN4" i="9"/>
  <c r="DY4" i="9" s="1"/>
  <c r="CM4" i="9"/>
  <c r="DX4" i="9" s="1"/>
  <c r="CL4" i="9"/>
  <c r="DW4" i="9" s="1"/>
  <c r="CG4" i="9" a="1"/>
  <c r="CG4" i="9" s="1"/>
  <c r="AW4" i="9"/>
  <c r="AV4" i="9"/>
  <c r="J4" i="9"/>
  <c r="G4" i="9"/>
  <c r="IL3" i="9"/>
  <c r="HX3" i="9" a="1"/>
  <c r="HX3" i="9" s="1"/>
  <c r="IW3" i="9" s="1"/>
  <c r="HW3" i="9" a="1"/>
  <c r="HW3" i="9" s="1"/>
  <c r="IV3" i="9" s="1"/>
  <c r="HV3" i="9"/>
  <c r="IU3" i="9" s="1"/>
  <c r="HV3" i="9" a="1"/>
  <c r="HU3" i="9" a="1"/>
  <c r="HU3" i="9" s="1"/>
  <c r="IT3" i="9" s="1"/>
  <c r="HT3" i="9" a="1"/>
  <c r="HT3" i="9" s="1"/>
  <c r="IS3" i="9" s="1"/>
  <c r="HS3" i="9" a="1"/>
  <c r="HS3" i="9" s="1"/>
  <c r="IR3" i="9" s="1"/>
  <c r="HR3" i="9" a="1"/>
  <c r="HR3" i="9" s="1"/>
  <c r="IQ3" i="9" s="1"/>
  <c r="HQ3" i="9" a="1"/>
  <c r="HQ3" i="9" s="1"/>
  <c r="IP3" i="9" s="1"/>
  <c r="HP3" i="9"/>
  <c r="IO3" i="9" s="1"/>
  <c r="HP3" i="9" a="1"/>
  <c r="HL3" i="9"/>
  <c r="HJ3" i="9"/>
  <c r="HH3" i="9"/>
  <c r="HB3" i="9"/>
  <c r="HA3" i="9"/>
  <c r="HC3" i="9" s="1"/>
  <c r="GZ3" i="9"/>
  <c r="GY3" i="9"/>
  <c r="GX3" i="9"/>
  <c r="GW3" i="9"/>
  <c r="GV3" i="9"/>
  <c r="GU3" i="9"/>
  <c r="GT3" i="9"/>
  <c r="GP3" i="9"/>
  <c r="GN3" i="9"/>
  <c r="GM3" i="9"/>
  <c r="GL3" i="9"/>
  <c r="GI3" i="9"/>
  <c r="GH3" i="9"/>
  <c r="GG3" i="9"/>
  <c r="GF3" i="9"/>
  <c r="GE3" i="9"/>
  <c r="GD3" i="9"/>
  <c r="GC3" i="9"/>
  <c r="GB3" i="9"/>
  <c r="GA3" i="9"/>
  <c r="FZ3" i="9"/>
  <c r="FY3" i="9"/>
  <c r="FX3" i="9"/>
  <c r="FW3" i="9"/>
  <c r="FV3" i="9"/>
  <c r="FU3" i="9"/>
  <c r="FT3" i="9"/>
  <c r="FS3" i="9"/>
  <c r="FR3" i="9"/>
  <c r="FQ3" i="9"/>
  <c r="FP3" i="9"/>
  <c r="FO3" i="9"/>
  <c r="FN3" i="9"/>
  <c r="FJ3" i="9"/>
  <c r="FM3" i="9" s="1"/>
  <c r="FI3" i="9"/>
  <c r="FL3" i="9" s="1"/>
  <c r="FH3" i="9"/>
  <c r="FK3" i="9" s="1"/>
  <c r="FG3" i="9"/>
  <c r="FF3" i="9"/>
  <c r="FE3" i="9"/>
  <c r="FD3" i="9"/>
  <c r="FC3" i="9"/>
  <c r="FB3" i="9"/>
  <c r="FA3" i="9"/>
  <c r="EZ3" i="9"/>
  <c r="EY3" i="9"/>
  <c r="EX3" i="9"/>
  <c r="EW3" i="9"/>
  <c r="EV3" i="9"/>
  <c r="EU3" i="9"/>
  <c r="ET3" i="9"/>
  <c r="ES3" i="9"/>
  <c r="ER3" i="9"/>
  <c r="EQ3" i="9"/>
  <c r="EP3" i="9"/>
  <c r="EO3" i="9"/>
  <c r="EN3" i="9"/>
  <c r="EM3" i="9"/>
  <c r="EL3" i="9"/>
  <c r="EK3" i="9"/>
  <c r="EJ3" i="9"/>
  <c r="EI3" i="9"/>
  <c r="EH3" i="9"/>
  <c r="EG3" i="9"/>
  <c r="EF3" i="9"/>
  <c r="EE3" i="9"/>
  <c r="ED3" i="9"/>
  <c r="EC3" i="9"/>
  <c r="EB3" i="9"/>
  <c r="EA3" i="9"/>
  <c r="DV3" i="9"/>
  <c r="DU3" i="9"/>
  <c r="DT3" i="9"/>
  <c r="DS3" i="9"/>
  <c r="DR3" i="9"/>
  <c r="DQ3" i="9"/>
  <c r="DP3" i="9"/>
  <c r="DO3" i="9"/>
  <c r="DN3" i="9"/>
  <c r="DK3" i="9"/>
  <c r="DJ3" i="9"/>
  <c r="DI3" i="9"/>
  <c r="DH3" i="9"/>
  <c r="DG3" i="9"/>
  <c r="DF3" i="9"/>
  <c r="DE3" i="9"/>
  <c r="DD3" i="9"/>
  <c r="DC3" i="9"/>
  <c r="DB3" i="9"/>
  <c r="DA3" i="9"/>
  <c r="CV3" i="9"/>
  <c r="CU3" i="9"/>
  <c r="CT3" i="9"/>
  <c r="CS3" i="9"/>
  <c r="CR3" i="9"/>
  <c r="CQ3" i="9"/>
  <c r="CP3" i="9"/>
  <c r="GJ3" i="9" s="1"/>
  <c r="GK3" i="9" s="1"/>
  <c r="CO3" i="9"/>
  <c r="DZ3" i="9" s="1"/>
  <c r="CN3" i="9"/>
  <c r="DY3" i="9" s="1"/>
  <c r="CM3" i="9"/>
  <c r="DX3" i="9" s="1"/>
  <c r="CL3" i="9"/>
  <c r="DW3" i="9" s="1"/>
  <c r="CG3" i="9" a="1"/>
  <c r="CG3" i="9" s="1"/>
  <c r="CJ3" i="9" s="1"/>
  <c r="CY3" i="9" s="1"/>
  <c r="AW3" i="9"/>
  <c r="AV3" i="9"/>
  <c r="J3" i="9"/>
  <c r="HI3" i="9" s="1"/>
  <c r="G3" i="9"/>
  <c r="HX3" i="25" a="1"/>
  <c r="HX3" i="25" s="1"/>
  <c r="IW3" i="25" s="1"/>
  <c r="HW3" i="25" a="1"/>
  <c r="HW3" i="25" s="1"/>
  <c r="IV3" i="25" s="1"/>
  <c r="HV3" i="25" a="1"/>
  <c r="HV3" i="25" s="1"/>
  <c r="IU3" i="25" s="1"/>
  <c r="HU3" i="25" a="1"/>
  <c r="HU3" i="25" s="1"/>
  <c r="IT3" i="25" s="1"/>
  <c r="HT3" i="25" a="1"/>
  <c r="HT3" i="25" s="1"/>
  <c r="IS3" i="25" s="1"/>
  <c r="HS3" i="25" a="1"/>
  <c r="HS3" i="25" s="1"/>
  <c r="IR3" i="25" s="1"/>
  <c r="HR3" i="25" a="1"/>
  <c r="HR3" i="25" s="1"/>
  <c r="IQ3" i="25" s="1"/>
  <c r="HQ3" i="25" a="1"/>
  <c r="HQ3" i="25" s="1"/>
  <c r="IP3" i="25" s="1"/>
  <c r="HP3" i="25" a="1"/>
  <c r="HP3" i="25" s="1"/>
  <c r="IO3" i="25" s="1"/>
  <c r="HL3" i="25"/>
  <c r="HJ3" i="25"/>
  <c r="HH3" i="25"/>
  <c r="HI3" i="25" s="1"/>
  <c r="HB3" i="25"/>
  <c r="HA3" i="25"/>
  <c r="GZ3" i="25"/>
  <c r="GY3" i="25"/>
  <c r="GX3" i="25"/>
  <c r="GW3" i="25"/>
  <c r="GV3" i="25"/>
  <c r="GU3" i="25"/>
  <c r="GT3" i="25"/>
  <c r="HC3" i="25" s="1"/>
  <c r="GP3" i="25"/>
  <c r="GL3" i="25"/>
  <c r="GJ3" i="25"/>
  <c r="GK3" i="25" s="1"/>
  <c r="GI3" i="25"/>
  <c r="GH3" i="25"/>
  <c r="GG3" i="25"/>
  <c r="GF3" i="25"/>
  <c r="GE3" i="25"/>
  <c r="GB3" i="25"/>
  <c r="GA3" i="25"/>
  <c r="FZ3" i="25"/>
  <c r="FY3" i="25"/>
  <c r="FW3" i="25"/>
  <c r="FV3" i="25"/>
  <c r="FU3" i="25"/>
  <c r="FT3" i="25"/>
  <c r="FS3" i="25"/>
  <c r="FR3" i="25"/>
  <c r="FQ3" i="25"/>
  <c r="FP3" i="25"/>
  <c r="FJ3" i="25"/>
  <c r="FM3" i="25" s="1"/>
  <c r="FI3" i="25"/>
  <c r="FL3" i="25" s="1"/>
  <c r="FH3" i="25"/>
  <c r="FK3" i="25" s="1"/>
  <c r="FG3" i="25"/>
  <c r="FF3" i="25"/>
  <c r="FE3" i="25"/>
  <c r="FO3" i="25" s="1"/>
  <c r="FD3" i="25"/>
  <c r="FB3" i="25"/>
  <c r="FA3" i="25"/>
  <c r="EZ3" i="25"/>
  <c r="EY3" i="25"/>
  <c r="EX3" i="25"/>
  <c r="EW3" i="25"/>
  <c r="EV3" i="25"/>
  <c r="EU3" i="25"/>
  <c r="ET3" i="25"/>
  <c r="ES3" i="25"/>
  <c r="ER3" i="25"/>
  <c r="EQ3" i="25"/>
  <c r="EP3" i="25"/>
  <c r="EO3" i="25"/>
  <c r="EN3" i="25"/>
  <c r="EM3" i="25"/>
  <c r="EL3" i="25"/>
  <c r="EK3" i="25"/>
  <c r="EJ3" i="25"/>
  <c r="EI3" i="25"/>
  <c r="EH3" i="25"/>
  <c r="EG3" i="25"/>
  <c r="EF3" i="25"/>
  <c r="EE3" i="25"/>
  <c r="ED3" i="25"/>
  <c r="EC3" i="25"/>
  <c r="EB3" i="25"/>
  <c r="EA3" i="25"/>
  <c r="DU3" i="25"/>
  <c r="DT3" i="25"/>
  <c r="DS3" i="25"/>
  <c r="DR3" i="25"/>
  <c r="DQ3" i="25"/>
  <c r="DP3" i="25"/>
  <c r="DO3" i="25"/>
  <c r="DN3" i="25"/>
  <c r="DK3" i="25"/>
  <c r="DJ3" i="25"/>
  <c r="DI3" i="25"/>
  <c r="DH3" i="25"/>
  <c r="DG3" i="25"/>
  <c r="DF3" i="25"/>
  <c r="DE3" i="25"/>
  <c r="DD3" i="25"/>
  <c r="DB3" i="25"/>
  <c r="DA3" i="25"/>
  <c r="CV3" i="25"/>
  <c r="CU3" i="25"/>
  <c r="CT3" i="25"/>
  <c r="CS3" i="25"/>
  <c r="GN3" i="25" s="1"/>
  <c r="CR3" i="25"/>
  <c r="GM3" i="25" s="1"/>
  <c r="CQ3" i="25"/>
  <c r="CP3" i="25"/>
  <c r="CO3" i="25"/>
  <c r="DZ3" i="25" s="1"/>
  <c r="CN3" i="25"/>
  <c r="DY3" i="25" s="1"/>
  <c r="CM3" i="25"/>
  <c r="DX3" i="25" s="1"/>
  <c r="CL3" i="25"/>
  <c r="DW3" i="25" s="1"/>
  <c r="CG3" i="25" a="1"/>
  <c r="CG3" i="25" s="1"/>
  <c r="AW3" i="25"/>
  <c r="AV3" i="25"/>
  <c r="J3" i="25"/>
  <c r="G3" i="25"/>
  <c r="IL2" i="25"/>
  <c r="HX2" i="25" a="1"/>
  <c r="HX2" i="25" s="1"/>
  <c r="IW2" i="25" s="1"/>
  <c r="HW2" i="25" a="1"/>
  <c r="HW2" i="25" s="1"/>
  <c r="IV2" i="25" s="1"/>
  <c r="HV2" i="25" a="1"/>
  <c r="HV2" i="25" s="1"/>
  <c r="IU2" i="25" s="1"/>
  <c r="HU2" i="25" a="1"/>
  <c r="HU2" i="25" s="1"/>
  <c r="IT2" i="25" s="1"/>
  <c r="HT2" i="25" a="1"/>
  <c r="HT2" i="25" s="1"/>
  <c r="IS2" i="25" s="1"/>
  <c r="HS2" i="25" a="1"/>
  <c r="HS2" i="25" s="1"/>
  <c r="IR2" i="25" s="1"/>
  <c r="HR2" i="25" a="1"/>
  <c r="HR2" i="25" s="1"/>
  <c r="IQ2" i="25" s="1"/>
  <c r="HQ2" i="25" a="1"/>
  <c r="HQ2" i="25" s="1"/>
  <c r="IP2" i="25" s="1"/>
  <c r="HP2" i="25" a="1"/>
  <c r="HP2" i="25" s="1"/>
  <c r="IO2" i="25" s="1"/>
  <c r="HL2" i="25"/>
  <c r="HJ2" i="25"/>
  <c r="HH2" i="25"/>
  <c r="HB2" i="25"/>
  <c r="HA2" i="25"/>
  <c r="GZ2" i="25"/>
  <c r="GY2" i="25"/>
  <c r="GX2" i="25"/>
  <c r="GW2" i="25"/>
  <c r="GV2" i="25"/>
  <c r="GU2" i="25"/>
  <c r="GT2" i="25"/>
  <c r="HC2" i="25" s="1"/>
  <c r="GP2" i="25"/>
  <c r="GI2" i="25"/>
  <c r="GH2" i="25"/>
  <c r="GG2" i="25"/>
  <c r="GF2" i="25"/>
  <c r="GE2" i="25"/>
  <c r="GD2" i="25"/>
  <c r="GC2" i="25"/>
  <c r="GB2" i="25"/>
  <c r="GA2" i="25"/>
  <c r="FZ2" i="25"/>
  <c r="FY2" i="25"/>
  <c r="FX2" i="25"/>
  <c r="FW2" i="25"/>
  <c r="FV2" i="25"/>
  <c r="FU2" i="25"/>
  <c r="FT2" i="25"/>
  <c r="FS2" i="25"/>
  <c r="FR2" i="25"/>
  <c r="FQ2" i="25"/>
  <c r="FN2" i="25"/>
  <c r="FJ2" i="25"/>
  <c r="FM2" i="25" s="1"/>
  <c r="FI2" i="25"/>
  <c r="FL2" i="25" s="1"/>
  <c r="FH2" i="25"/>
  <c r="FK2" i="25" s="1"/>
  <c r="FG2" i="25"/>
  <c r="FO2" i="25" s="1"/>
  <c r="FF2" i="25"/>
  <c r="FP2" i="25" s="1"/>
  <c r="FE2" i="25"/>
  <c r="FD2" i="25"/>
  <c r="FC2" i="25"/>
  <c r="FB2" i="25"/>
  <c r="FA2" i="25"/>
  <c r="EZ2" i="25"/>
  <c r="EY2" i="25"/>
  <c r="EX2" i="25"/>
  <c r="EW2" i="25"/>
  <c r="EV2" i="25"/>
  <c r="EU2" i="25"/>
  <c r="ET2" i="25"/>
  <c r="ES2" i="25"/>
  <c r="ER2" i="25"/>
  <c r="EQ2" i="25"/>
  <c r="EP2" i="25"/>
  <c r="EO2" i="25"/>
  <c r="EN2" i="25"/>
  <c r="EM2" i="25"/>
  <c r="EL2" i="25"/>
  <c r="EK2" i="25"/>
  <c r="EJ2" i="25"/>
  <c r="EI2" i="25"/>
  <c r="EH2" i="25"/>
  <c r="EG2" i="25"/>
  <c r="EF2" i="25"/>
  <c r="EE2" i="25"/>
  <c r="ED2" i="25"/>
  <c r="EC2" i="25"/>
  <c r="EB2" i="25"/>
  <c r="EA2" i="25"/>
  <c r="DX2" i="25"/>
  <c r="DW2" i="25"/>
  <c r="DV2" i="25"/>
  <c r="DU2" i="25"/>
  <c r="DT2" i="25"/>
  <c r="DS2" i="25"/>
  <c r="DR2" i="25"/>
  <c r="DQ2" i="25"/>
  <c r="DP2" i="25"/>
  <c r="DO2" i="25"/>
  <c r="DN2" i="25"/>
  <c r="DK2" i="25"/>
  <c r="DJ2" i="25"/>
  <c r="DI2" i="25"/>
  <c r="DH2" i="25"/>
  <c r="DG2" i="25"/>
  <c r="DF2" i="25"/>
  <c r="DE2" i="25"/>
  <c r="DD2" i="25"/>
  <c r="DC2" i="25"/>
  <c r="DB2" i="25"/>
  <c r="DA2" i="25"/>
  <c r="CV2" i="25"/>
  <c r="CU2" i="25"/>
  <c r="CT2" i="25"/>
  <c r="CS2" i="25"/>
  <c r="GN2" i="25" s="1"/>
  <c r="CR2" i="25"/>
  <c r="GM2" i="25" s="1"/>
  <c r="CQ2" i="25"/>
  <c r="GL2" i="25" s="1"/>
  <c r="CP2" i="25"/>
  <c r="GJ2" i="25" s="1"/>
  <c r="GK2" i="25" s="1"/>
  <c r="CO2" i="25"/>
  <c r="DZ2" i="25" s="1"/>
  <c r="CN2" i="25"/>
  <c r="DY2" i="25" s="1"/>
  <c r="CM2" i="25"/>
  <c r="CL2" i="25"/>
  <c r="CG2" i="25" a="1"/>
  <c r="CG2" i="25" s="1"/>
  <c r="AW2" i="25"/>
  <c r="AV2" i="25"/>
  <c r="AX2" i="25" s="1"/>
  <c r="J2" i="25"/>
  <c r="HI2" i="25" s="1"/>
  <c r="G2" i="25"/>
  <c r="HX3" i="17" a="1"/>
  <c r="HX3" i="17" s="1"/>
  <c r="IW3" i="17" s="1"/>
  <c r="HW3" i="17" a="1"/>
  <c r="HW3" i="17" s="1"/>
  <c r="IV3" i="17" s="1"/>
  <c r="HV3" i="17" a="1"/>
  <c r="HV3" i="17" s="1"/>
  <c r="IU3" i="17" s="1"/>
  <c r="HU3" i="17" a="1"/>
  <c r="HU3" i="17" s="1"/>
  <c r="IT3" i="17" s="1"/>
  <c r="HT3" i="17" a="1"/>
  <c r="HT3" i="17" s="1"/>
  <c r="IS3" i="17" s="1"/>
  <c r="HS3" i="17" a="1"/>
  <c r="HS3" i="17" s="1"/>
  <c r="IR3" i="17" s="1"/>
  <c r="HR3" i="17" a="1"/>
  <c r="HR3" i="17" s="1"/>
  <c r="IQ3" i="17" s="1"/>
  <c r="HQ3" i="17" a="1"/>
  <c r="HQ3" i="17" s="1"/>
  <c r="IP3" i="17" s="1"/>
  <c r="HP3" i="17" a="1"/>
  <c r="HP3" i="17" s="1"/>
  <c r="IO3" i="17" s="1"/>
  <c r="HL3" i="17"/>
  <c r="HJ3" i="17"/>
  <c r="HH3" i="17"/>
  <c r="HI3" i="17" s="1"/>
  <c r="HB3" i="17"/>
  <c r="HA3" i="17"/>
  <c r="GZ3" i="17"/>
  <c r="GY3" i="17"/>
  <c r="GX3" i="17"/>
  <c r="GW3" i="17"/>
  <c r="GV3" i="17"/>
  <c r="GU3" i="17"/>
  <c r="GT3" i="17"/>
  <c r="HC3" i="17" s="1"/>
  <c r="GP3" i="17"/>
  <c r="GL3" i="17"/>
  <c r="GJ3" i="17"/>
  <c r="GK3" i="17" s="1"/>
  <c r="GI3" i="17"/>
  <c r="GH3" i="17"/>
  <c r="GG3" i="17"/>
  <c r="GF3" i="17"/>
  <c r="GE3" i="17"/>
  <c r="GB3" i="17"/>
  <c r="GA3" i="17"/>
  <c r="FZ3" i="17"/>
  <c r="FY3" i="17"/>
  <c r="FW3" i="17"/>
  <c r="FV3" i="17"/>
  <c r="FU3" i="17"/>
  <c r="FT3" i="17"/>
  <c r="FS3" i="17"/>
  <c r="FR3" i="17"/>
  <c r="FQ3" i="17"/>
  <c r="FP3" i="17"/>
  <c r="FJ3" i="17"/>
  <c r="FM3" i="17" s="1"/>
  <c r="FI3" i="17"/>
  <c r="FL3" i="17" s="1"/>
  <c r="FH3" i="17"/>
  <c r="FK3" i="17" s="1"/>
  <c r="FG3" i="17"/>
  <c r="FF3" i="17"/>
  <c r="FE3" i="17"/>
  <c r="FO3" i="17" s="1"/>
  <c r="FD3" i="17"/>
  <c r="FB3" i="17"/>
  <c r="FA3" i="17"/>
  <c r="EZ3" i="17"/>
  <c r="EY3" i="17"/>
  <c r="EX3" i="17"/>
  <c r="EW3" i="17"/>
  <c r="EV3" i="17"/>
  <c r="EU3" i="17"/>
  <c r="ET3" i="17"/>
  <c r="ES3" i="17"/>
  <c r="ER3" i="17"/>
  <c r="EQ3" i="17"/>
  <c r="EP3" i="17"/>
  <c r="EO3" i="17"/>
  <c r="EN3" i="17"/>
  <c r="EM3" i="17"/>
  <c r="EL3" i="17"/>
  <c r="EK3" i="17"/>
  <c r="EJ3" i="17"/>
  <c r="EI3" i="17"/>
  <c r="EH3" i="17"/>
  <c r="EG3" i="17"/>
  <c r="EF3" i="17"/>
  <c r="EE3" i="17"/>
  <c r="ED3" i="17"/>
  <c r="EC3" i="17"/>
  <c r="EB3" i="17"/>
  <c r="EA3" i="17"/>
  <c r="DU3" i="17"/>
  <c r="DT3" i="17"/>
  <c r="DS3" i="17"/>
  <c r="DR3" i="17"/>
  <c r="DQ3" i="17"/>
  <c r="DP3" i="17"/>
  <c r="DO3" i="17"/>
  <c r="DN3" i="17"/>
  <c r="DK3" i="17"/>
  <c r="DJ3" i="17"/>
  <c r="DI3" i="17"/>
  <c r="DH3" i="17"/>
  <c r="DG3" i="17"/>
  <c r="DF3" i="17"/>
  <c r="DE3" i="17"/>
  <c r="DD3" i="17"/>
  <c r="DB3" i="17"/>
  <c r="DA3" i="17"/>
  <c r="CV3" i="17"/>
  <c r="CU3" i="17"/>
  <c r="CT3" i="17"/>
  <c r="CS3" i="17"/>
  <c r="GN3" i="17" s="1"/>
  <c r="CR3" i="17"/>
  <c r="GM3" i="17" s="1"/>
  <c r="CQ3" i="17"/>
  <c r="CP3" i="17"/>
  <c r="CO3" i="17"/>
  <c r="DZ3" i="17" s="1"/>
  <c r="CN3" i="17"/>
  <c r="DY3" i="17" s="1"/>
  <c r="CM3" i="17"/>
  <c r="DX3" i="17" s="1"/>
  <c r="CL3" i="17"/>
  <c r="DW3" i="17" s="1"/>
  <c r="CG3" i="17" a="1"/>
  <c r="CG3" i="17" s="1"/>
  <c r="AW3" i="17"/>
  <c r="AV3" i="17"/>
  <c r="J3" i="17"/>
  <c r="G3" i="17"/>
  <c r="IQ3" i="12"/>
  <c r="IN3" i="12"/>
  <c r="IX3" i="12" s="1"/>
  <c r="IM3" i="12"/>
  <c r="HX3" i="12"/>
  <c r="IW3" i="12" s="1"/>
  <c r="HX3" i="12" a="1"/>
  <c r="HW3" i="12" a="1"/>
  <c r="HW3" i="12" s="1"/>
  <c r="IV3" i="12" s="1"/>
  <c r="HV3" i="12" a="1"/>
  <c r="HV3" i="12" s="1"/>
  <c r="IU3" i="12" s="1"/>
  <c r="HU3" i="12" a="1"/>
  <c r="HU3" i="12" s="1"/>
  <c r="IT3" i="12" s="1"/>
  <c r="HT3" i="12" a="1"/>
  <c r="HT3" i="12" s="1"/>
  <c r="IS3" i="12" s="1"/>
  <c r="HS3" i="12" a="1"/>
  <c r="HS3" i="12" s="1"/>
  <c r="IR3" i="12" s="1"/>
  <c r="HR3" i="12"/>
  <c r="HR3" i="12" a="1"/>
  <c r="HQ3" i="12" a="1"/>
  <c r="HQ3" i="12" s="1"/>
  <c r="IP3" i="12" s="1"/>
  <c r="HP3" i="12" a="1"/>
  <c r="HP3" i="12" s="1"/>
  <c r="IO3" i="12" s="1"/>
  <c r="HL3" i="12"/>
  <c r="HJ3" i="12"/>
  <c r="HH3" i="12"/>
  <c r="HI3" i="12" s="1"/>
  <c r="HB3" i="12"/>
  <c r="HA3" i="12"/>
  <c r="GZ3" i="12"/>
  <c r="GY3" i="12"/>
  <c r="GX3" i="12"/>
  <c r="GW3" i="12"/>
  <c r="GV3" i="12"/>
  <c r="GU3" i="12"/>
  <c r="GT3" i="12"/>
  <c r="HC3" i="12" s="1"/>
  <c r="GP3" i="12"/>
  <c r="GN3" i="12"/>
  <c r="GM3" i="12"/>
  <c r="GL3" i="12"/>
  <c r="GJ3" i="12"/>
  <c r="GK3" i="12" s="1"/>
  <c r="GI3" i="12"/>
  <c r="GH3" i="12"/>
  <c r="GG3" i="12"/>
  <c r="GF3" i="12"/>
  <c r="GE3" i="12"/>
  <c r="GB3" i="12"/>
  <c r="GA3" i="12"/>
  <c r="FZ3" i="12"/>
  <c r="FY3" i="12"/>
  <c r="FW3" i="12"/>
  <c r="FV3" i="12"/>
  <c r="FU3" i="12"/>
  <c r="FT3" i="12"/>
  <c r="FS3" i="12"/>
  <c r="FR3" i="12"/>
  <c r="FQ3" i="12"/>
  <c r="FP3" i="12"/>
  <c r="FJ3" i="12"/>
  <c r="FM3" i="12" s="1"/>
  <c r="FI3" i="12"/>
  <c r="FL3" i="12" s="1"/>
  <c r="FH3" i="12"/>
  <c r="FK3" i="12" s="1"/>
  <c r="FG3" i="12"/>
  <c r="FF3" i="12"/>
  <c r="FE3" i="12"/>
  <c r="FO3" i="12" s="1"/>
  <c r="FD3" i="12"/>
  <c r="FB3" i="12"/>
  <c r="FA3" i="12"/>
  <c r="EZ3" i="12"/>
  <c r="EY3" i="12"/>
  <c r="EX3" i="12"/>
  <c r="EW3" i="12"/>
  <c r="EV3" i="12"/>
  <c r="EU3" i="12"/>
  <c r="ET3" i="12"/>
  <c r="ES3" i="12"/>
  <c r="ER3" i="12"/>
  <c r="EQ3" i="12"/>
  <c r="EP3" i="12"/>
  <c r="EO3" i="12"/>
  <c r="EN3" i="12"/>
  <c r="EM3" i="12"/>
  <c r="EL3" i="12"/>
  <c r="EK3" i="12"/>
  <c r="EJ3" i="12"/>
  <c r="EI3" i="12"/>
  <c r="EH3" i="12"/>
  <c r="EG3" i="12"/>
  <c r="EF3" i="12"/>
  <c r="EE3" i="12"/>
  <c r="ED3" i="12"/>
  <c r="EC3" i="12"/>
  <c r="EB3" i="12"/>
  <c r="EA3" i="12"/>
  <c r="DU3" i="12"/>
  <c r="DT3" i="12"/>
  <c r="DS3" i="12"/>
  <c r="DR3" i="12"/>
  <c r="DQ3" i="12"/>
  <c r="DP3" i="12"/>
  <c r="DO3" i="12"/>
  <c r="DN3" i="12"/>
  <c r="DM3" i="12" a="1"/>
  <c r="DM3" i="12" s="1"/>
  <c r="DL3" i="12"/>
  <c r="DK3" i="12"/>
  <c r="DJ3" i="12"/>
  <c r="DI3" i="12"/>
  <c r="DH3" i="12"/>
  <c r="DG3" i="12"/>
  <c r="DF3" i="12"/>
  <c r="DE3" i="12"/>
  <c r="DD3" i="12"/>
  <c r="DB3" i="12"/>
  <c r="DA3" i="12"/>
  <c r="CV3" i="12"/>
  <c r="CU3" i="12"/>
  <c r="CT3" i="12"/>
  <c r="CS3" i="12"/>
  <c r="CR3" i="12"/>
  <c r="CQ3" i="12"/>
  <c r="CP3" i="12"/>
  <c r="CO3" i="12"/>
  <c r="DZ3" i="12" s="1"/>
  <c r="CN3" i="12"/>
  <c r="DY3" i="12" s="1"/>
  <c r="CM3" i="12"/>
  <c r="DX3" i="12" s="1"/>
  <c r="CL3" i="12"/>
  <c r="DW3" i="12" s="1"/>
  <c r="CK3" i="12"/>
  <c r="CZ3" i="12" s="1"/>
  <c r="CJ3" i="12"/>
  <c r="CY3" i="12" s="1"/>
  <c r="CI3" i="12"/>
  <c r="CX3" i="12" s="1"/>
  <c r="CH3" i="12"/>
  <c r="CW3" i="12" s="1"/>
  <c r="CG3" i="12"/>
  <c r="CG3" i="12" a="1"/>
  <c r="AW3" i="12"/>
  <c r="AV3" i="12"/>
  <c r="J3" i="12"/>
  <c r="G3" i="12"/>
  <c r="IL2" i="12"/>
  <c r="HX2" i="12" a="1"/>
  <c r="HX2" i="12" s="1"/>
  <c r="IW2" i="12" s="1"/>
  <c r="HW2" i="12" a="1"/>
  <c r="HW2" i="12" s="1"/>
  <c r="IV2" i="12" s="1"/>
  <c r="HV2" i="12" a="1"/>
  <c r="HV2" i="12" s="1"/>
  <c r="IU2" i="12" s="1"/>
  <c r="HU2" i="12" a="1"/>
  <c r="HU2" i="12" s="1"/>
  <c r="IT2" i="12" s="1"/>
  <c r="HT2" i="12" a="1"/>
  <c r="HT2" i="12" s="1"/>
  <c r="IS2" i="12" s="1"/>
  <c r="HS2" i="12"/>
  <c r="IR2" i="12" s="1"/>
  <c r="HS2" i="12" a="1"/>
  <c r="HR2" i="12" a="1"/>
  <c r="HR2" i="12" s="1"/>
  <c r="IQ2" i="12" s="1"/>
  <c r="HQ2" i="12" a="1"/>
  <c r="HQ2" i="12" s="1"/>
  <c r="IP2" i="12" s="1"/>
  <c r="HP2" i="12" a="1"/>
  <c r="HP2" i="12" s="1"/>
  <c r="IO2" i="12" s="1"/>
  <c r="HL2" i="12"/>
  <c r="HJ2" i="12"/>
  <c r="HI2" i="12"/>
  <c r="HH2" i="12"/>
  <c r="HB2" i="12"/>
  <c r="HA2" i="12"/>
  <c r="GZ2" i="12"/>
  <c r="GY2" i="12"/>
  <c r="GX2" i="12"/>
  <c r="GW2" i="12"/>
  <c r="GV2" i="12"/>
  <c r="GU2" i="12"/>
  <c r="HC2" i="12" s="1"/>
  <c r="GT2" i="12"/>
  <c r="GP2" i="12"/>
  <c r="GI2" i="12"/>
  <c r="GH2" i="12"/>
  <c r="GG2" i="12"/>
  <c r="GF2" i="12"/>
  <c r="GE2" i="12"/>
  <c r="GD2" i="12"/>
  <c r="GC2" i="12"/>
  <c r="GB2" i="12"/>
  <c r="GA2" i="12"/>
  <c r="FZ2" i="12"/>
  <c r="FY2" i="12"/>
  <c r="FX2" i="12"/>
  <c r="FW2" i="12"/>
  <c r="FV2" i="12"/>
  <c r="FU2" i="12"/>
  <c r="FT2" i="12"/>
  <c r="FS2" i="12"/>
  <c r="FR2" i="12"/>
  <c r="FQ2" i="12"/>
  <c r="FP2" i="12"/>
  <c r="FO2" i="12"/>
  <c r="FN2" i="12"/>
  <c r="FJ2" i="12"/>
  <c r="FM2" i="12" s="1"/>
  <c r="FI2" i="12"/>
  <c r="FL2" i="12" s="1"/>
  <c r="FH2" i="12"/>
  <c r="FK2" i="12" s="1"/>
  <c r="FG2" i="12"/>
  <c r="FF2" i="12"/>
  <c r="FE2" i="12"/>
  <c r="FD2" i="12"/>
  <c r="FC2" i="12"/>
  <c r="FB2" i="12"/>
  <c r="FA2" i="12"/>
  <c r="EZ2" i="12"/>
  <c r="EY2" i="12"/>
  <c r="EX2" i="12"/>
  <c r="EW2" i="12"/>
  <c r="EV2" i="12"/>
  <c r="EU2" i="12"/>
  <c r="ET2" i="12"/>
  <c r="ES2" i="12"/>
  <c r="ER2" i="12"/>
  <c r="EQ2" i="12"/>
  <c r="EP2" i="12"/>
  <c r="EO2" i="12"/>
  <c r="EN2" i="12"/>
  <c r="EM2" i="12"/>
  <c r="EL2" i="12"/>
  <c r="EK2" i="12"/>
  <c r="EJ2" i="12"/>
  <c r="EI2" i="12"/>
  <c r="EH2" i="12"/>
  <c r="EG2" i="12"/>
  <c r="EF2" i="12"/>
  <c r="EE2" i="12"/>
  <c r="ED2" i="12"/>
  <c r="EC2" i="12"/>
  <c r="EB2" i="12"/>
  <c r="EA2" i="12"/>
  <c r="DY2" i="12"/>
  <c r="DX2" i="12"/>
  <c r="DV2" i="12"/>
  <c r="DU2" i="12"/>
  <c r="DT2" i="12"/>
  <c r="DS2" i="12"/>
  <c r="DR2" i="12"/>
  <c r="DQ2" i="12"/>
  <c r="DP2" i="12"/>
  <c r="DO2" i="12"/>
  <c r="DN2" i="12"/>
  <c r="DK2" i="12"/>
  <c r="DJ2" i="12"/>
  <c r="DI2" i="12"/>
  <c r="DH2" i="12"/>
  <c r="DG2" i="12"/>
  <c r="DF2" i="12"/>
  <c r="DE2" i="12"/>
  <c r="DD2" i="12"/>
  <c r="DC2" i="12"/>
  <c r="DB2" i="12"/>
  <c r="DA2" i="12"/>
  <c r="CV2" i="12"/>
  <c r="CU2" i="12"/>
  <c r="CT2" i="12"/>
  <c r="CS2" i="12"/>
  <c r="GN2" i="12" s="1"/>
  <c r="CR2" i="12"/>
  <c r="GM2" i="12" s="1"/>
  <c r="CQ2" i="12"/>
  <c r="GL2" i="12" s="1"/>
  <c r="CP2" i="12"/>
  <c r="GJ2" i="12" s="1"/>
  <c r="GK2" i="12" s="1"/>
  <c r="CO2" i="12"/>
  <c r="DZ2" i="12" s="1"/>
  <c r="CN2" i="12"/>
  <c r="CM2" i="12"/>
  <c r="CL2" i="12"/>
  <c r="DW2" i="12" s="1"/>
  <c r="CG2" i="12" a="1"/>
  <c r="CG2" i="12" s="1"/>
  <c r="AW2" i="12"/>
  <c r="AV2" i="12"/>
  <c r="AX2" i="12" s="1"/>
  <c r="J2" i="12"/>
  <c r="G2" i="12"/>
  <c r="IL2" i="13"/>
  <c r="HX2" i="13" a="1"/>
  <c r="HX2" i="13" s="1"/>
  <c r="IW2" i="13" s="1"/>
  <c r="HW2" i="13" a="1"/>
  <c r="HW2" i="13" s="1"/>
  <c r="IV2" i="13" s="1"/>
  <c r="HV2" i="13" a="1"/>
  <c r="HV2" i="13" s="1"/>
  <c r="IU2" i="13" s="1"/>
  <c r="HU2" i="13" a="1"/>
  <c r="HU2" i="13" s="1"/>
  <c r="IT2" i="13" s="1"/>
  <c r="HT2" i="13" a="1"/>
  <c r="HT2" i="13" s="1"/>
  <c r="IS2" i="13" s="1"/>
  <c r="HS2" i="13" a="1"/>
  <c r="HS2" i="13" s="1"/>
  <c r="IR2" i="13" s="1"/>
  <c r="HR2" i="13" a="1"/>
  <c r="HR2" i="13" s="1"/>
  <c r="IQ2" i="13" s="1"/>
  <c r="HQ2" i="13" a="1"/>
  <c r="HQ2" i="13" s="1"/>
  <c r="IP2" i="13" s="1"/>
  <c r="HP2" i="13" a="1"/>
  <c r="HP2" i="13" s="1"/>
  <c r="IO2" i="13" s="1"/>
  <c r="HL2" i="13"/>
  <c r="HJ2" i="13"/>
  <c r="HH2" i="13"/>
  <c r="HB2" i="13"/>
  <c r="HA2" i="13"/>
  <c r="GZ2" i="13"/>
  <c r="GY2" i="13"/>
  <c r="GX2" i="13"/>
  <c r="GW2" i="13"/>
  <c r="GV2" i="13"/>
  <c r="GU2" i="13"/>
  <c r="GT2" i="13"/>
  <c r="GP2" i="13"/>
  <c r="GI2" i="13"/>
  <c r="GH2" i="13"/>
  <c r="GG2" i="13"/>
  <c r="GF2" i="13"/>
  <c r="GE2" i="13"/>
  <c r="GD2" i="13"/>
  <c r="GC2" i="13"/>
  <c r="GB2" i="13"/>
  <c r="GA2" i="13"/>
  <c r="FZ2" i="13"/>
  <c r="FY2" i="13"/>
  <c r="FX2" i="13"/>
  <c r="FW2" i="13"/>
  <c r="FV2" i="13"/>
  <c r="FU2" i="13"/>
  <c r="FT2" i="13"/>
  <c r="FS2" i="13"/>
  <c r="FR2" i="13"/>
  <c r="FQ2" i="13"/>
  <c r="FP2" i="13"/>
  <c r="FO2" i="13"/>
  <c r="FN2" i="13"/>
  <c r="FJ2" i="13"/>
  <c r="FM2" i="13" s="1"/>
  <c r="FI2" i="13"/>
  <c r="FH2" i="13"/>
  <c r="FG2" i="13"/>
  <c r="FF2" i="13"/>
  <c r="FE2" i="13"/>
  <c r="FD2" i="13"/>
  <c r="FC2" i="13"/>
  <c r="FB2" i="13"/>
  <c r="FA2" i="13"/>
  <c r="EZ2" i="13"/>
  <c r="EY2" i="13"/>
  <c r="EX2" i="13"/>
  <c r="EW2" i="13"/>
  <c r="EV2" i="13"/>
  <c r="EU2" i="13"/>
  <c r="ET2" i="13"/>
  <c r="ES2" i="13"/>
  <c r="ER2" i="13"/>
  <c r="EQ2" i="13"/>
  <c r="EP2" i="13"/>
  <c r="EO2" i="13"/>
  <c r="EN2" i="13"/>
  <c r="EM2" i="13"/>
  <c r="EL2" i="13"/>
  <c r="EK2" i="13"/>
  <c r="EJ2" i="13"/>
  <c r="EI2" i="13"/>
  <c r="EH2" i="13"/>
  <c r="EG2" i="13"/>
  <c r="EF2" i="13"/>
  <c r="EE2" i="13"/>
  <c r="ED2" i="13"/>
  <c r="EC2" i="13"/>
  <c r="EB2" i="13"/>
  <c r="EA2" i="13"/>
  <c r="DY2" i="13"/>
  <c r="DV2" i="13"/>
  <c r="DU2" i="13"/>
  <c r="DT2" i="13"/>
  <c r="DS2" i="13"/>
  <c r="DR2" i="13"/>
  <c r="DQ2" i="13"/>
  <c r="DP2" i="13"/>
  <c r="DO2" i="13"/>
  <c r="DN2" i="13"/>
  <c r="DK2" i="13"/>
  <c r="DJ2" i="13"/>
  <c r="DI2" i="13"/>
  <c r="DH2" i="13"/>
  <c r="DG2" i="13"/>
  <c r="DF2" i="13"/>
  <c r="DE2" i="13"/>
  <c r="DD2" i="13"/>
  <c r="DC2" i="13"/>
  <c r="DB2" i="13"/>
  <c r="DA2" i="13"/>
  <c r="CV2" i="13"/>
  <c r="CU2" i="13"/>
  <c r="CT2" i="13"/>
  <c r="CS2" i="13"/>
  <c r="GN2" i="13" s="1"/>
  <c r="CR2" i="13"/>
  <c r="GM2" i="13" s="1"/>
  <c r="CQ2" i="13"/>
  <c r="GL2" i="13" s="1"/>
  <c r="CP2" i="13"/>
  <c r="GJ2" i="13" s="1"/>
  <c r="GK2" i="13" s="1"/>
  <c r="CO2" i="13"/>
  <c r="DZ2" i="13" s="1"/>
  <c r="CN2" i="13"/>
  <c r="CM2" i="13"/>
  <c r="DX2" i="13" s="1"/>
  <c r="CL2" i="13"/>
  <c r="DW2" i="13" s="1"/>
  <c r="CG2" i="13" a="1"/>
  <c r="CG2" i="13" s="1"/>
  <c r="AW2" i="13"/>
  <c r="AV2" i="13"/>
  <c r="AX2" i="13" s="1"/>
  <c r="J2" i="13"/>
  <c r="HI2" i="13" s="1"/>
  <c r="G2" i="13"/>
  <c r="HX3" i="13" a="1"/>
  <c r="HX3" i="13" s="1"/>
  <c r="IW3" i="13" s="1"/>
  <c r="HW3" i="13" a="1"/>
  <c r="HW3" i="13" s="1"/>
  <c r="IV3" i="13" s="1"/>
  <c r="HV3" i="13" a="1"/>
  <c r="HV3" i="13" s="1"/>
  <c r="IU3" i="13" s="1"/>
  <c r="HU3" i="13" a="1"/>
  <c r="HU3" i="13" s="1"/>
  <c r="IT3" i="13" s="1"/>
  <c r="HT3" i="13" a="1"/>
  <c r="HT3" i="13" s="1"/>
  <c r="IS3" i="13" s="1"/>
  <c r="HS3" i="13" a="1"/>
  <c r="HS3" i="13" s="1"/>
  <c r="IR3" i="13" s="1"/>
  <c r="HR3" i="13" a="1"/>
  <c r="HR3" i="13" s="1"/>
  <c r="IQ3" i="13" s="1"/>
  <c r="HQ3" i="13" a="1"/>
  <c r="HQ3" i="13" s="1"/>
  <c r="IP3" i="13" s="1"/>
  <c r="HP3" i="13" a="1"/>
  <c r="HP3" i="13" s="1"/>
  <c r="IO3" i="13" s="1"/>
  <c r="HL3" i="13"/>
  <c r="HJ3" i="13"/>
  <c r="HH3" i="13"/>
  <c r="HB3" i="13"/>
  <c r="HA3" i="13"/>
  <c r="GZ3" i="13"/>
  <c r="GY3" i="13"/>
  <c r="GX3" i="13"/>
  <c r="GW3" i="13"/>
  <c r="GV3" i="13"/>
  <c r="GU3" i="13"/>
  <c r="GT3" i="13"/>
  <c r="HC3" i="13" s="1"/>
  <c r="GP3" i="13"/>
  <c r="GN3" i="13"/>
  <c r="GI3" i="13"/>
  <c r="GH3" i="13"/>
  <c r="GG3" i="13"/>
  <c r="GF3" i="13"/>
  <c r="GE3" i="13"/>
  <c r="GB3" i="13"/>
  <c r="GA3" i="13"/>
  <c r="FZ3" i="13"/>
  <c r="FY3" i="13"/>
  <c r="FW3" i="13"/>
  <c r="FV3" i="13"/>
  <c r="FU3" i="13"/>
  <c r="FT3" i="13"/>
  <c r="FS3" i="13"/>
  <c r="FR3" i="13"/>
  <c r="FQ3" i="13"/>
  <c r="FP3" i="13"/>
  <c r="FJ3" i="13"/>
  <c r="FM3" i="13" s="1"/>
  <c r="FI3" i="13"/>
  <c r="FL3" i="13" s="1"/>
  <c r="FH3" i="13"/>
  <c r="FK3" i="13" s="1"/>
  <c r="FG3" i="13"/>
  <c r="FF3" i="13"/>
  <c r="FE3" i="13"/>
  <c r="FD3" i="13"/>
  <c r="FB3" i="13"/>
  <c r="FA3" i="13"/>
  <c r="EZ3" i="13"/>
  <c r="EY3" i="13"/>
  <c r="EX3" i="13"/>
  <c r="EW3" i="13"/>
  <c r="EV3" i="13"/>
  <c r="EU3" i="13"/>
  <c r="ET3" i="13"/>
  <c r="ES3" i="13"/>
  <c r="ER3" i="13"/>
  <c r="EQ3" i="13"/>
  <c r="EP3" i="13"/>
  <c r="EO3" i="13"/>
  <c r="EN3" i="13"/>
  <c r="EM3" i="13"/>
  <c r="EL3" i="13"/>
  <c r="EK3" i="13"/>
  <c r="EJ3" i="13"/>
  <c r="EI3" i="13"/>
  <c r="EH3" i="13"/>
  <c r="EG3" i="13"/>
  <c r="EF3" i="13"/>
  <c r="EE3" i="13"/>
  <c r="ED3" i="13"/>
  <c r="EC3" i="13"/>
  <c r="EB3" i="13"/>
  <c r="EA3" i="13"/>
  <c r="DU3" i="13"/>
  <c r="DT3" i="13"/>
  <c r="DS3" i="13"/>
  <c r="DR3" i="13"/>
  <c r="DQ3" i="13"/>
  <c r="DP3" i="13"/>
  <c r="DO3" i="13"/>
  <c r="DN3" i="13"/>
  <c r="DK3" i="13"/>
  <c r="DJ3" i="13"/>
  <c r="DI3" i="13"/>
  <c r="DH3" i="13"/>
  <c r="DG3" i="13"/>
  <c r="DF3" i="13"/>
  <c r="DE3" i="13"/>
  <c r="DD3" i="13"/>
  <c r="DB3" i="13"/>
  <c r="DA3" i="13"/>
  <c r="CV3" i="13"/>
  <c r="CU3" i="13"/>
  <c r="CT3" i="13"/>
  <c r="CS3" i="13"/>
  <c r="CR3" i="13"/>
  <c r="GM3" i="13" s="1"/>
  <c r="CQ3" i="13"/>
  <c r="GL3" i="13" s="1"/>
  <c r="CP3" i="13"/>
  <c r="GJ3" i="13" s="1"/>
  <c r="GK3" i="13" s="1"/>
  <c r="CO3" i="13"/>
  <c r="DZ3" i="13" s="1"/>
  <c r="CN3" i="13"/>
  <c r="DY3" i="13" s="1"/>
  <c r="CM3" i="13"/>
  <c r="DX3" i="13" s="1"/>
  <c r="CL3" i="13"/>
  <c r="DW3" i="13" s="1"/>
  <c r="CG3" i="13" a="1"/>
  <c r="CG3" i="13" s="1"/>
  <c r="AW3" i="13"/>
  <c r="AV3" i="13"/>
  <c r="J3" i="13"/>
  <c r="G3" i="13"/>
  <c r="IR3" i="16"/>
  <c r="IL3" i="16"/>
  <c r="HX3" i="16" a="1"/>
  <c r="HX3" i="16" s="1"/>
  <c r="IW3" i="16" s="1"/>
  <c r="HW3" i="16" a="1"/>
  <c r="HW3" i="16" s="1"/>
  <c r="IV3" i="16" s="1"/>
  <c r="HV3" i="16" a="1"/>
  <c r="HV3" i="16" s="1"/>
  <c r="IU3" i="16" s="1"/>
  <c r="HU3" i="16"/>
  <c r="IT3" i="16" s="1"/>
  <c r="HU3" i="16" a="1"/>
  <c r="HT3" i="16" a="1"/>
  <c r="HT3" i="16" s="1"/>
  <c r="IS3" i="16" s="1"/>
  <c r="HS3" i="16"/>
  <c r="HS3" i="16" a="1"/>
  <c r="HR3" i="16" a="1"/>
  <c r="HR3" i="16" s="1"/>
  <c r="IQ3" i="16" s="1"/>
  <c r="HQ3" i="16" a="1"/>
  <c r="HQ3" i="16" s="1"/>
  <c r="IP3" i="16" s="1"/>
  <c r="HP3" i="16" a="1"/>
  <c r="HP3" i="16" s="1"/>
  <c r="IO3" i="16" s="1"/>
  <c r="HL3" i="16"/>
  <c r="HJ3" i="16"/>
  <c r="HH3" i="16"/>
  <c r="HB3" i="16"/>
  <c r="HA3" i="16"/>
  <c r="GZ3" i="16"/>
  <c r="GY3" i="16"/>
  <c r="GX3" i="16"/>
  <c r="GW3" i="16"/>
  <c r="GV3" i="16"/>
  <c r="GU3" i="16"/>
  <c r="HC3" i="16" s="1"/>
  <c r="GT3" i="16"/>
  <c r="GP3" i="16"/>
  <c r="GM3" i="16"/>
  <c r="GL3" i="16"/>
  <c r="GJ3" i="16"/>
  <c r="GK3" i="16" s="1"/>
  <c r="GI3" i="16"/>
  <c r="GH3" i="16"/>
  <c r="GG3" i="16"/>
  <c r="GF3" i="16"/>
  <c r="GE3" i="16"/>
  <c r="GD3" i="16"/>
  <c r="GC3" i="16"/>
  <c r="GB3" i="16"/>
  <c r="GA3" i="16"/>
  <c r="FZ3" i="16"/>
  <c r="FY3" i="16"/>
  <c r="FX3" i="16"/>
  <c r="FW3" i="16"/>
  <c r="FV3" i="16"/>
  <c r="FU3" i="16"/>
  <c r="FT3" i="16"/>
  <c r="FS3" i="16"/>
  <c r="FR3" i="16"/>
  <c r="FQ3" i="16"/>
  <c r="FP3" i="16"/>
  <c r="FO3" i="16"/>
  <c r="FN3" i="16"/>
  <c r="FM3" i="16"/>
  <c r="FL3" i="16"/>
  <c r="FJ3" i="16"/>
  <c r="FI3" i="16"/>
  <c r="FH3" i="16"/>
  <c r="FK3" i="16" s="1"/>
  <c r="FG3" i="16"/>
  <c r="FF3" i="16"/>
  <c r="FE3" i="16"/>
  <c r="FD3" i="16"/>
  <c r="FC3" i="16"/>
  <c r="FB3" i="16"/>
  <c r="FA3" i="16"/>
  <c r="EZ3" i="16"/>
  <c r="EY3" i="16"/>
  <c r="EX3" i="16"/>
  <c r="EW3" i="16"/>
  <c r="EV3" i="16"/>
  <c r="EU3" i="16"/>
  <c r="ET3" i="16"/>
  <c r="ES3" i="16"/>
  <c r="ER3" i="16"/>
  <c r="EQ3" i="16"/>
  <c r="EP3" i="16"/>
  <c r="EO3" i="16"/>
  <c r="EN3" i="16"/>
  <c r="EM3" i="16"/>
  <c r="EL3" i="16"/>
  <c r="EK3" i="16"/>
  <c r="EJ3" i="16"/>
  <c r="EI3" i="16"/>
  <c r="EH3" i="16"/>
  <c r="EG3" i="16"/>
  <c r="EF3" i="16"/>
  <c r="EE3" i="16"/>
  <c r="ED3" i="16"/>
  <c r="EC3" i="16"/>
  <c r="EB3" i="16"/>
  <c r="EA3" i="16"/>
  <c r="DY3" i="16"/>
  <c r="DX3" i="16"/>
  <c r="DV3" i="16"/>
  <c r="DU3" i="16"/>
  <c r="DT3" i="16"/>
  <c r="DS3" i="16"/>
  <c r="DR3" i="16"/>
  <c r="DQ3" i="16"/>
  <c r="DP3" i="16"/>
  <c r="DO3" i="16"/>
  <c r="DN3" i="16"/>
  <c r="DK3" i="16"/>
  <c r="DJ3" i="16"/>
  <c r="DI3" i="16"/>
  <c r="DH3" i="16"/>
  <c r="DG3" i="16"/>
  <c r="DF3" i="16"/>
  <c r="DE3" i="16"/>
  <c r="DD3" i="16"/>
  <c r="DC3" i="16"/>
  <c r="DB3" i="16"/>
  <c r="DA3" i="16"/>
  <c r="CV3" i="16"/>
  <c r="CU3" i="16"/>
  <c r="CT3" i="16"/>
  <c r="CS3" i="16"/>
  <c r="GN3" i="16" s="1"/>
  <c r="CR3" i="16"/>
  <c r="CQ3" i="16"/>
  <c r="CP3" i="16"/>
  <c r="CO3" i="16"/>
  <c r="DZ3" i="16" s="1"/>
  <c r="CN3" i="16"/>
  <c r="CM3" i="16"/>
  <c r="CL3" i="16"/>
  <c r="DW3" i="16" s="1"/>
  <c r="CG3" i="16"/>
  <c r="DL3" i="16" s="1"/>
  <c r="CG3" i="16" a="1"/>
  <c r="AW3" i="16"/>
  <c r="AV3" i="16"/>
  <c r="J3" i="16"/>
  <c r="HI3" i="16" s="1"/>
  <c r="G3" i="16"/>
  <c r="IL2" i="16"/>
  <c r="HX2" i="16" a="1"/>
  <c r="HX2" i="16" s="1"/>
  <c r="IW2" i="16" s="1"/>
  <c r="HW2" i="16" a="1"/>
  <c r="HW2" i="16" s="1"/>
  <c r="IV2" i="16" s="1"/>
  <c r="HV2" i="16" a="1"/>
  <c r="HV2" i="16" s="1"/>
  <c r="IU2" i="16" s="1"/>
  <c r="HU2" i="16" a="1"/>
  <c r="HU2" i="16" s="1"/>
  <c r="IT2" i="16" s="1"/>
  <c r="HT2" i="16" a="1"/>
  <c r="HT2" i="16" s="1"/>
  <c r="IS2" i="16" s="1"/>
  <c r="HS2" i="16" a="1"/>
  <c r="HS2" i="16" s="1"/>
  <c r="IR2" i="16" s="1"/>
  <c r="HR2" i="16" a="1"/>
  <c r="HR2" i="16" s="1"/>
  <c r="IQ2" i="16" s="1"/>
  <c r="HQ2" i="16" a="1"/>
  <c r="HQ2" i="16" s="1"/>
  <c r="IP2" i="16" s="1"/>
  <c r="HP2" i="16" a="1"/>
  <c r="HP2" i="16" s="1"/>
  <c r="IO2" i="16" s="1"/>
  <c r="HL2" i="16"/>
  <c r="HJ2" i="16"/>
  <c r="HH2" i="16"/>
  <c r="HB2" i="16"/>
  <c r="HA2" i="16"/>
  <c r="GZ2" i="16"/>
  <c r="GY2" i="16"/>
  <c r="GX2" i="16"/>
  <c r="GW2" i="16"/>
  <c r="GV2" i="16"/>
  <c r="GU2" i="16"/>
  <c r="GT2" i="16"/>
  <c r="GP2" i="16"/>
  <c r="GI2" i="16"/>
  <c r="GH2" i="16"/>
  <c r="GG2" i="16"/>
  <c r="GF2" i="16"/>
  <c r="GE2" i="16"/>
  <c r="GD2" i="16"/>
  <c r="GC2" i="16"/>
  <c r="GB2" i="16"/>
  <c r="GA2" i="16"/>
  <c r="FZ2" i="16"/>
  <c r="FY2" i="16"/>
  <c r="FX2" i="16"/>
  <c r="FW2" i="16"/>
  <c r="FV2" i="16"/>
  <c r="FU2" i="16"/>
  <c r="FT2" i="16"/>
  <c r="FS2" i="16"/>
  <c r="FR2" i="16"/>
  <c r="FQ2" i="16"/>
  <c r="FP2" i="16"/>
  <c r="FO2" i="16"/>
  <c r="FN2" i="16"/>
  <c r="FJ2" i="16"/>
  <c r="FM2" i="16" s="1"/>
  <c r="FI2" i="16"/>
  <c r="FH2" i="16"/>
  <c r="FG2" i="16"/>
  <c r="FF2" i="16"/>
  <c r="FE2" i="16"/>
  <c r="FD2" i="16"/>
  <c r="FC2" i="16"/>
  <c r="FB2" i="16"/>
  <c r="FA2" i="16"/>
  <c r="EZ2" i="16"/>
  <c r="EY2" i="16"/>
  <c r="EX2" i="16"/>
  <c r="EW2" i="16"/>
  <c r="EV2" i="16"/>
  <c r="EU2" i="16"/>
  <c r="ET2" i="16"/>
  <c r="ES2" i="16"/>
  <c r="ER2" i="16"/>
  <c r="EQ2" i="16"/>
  <c r="EP2" i="16"/>
  <c r="EO2" i="16"/>
  <c r="EN2" i="16"/>
  <c r="EM2" i="16"/>
  <c r="EL2" i="16"/>
  <c r="EK2" i="16"/>
  <c r="EJ2" i="16"/>
  <c r="EI2" i="16"/>
  <c r="EH2" i="16"/>
  <c r="EG2" i="16"/>
  <c r="EF2" i="16"/>
  <c r="EE2" i="16"/>
  <c r="ED2" i="16"/>
  <c r="EC2" i="16"/>
  <c r="EB2" i="16"/>
  <c r="EA2" i="16"/>
  <c r="DY2" i="16"/>
  <c r="DV2" i="16"/>
  <c r="DU2" i="16"/>
  <c r="DT2" i="16"/>
  <c r="DS2" i="16"/>
  <c r="DR2" i="16"/>
  <c r="DQ2" i="16"/>
  <c r="DP2" i="16"/>
  <c r="DO2" i="16"/>
  <c r="DN2" i="16"/>
  <c r="DK2" i="16"/>
  <c r="DJ2" i="16"/>
  <c r="DI2" i="16"/>
  <c r="DH2" i="16"/>
  <c r="DG2" i="16"/>
  <c r="DF2" i="16"/>
  <c r="DE2" i="16"/>
  <c r="DD2" i="16"/>
  <c r="DC2" i="16"/>
  <c r="DB2" i="16"/>
  <c r="DA2" i="16"/>
  <c r="CV2" i="16"/>
  <c r="CU2" i="16"/>
  <c r="CT2" i="16"/>
  <c r="CS2" i="16"/>
  <c r="GN2" i="16" s="1"/>
  <c r="CR2" i="16"/>
  <c r="GM2" i="16" s="1"/>
  <c r="CQ2" i="16"/>
  <c r="GL2" i="16" s="1"/>
  <c r="CP2" i="16"/>
  <c r="GJ2" i="16" s="1"/>
  <c r="GK2" i="16" s="1"/>
  <c r="CO2" i="16"/>
  <c r="DZ2" i="16" s="1"/>
  <c r="CN2" i="16"/>
  <c r="CM2" i="16"/>
  <c r="DX2" i="16" s="1"/>
  <c r="CL2" i="16"/>
  <c r="DW2" i="16" s="1"/>
  <c r="CG2" i="16" a="1"/>
  <c r="CG2" i="16" s="1"/>
  <c r="AW2" i="16"/>
  <c r="AV2" i="16"/>
  <c r="AX2" i="16" s="1"/>
  <c r="J2" i="16"/>
  <c r="HI2" i="16" s="1"/>
  <c r="G2" i="16"/>
  <c r="IQ2" i="15"/>
  <c r="IL2" i="15"/>
  <c r="HX2" i="15"/>
  <c r="IW2" i="15" s="1"/>
  <c r="HX2" i="15" a="1"/>
  <c r="HW2" i="15" a="1"/>
  <c r="HW2" i="15" s="1"/>
  <c r="IV2" i="15" s="1"/>
  <c r="HV2" i="15" a="1"/>
  <c r="HV2" i="15" s="1"/>
  <c r="IU2" i="15" s="1"/>
  <c r="HU2" i="15" a="1"/>
  <c r="HU2" i="15" s="1"/>
  <c r="IT2" i="15" s="1"/>
  <c r="HT2" i="15" a="1"/>
  <c r="HT2" i="15" s="1"/>
  <c r="IS2" i="15" s="1"/>
  <c r="HS2" i="15"/>
  <c r="IR2" i="15" s="1"/>
  <c r="HS2" i="15" a="1"/>
  <c r="HR2" i="15"/>
  <c r="HR2" i="15" a="1"/>
  <c r="HQ2" i="15" a="1"/>
  <c r="HQ2" i="15" s="1"/>
  <c r="IP2" i="15" s="1"/>
  <c r="HP2" i="15" a="1"/>
  <c r="HP2" i="15" s="1"/>
  <c r="IO2" i="15" s="1"/>
  <c r="HL2" i="15"/>
  <c r="HJ2" i="15"/>
  <c r="HI2" i="15"/>
  <c r="HH2" i="15"/>
  <c r="HB2" i="15"/>
  <c r="HA2" i="15"/>
  <c r="GZ2" i="15"/>
  <c r="GY2" i="15"/>
  <c r="GX2" i="15"/>
  <c r="GW2" i="15"/>
  <c r="GV2" i="15"/>
  <c r="GU2" i="15"/>
  <c r="HC2" i="15" s="1"/>
  <c r="GT2" i="15"/>
  <c r="GP2" i="15"/>
  <c r="GI2" i="15"/>
  <c r="GH2" i="15"/>
  <c r="GG2" i="15"/>
  <c r="GF2" i="15"/>
  <c r="GE2" i="15"/>
  <c r="GD2" i="15"/>
  <c r="GC2" i="15"/>
  <c r="GB2" i="15"/>
  <c r="GA2" i="15"/>
  <c r="FZ2" i="15"/>
  <c r="FY2" i="15"/>
  <c r="FX2" i="15"/>
  <c r="FW2" i="15"/>
  <c r="FV2" i="15"/>
  <c r="FU2" i="15"/>
  <c r="FT2" i="15"/>
  <c r="FS2" i="15"/>
  <c r="FR2" i="15"/>
  <c r="FQ2" i="15"/>
  <c r="FO2" i="15"/>
  <c r="FN2" i="15"/>
  <c r="FJ2" i="15"/>
  <c r="FM2" i="15" s="1"/>
  <c r="FI2" i="15"/>
  <c r="FL2" i="15" s="1"/>
  <c r="FH2" i="15"/>
  <c r="FK2" i="15" s="1"/>
  <c r="FG2" i="15"/>
  <c r="FF2" i="15"/>
  <c r="FP2" i="15" s="1"/>
  <c r="FE2" i="15"/>
  <c r="FD2" i="15"/>
  <c r="FC2" i="15"/>
  <c r="FB2" i="15"/>
  <c r="FA2" i="15"/>
  <c r="EZ2" i="15"/>
  <c r="EY2" i="15"/>
  <c r="EX2" i="15"/>
  <c r="EW2" i="15"/>
  <c r="EV2" i="15"/>
  <c r="EU2" i="15"/>
  <c r="ET2" i="15"/>
  <c r="ES2" i="15"/>
  <c r="ER2" i="15"/>
  <c r="EQ2" i="15"/>
  <c r="EP2" i="15"/>
  <c r="EO2" i="15"/>
  <c r="EN2" i="15"/>
  <c r="EM2" i="15"/>
  <c r="EL2" i="15"/>
  <c r="EK2" i="15"/>
  <c r="EJ2" i="15"/>
  <c r="EI2" i="15"/>
  <c r="EH2" i="15"/>
  <c r="EG2" i="15"/>
  <c r="EF2" i="15"/>
  <c r="EE2" i="15"/>
  <c r="ED2" i="15"/>
  <c r="EC2" i="15"/>
  <c r="EB2" i="15"/>
  <c r="EA2" i="15"/>
  <c r="DY2" i="15"/>
  <c r="DX2" i="15"/>
  <c r="DW2" i="15"/>
  <c r="DV2" i="15"/>
  <c r="DU2" i="15"/>
  <c r="DT2" i="15"/>
  <c r="DS2" i="15"/>
  <c r="DR2" i="15"/>
  <c r="DQ2" i="15"/>
  <c r="DP2" i="15"/>
  <c r="DO2" i="15"/>
  <c r="DN2" i="15"/>
  <c r="DK2" i="15"/>
  <c r="DJ2" i="15"/>
  <c r="DI2" i="15"/>
  <c r="DH2" i="15"/>
  <c r="DG2" i="15"/>
  <c r="DF2" i="15"/>
  <c r="DE2" i="15"/>
  <c r="DD2" i="15"/>
  <c r="DC2" i="15"/>
  <c r="DB2" i="15"/>
  <c r="DA2" i="15"/>
  <c r="CV2" i="15"/>
  <c r="CU2" i="15"/>
  <c r="CT2" i="15"/>
  <c r="CS2" i="15"/>
  <c r="GN2" i="15" s="1"/>
  <c r="CR2" i="15"/>
  <c r="GM2" i="15" s="1"/>
  <c r="CQ2" i="15"/>
  <c r="GL2" i="15" s="1"/>
  <c r="CP2" i="15"/>
  <c r="GJ2" i="15" s="1"/>
  <c r="GK2" i="15" s="1"/>
  <c r="CO2" i="15"/>
  <c r="DZ2" i="15" s="1"/>
  <c r="CN2" i="15"/>
  <c r="CM2" i="15"/>
  <c r="CL2" i="15"/>
  <c r="CG2" i="15" a="1"/>
  <c r="CG2" i="15" s="1"/>
  <c r="AW2" i="15"/>
  <c r="AV2" i="15"/>
  <c r="AX2" i="15" s="1"/>
  <c r="J2" i="15"/>
  <c r="G2" i="15"/>
  <c r="HX3" i="15" a="1"/>
  <c r="HX3" i="15" s="1"/>
  <c r="IW3" i="15" s="1"/>
  <c r="HW3" i="15" a="1"/>
  <c r="HW3" i="15" s="1"/>
  <c r="IV3" i="15" s="1"/>
  <c r="HV3" i="15" a="1"/>
  <c r="HV3" i="15" s="1"/>
  <c r="IU3" i="15" s="1"/>
  <c r="HU3" i="15" a="1"/>
  <c r="HU3" i="15" s="1"/>
  <c r="IT3" i="15" s="1"/>
  <c r="HT3" i="15" a="1"/>
  <c r="HT3" i="15" s="1"/>
  <c r="IS3" i="15" s="1"/>
  <c r="HS3" i="15" a="1"/>
  <c r="HS3" i="15" s="1"/>
  <c r="IR3" i="15" s="1"/>
  <c r="HR3" i="15" a="1"/>
  <c r="HR3" i="15" s="1"/>
  <c r="IQ3" i="15" s="1"/>
  <c r="HQ3" i="15" a="1"/>
  <c r="HQ3" i="15" s="1"/>
  <c r="IP3" i="15" s="1"/>
  <c r="HP3" i="15" a="1"/>
  <c r="HP3" i="15" s="1"/>
  <c r="IO3" i="15" s="1"/>
  <c r="HL3" i="15"/>
  <c r="HJ3" i="15"/>
  <c r="HH3" i="15"/>
  <c r="HI3" i="15" s="1"/>
  <c r="HB3" i="15"/>
  <c r="HA3" i="15"/>
  <c r="GZ3" i="15"/>
  <c r="GY3" i="15"/>
  <c r="GX3" i="15"/>
  <c r="GW3" i="15"/>
  <c r="GV3" i="15"/>
  <c r="GU3" i="15"/>
  <c r="GT3" i="15"/>
  <c r="HC3" i="15" s="1"/>
  <c r="GP3" i="15"/>
  <c r="GM3" i="15"/>
  <c r="GL3" i="15"/>
  <c r="GJ3" i="15"/>
  <c r="GK3" i="15" s="1"/>
  <c r="GI3" i="15"/>
  <c r="GH3" i="15"/>
  <c r="GG3" i="15"/>
  <c r="GF3" i="15"/>
  <c r="GE3" i="15"/>
  <c r="GB3" i="15"/>
  <c r="GA3" i="15"/>
  <c r="FZ3" i="15"/>
  <c r="FY3" i="15"/>
  <c r="FW3" i="15"/>
  <c r="FV3" i="15"/>
  <c r="FU3" i="15"/>
  <c r="FT3" i="15"/>
  <c r="FS3" i="15"/>
  <c r="FR3" i="15"/>
  <c r="FQ3" i="15"/>
  <c r="FP3" i="15"/>
  <c r="FJ3" i="15"/>
  <c r="FM3" i="15" s="1"/>
  <c r="FI3" i="15"/>
  <c r="FL3" i="15" s="1"/>
  <c r="FH3" i="15"/>
  <c r="FK3" i="15" s="1"/>
  <c r="FG3" i="15"/>
  <c r="FF3" i="15"/>
  <c r="FE3" i="15"/>
  <c r="FO3" i="15" s="1"/>
  <c r="FD3" i="15"/>
  <c r="FB3" i="15"/>
  <c r="FA3" i="15"/>
  <c r="EZ3" i="15"/>
  <c r="EY3" i="15"/>
  <c r="EX3" i="15"/>
  <c r="EW3" i="15"/>
  <c r="EV3" i="15"/>
  <c r="EU3" i="15"/>
  <c r="ET3" i="15"/>
  <c r="ES3" i="15"/>
  <c r="ER3" i="15"/>
  <c r="EQ3" i="15"/>
  <c r="EP3" i="15"/>
  <c r="EO3" i="15"/>
  <c r="EN3" i="15"/>
  <c r="EM3" i="15"/>
  <c r="EL3" i="15"/>
  <c r="EK3" i="15"/>
  <c r="EJ3" i="15"/>
  <c r="EI3" i="15"/>
  <c r="EH3" i="15"/>
  <c r="EG3" i="15"/>
  <c r="EF3" i="15"/>
  <c r="EE3" i="15"/>
  <c r="ED3" i="15"/>
  <c r="EC3" i="15"/>
  <c r="EB3" i="15"/>
  <c r="EA3" i="15"/>
  <c r="DU3" i="15"/>
  <c r="DT3" i="15"/>
  <c r="DS3" i="15"/>
  <c r="DR3" i="15"/>
  <c r="DQ3" i="15"/>
  <c r="DP3" i="15"/>
  <c r="DO3" i="15"/>
  <c r="DN3" i="15"/>
  <c r="DK3" i="15"/>
  <c r="DJ3" i="15"/>
  <c r="DI3" i="15"/>
  <c r="DH3" i="15"/>
  <c r="DG3" i="15"/>
  <c r="DF3" i="15"/>
  <c r="DE3" i="15"/>
  <c r="DD3" i="15"/>
  <c r="DB3" i="15"/>
  <c r="DA3" i="15"/>
  <c r="CV3" i="15"/>
  <c r="CU3" i="15"/>
  <c r="CT3" i="15"/>
  <c r="CS3" i="15"/>
  <c r="GN3" i="15" s="1"/>
  <c r="CR3" i="15"/>
  <c r="CQ3" i="15"/>
  <c r="CP3" i="15"/>
  <c r="CO3" i="15"/>
  <c r="DZ3" i="15" s="1"/>
  <c r="CN3" i="15"/>
  <c r="DY3" i="15" s="1"/>
  <c r="CM3" i="15"/>
  <c r="DX3" i="15" s="1"/>
  <c r="CL3" i="15"/>
  <c r="DW3" i="15" s="1"/>
  <c r="CG3" i="15" a="1"/>
  <c r="CG3" i="15" s="1"/>
  <c r="AW3" i="15"/>
  <c r="AV3" i="15"/>
  <c r="J3" i="15"/>
  <c r="G3" i="15"/>
  <c r="HX4" i="14" a="1"/>
  <c r="HX4" i="14" s="1"/>
  <c r="IW4" i="14" s="1"/>
  <c r="HW4" i="14" a="1"/>
  <c r="HW4" i="14" s="1"/>
  <c r="IV4" i="14" s="1"/>
  <c r="HV4" i="14" a="1"/>
  <c r="HV4" i="14" s="1"/>
  <c r="IU4" i="14" s="1"/>
  <c r="HU4" i="14" a="1"/>
  <c r="HU4" i="14" s="1"/>
  <c r="IT4" i="14" s="1"/>
  <c r="HT4" i="14" a="1"/>
  <c r="HT4" i="14" s="1"/>
  <c r="IS4" i="14" s="1"/>
  <c r="HS4" i="14" a="1"/>
  <c r="HS4" i="14" s="1"/>
  <c r="IR4" i="14" s="1"/>
  <c r="HR4" i="14" a="1"/>
  <c r="HR4" i="14" s="1"/>
  <c r="IQ4" i="14" s="1"/>
  <c r="HQ4" i="14" a="1"/>
  <c r="HQ4" i="14" s="1"/>
  <c r="IP4" i="14" s="1"/>
  <c r="HP4" i="14" a="1"/>
  <c r="HP4" i="14" s="1"/>
  <c r="IO4" i="14" s="1"/>
  <c r="HL4" i="14"/>
  <c r="HJ4" i="14"/>
  <c r="HH4" i="14"/>
  <c r="HI4" i="14" s="1"/>
  <c r="HB4" i="14"/>
  <c r="HA4" i="14"/>
  <c r="GZ4" i="14"/>
  <c r="GY4" i="14"/>
  <c r="GX4" i="14"/>
  <c r="GW4" i="14"/>
  <c r="GV4" i="14"/>
  <c r="GU4" i="14"/>
  <c r="GT4" i="14"/>
  <c r="HC4" i="14" s="1"/>
  <c r="GP4" i="14"/>
  <c r="GM4" i="14"/>
  <c r="GL4" i="14"/>
  <c r="GJ4" i="14"/>
  <c r="GK4" i="14" s="1"/>
  <c r="GI4" i="14"/>
  <c r="GH4" i="14"/>
  <c r="GG4" i="14"/>
  <c r="GF4" i="14"/>
  <c r="GE4" i="14"/>
  <c r="GB4" i="14"/>
  <c r="GA4" i="14"/>
  <c r="FZ4" i="14"/>
  <c r="FY4" i="14"/>
  <c r="FW4" i="14"/>
  <c r="FV4" i="14"/>
  <c r="FU4" i="14"/>
  <c r="FT4" i="14"/>
  <c r="FS4" i="14"/>
  <c r="FR4" i="14"/>
  <c r="FQ4" i="14"/>
  <c r="FP4" i="14"/>
  <c r="FJ4" i="14"/>
  <c r="FM4" i="14" s="1"/>
  <c r="FI4" i="14"/>
  <c r="FL4" i="14" s="1"/>
  <c r="FH4" i="14"/>
  <c r="FK4" i="14" s="1"/>
  <c r="FG4" i="14"/>
  <c r="FF4" i="14"/>
  <c r="FE4" i="14"/>
  <c r="FO4" i="14" s="1"/>
  <c r="FD4" i="14"/>
  <c r="FB4" i="14"/>
  <c r="FA4" i="14"/>
  <c r="EZ4" i="14"/>
  <c r="EY4" i="14"/>
  <c r="EX4" i="14"/>
  <c r="EW4" i="14"/>
  <c r="EV4" i="14"/>
  <c r="EU4" i="14"/>
  <c r="ET4" i="14"/>
  <c r="ES4" i="14"/>
  <c r="ER4" i="14"/>
  <c r="EQ4" i="14"/>
  <c r="EP4" i="14"/>
  <c r="EO4" i="14"/>
  <c r="EN4" i="14"/>
  <c r="EM4" i="14"/>
  <c r="EL4" i="14"/>
  <c r="EK4" i="14"/>
  <c r="EJ4" i="14"/>
  <c r="EI4" i="14"/>
  <c r="EH4" i="14"/>
  <c r="EG4" i="14"/>
  <c r="EF4" i="14"/>
  <c r="EE4" i="14"/>
  <c r="ED4" i="14"/>
  <c r="EC4" i="14"/>
  <c r="EB4" i="14"/>
  <c r="EA4" i="14"/>
  <c r="DU4" i="14"/>
  <c r="DT4" i="14"/>
  <c r="DS4" i="14"/>
  <c r="DR4" i="14"/>
  <c r="DQ4" i="14"/>
  <c r="DP4" i="14"/>
  <c r="DO4" i="14"/>
  <c r="DN4" i="14"/>
  <c r="DK4" i="14"/>
  <c r="DJ4" i="14"/>
  <c r="DI4" i="14"/>
  <c r="DH4" i="14"/>
  <c r="DG4" i="14"/>
  <c r="DF4" i="14"/>
  <c r="DE4" i="14"/>
  <c r="DD4" i="14"/>
  <c r="DB4" i="14"/>
  <c r="DA4" i="14"/>
  <c r="CV4" i="14"/>
  <c r="CU4" i="14"/>
  <c r="CT4" i="14"/>
  <c r="CS4" i="14"/>
  <c r="GN4" i="14" s="1"/>
  <c r="CR4" i="14"/>
  <c r="CQ4" i="14"/>
  <c r="CP4" i="14"/>
  <c r="CO4" i="14"/>
  <c r="DZ4" i="14" s="1"/>
  <c r="CN4" i="14"/>
  <c r="DY4" i="14" s="1"/>
  <c r="CM4" i="14"/>
  <c r="DX4" i="14" s="1"/>
  <c r="CL4" i="14"/>
  <c r="DW4" i="14" s="1"/>
  <c r="CG4" i="14" a="1"/>
  <c r="CG4" i="14" s="1"/>
  <c r="AW4" i="14"/>
  <c r="AV4" i="14"/>
  <c r="J4" i="14"/>
  <c r="G4" i="14"/>
  <c r="HX3" i="14" a="1"/>
  <c r="HX3" i="14" s="1"/>
  <c r="IW3" i="14" s="1"/>
  <c r="HW3" i="14" a="1"/>
  <c r="HW3" i="14" s="1"/>
  <c r="IV3" i="14" s="1"/>
  <c r="HV3" i="14" a="1"/>
  <c r="HV3" i="14" s="1"/>
  <c r="IU3" i="14" s="1"/>
  <c r="HU3" i="14" a="1"/>
  <c r="HU3" i="14" s="1"/>
  <c r="IT3" i="14" s="1"/>
  <c r="HT3" i="14" a="1"/>
  <c r="HT3" i="14" s="1"/>
  <c r="IS3" i="14" s="1"/>
  <c r="HS3" i="14" a="1"/>
  <c r="HS3" i="14" s="1"/>
  <c r="IR3" i="14" s="1"/>
  <c r="HR3" i="14" a="1"/>
  <c r="HR3" i="14" s="1"/>
  <c r="IQ3" i="14" s="1"/>
  <c r="HQ3" i="14" a="1"/>
  <c r="HQ3" i="14" s="1"/>
  <c r="IP3" i="14" s="1"/>
  <c r="HP3" i="14" a="1"/>
  <c r="HP3" i="14" s="1"/>
  <c r="IO3" i="14" s="1"/>
  <c r="HL3" i="14"/>
  <c r="HJ3" i="14"/>
  <c r="HH3" i="14"/>
  <c r="HB3" i="14"/>
  <c r="HA3" i="14"/>
  <c r="GZ3" i="14"/>
  <c r="HC3" i="14" s="1"/>
  <c r="GY3" i="14"/>
  <c r="GX3" i="14"/>
  <c r="GW3" i="14"/>
  <c r="GV3" i="14"/>
  <c r="GU3" i="14"/>
  <c r="GT3" i="14"/>
  <c r="GP3" i="14"/>
  <c r="GN3" i="14"/>
  <c r="GM3" i="14"/>
  <c r="GL3" i="14"/>
  <c r="GI3" i="14"/>
  <c r="GH3" i="14"/>
  <c r="GG3" i="14"/>
  <c r="GF3" i="14"/>
  <c r="GE3" i="14"/>
  <c r="GB3" i="14"/>
  <c r="GA3" i="14"/>
  <c r="FZ3" i="14"/>
  <c r="FY3" i="14"/>
  <c r="FW3" i="14"/>
  <c r="FV3" i="14"/>
  <c r="FU3" i="14"/>
  <c r="FT3" i="14"/>
  <c r="FS3" i="14"/>
  <c r="FR3" i="14"/>
  <c r="FQ3" i="14"/>
  <c r="FP3" i="14"/>
  <c r="FO3" i="14"/>
  <c r="FN3" i="14"/>
  <c r="FL3" i="14"/>
  <c r="FK3" i="14"/>
  <c r="FJ3" i="14"/>
  <c r="FM3" i="14" s="1"/>
  <c r="FI3" i="14"/>
  <c r="FH3" i="14"/>
  <c r="FG3" i="14"/>
  <c r="FF3" i="14"/>
  <c r="FE3" i="14"/>
  <c r="FD3" i="14"/>
  <c r="FB3" i="14"/>
  <c r="FA3" i="14"/>
  <c r="EZ3" i="14"/>
  <c r="EY3" i="14"/>
  <c r="EX3" i="14"/>
  <c r="EW3" i="14"/>
  <c r="EV3" i="14"/>
  <c r="EU3" i="14"/>
  <c r="ET3" i="14"/>
  <c r="ES3" i="14"/>
  <c r="ER3" i="14"/>
  <c r="EQ3" i="14"/>
  <c r="EP3" i="14"/>
  <c r="EO3" i="14"/>
  <c r="EN3" i="14"/>
  <c r="EM3" i="14"/>
  <c r="EL3" i="14"/>
  <c r="EK3" i="14"/>
  <c r="EJ3" i="14"/>
  <c r="EI3" i="14"/>
  <c r="EH3" i="14"/>
  <c r="EG3" i="14"/>
  <c r="EF3" i="14"/>
  <c r="EE3" i="14"/>
  <c r="ED3" i="14"/>
  <c r="EC3" i="14"/>
  <c r="EB3" i="14"/>
  <c r="EA3" i="14"/>
  <c r="DU3" i="14"/>
  <c r="DT3" i="14"/>
  <c r="DS3" i="14"/>
  <c r="DR3" i="14"/>
  <c r="DQ3" i="14"/>
  <c r="DP3" i="14"/>
  <c r="DO3" i="14"/>
  <c r="DN3" i="14"/>
  <c r="DK3" i="14"/>
  <c r="DJ3" i="14"/>
  <c r="DI3" i="14"/>
  <c r="DH3" i="14"/>
  <c r="DG3" i="14"/>
  <c r="DF3" i="14"/>
  <c r="DE3" i="14"/>
  <c r="DD3" i="14"/>
  <c r="DB3" i="14"/>
  <c r="DA3" i="14"/>
  <c r="CV3" i="14"/>
  <c r="CU3" i="14"/>
  <c r="CT3" i="14"/>
  <c r="CS3" i="14"/>
  <c r="CR3" i="14"/>
  <c r="CQ3" i="14"/>
  <c r="CP3" i="14"/>
  <c r="GJ3" i="14" s="1"/>
  <c r="GK3" i="14" s="1"/>
  <c r="CO3" i="14"/>
  <c r="DZ3" i="14" s="1"/>
  <c r="CN3" i="14"/>
  <c r="DY3" i="14" s="1"/>
  <c r="CM3" i="14"/>
  <c r="DX3" i="14" s="1"/>
  <c r="CL3" i="14"/>
  <c r="DW3" i="14" s="1"/>
  <c r="CG3" i="14" a="1"/>
  <c r="CG3" i="14" s="1"/>
  <c r="AW3" i="14"/>
  <c r="AV3" i="14"/>
  <c r="J3" i="14"/>
  <c r="HI3" i="14" s="1"/>
  <c r="G3" i="14"/>
  <c r="IL2" i="14"/>
  <c r="HX2" i="14" a="1"/>
  <c r="HX2" i="14" s="1"/>
  <c r="IW2" i="14" s="1"/>
  <c r="HW2" i="14" a="1"/>
  <c r="HW2" i="14" s="1"/>
  <c r="IV2" i="14" s="1"/>
  <c r="HV2" i="14" a="1"/>
  <c r="HV2" i="14" s="1"/>
  <c r="IU2" i="14" s="1"/>
  <c r="HU2" i="14" a="1"/>
  <c r="HU2" i="14" s="1"/>
  <c r="IT2" i="14" s="1"/>
  <c r="HT2" i="14" a="1"/>
  <c r="HT2" i="14" s="1"/>
  <c r="IS2" i="14" s="1"/>
  <c r="HS2" i="14"/>
  <c r="IR2" i="14" s="1"/>
  <c r="HS2" i="14" a="1"/>
  <c r="HR2" i="14" a="1"/>
  <c r="HR2" i="14" s="1"/>
  <c r="IQ2" i="14" s="1"/>
  <c r="HQ2" i="14" a="1"/>
  <c r="HQ2" i="14" s="1"/>
  <c r="IP2" i="14" s="1"/>
  <c r="HP2" i="14" a="1"/>
  <c r="HP2" i="14" s="1"/>
  <c r="IO2" i="14" s="1"/>
  <c r="HL2" i="14"/>
  <c r="HJ2" i="14"/>
  <c r="HH2" i="14"/>
  <c r="HB2" i="14"/>
  <c r="HA2" i="14"/>
  <c r="GZ2" i="14"/>
  <c r="GY2" i="14"/>
  <c r="GX2" i="14"/>
  <c r="GW2" i="14"/>
  <c r="GV2" i="14"/>
  <c r="GU2" i="14"/>
  <c r="GT2" i="14"/>
  <c r="GP2" i="14"/>
  <c r="GI2" i="14"/>
  <c r="GH2" i="14"/>
  <c r="GG2" i="14"/>
  <c r="GF2" i="14"/>
  <c r="GE2" i="14"/>
  <c r="GD2" i="14"/>
  <c r="GC2" i="14"/>
  <c r="GB2" i="14"/>
  <c r="GA2" i="14"/>
  <c r="FZ2" i="14"/>
  <c r="FY2" i="14"/>
  <c r="FX2" i="14"/>
  <c r="FW2" i="14"/>
  <c r="FV2" i="14"/>
  <c r="FU2" i="14"/>
  <c r="FT2" i="14"/>
  <c r="FS2" i="14"/>
  <c r="FR2" i="14"/>
  <c r="FQ2" i="14"/>
  <c r="FP2" i="14"/>
  <c r="FO2" i="14"/>
  <c r="FN2" i="14"/>
  <c r="FJ2" i="14"/>
  <c r="FM2" i="14" s="1"/>
  <c r="FI2" i="14"/>
  <c r="FH2" i="14"/>
  <c r="FG2" i="14"/>
  <c r="FF2" i="14"/>
  <c r="FE2" i="14"/>
  <c r="FD2" i="14"/>
  <c r="FC2" i="14"/>
  <c r="FB2" i="14"/>
  <c r="FA2" i="14"/>
  <c r="EZ2" i="14"/>
  <c r="EY2" i="14"/>
  <c r="EX2" i="14"/>
  <c r="EW2" i="14"/>
  <c r="EV2" i="14"/>
  <c r="EU2" i="14"/>
  <c r="ET2" i="14"/>
  <c r="ES2" i="14"/>
  <c r="ER2" i="14"/>
  <c r="EQ2" i="14"/>
  <c r="EP2" i="14"/>
  <c r="EO2" i="14"/>
  <c r="EN2" i="14"/>
  <c r="EM2" i="14"/>
  <c r="EL2" i="14"/>
  <c r="EK2" i="14"/>
  <c r="EJ2" i="14"/>
  <c r="EI2" i="14"/>
  <c r="EH2" i="14"/>
  <c r="EG2" i="14"/>
  <c r="EF2" i="14"/>
  <c r="EE2" i="14"/>
  <c r="ED2" i="14"/>
  <c r="EC2" i="14"/>
  <c r="EB2" i="14"/>
  <c r="EA2" i="14"/>
  <c r="DY2" i="14"/>
  <c r="DV2" i="14"/>
  <c r="DU2" i="14"/>
  <c r="DT2" i="14"/>
  <c r="DS2" i="14"/>
  <c r="DR2" i="14"/>
  <c r="DQ2" i="14"/>
  <c r="DP2" i="14"/>
  <c r="DO2" i="14"/>
  <c r="DN2" i="14"/>
  <c r="DK2" i="14"/>
  <c r="DJ2" i="14"/>
  <c r="DI2" i="14"/>
  <c r="DH2" i="14"/>
  <c r="DG2" i="14"/>
  <c r="DF2" i="14"/>
  <c r="DE2" i="14"/>
  <c r="DD2" i="14"/>
  <c r="DC2" i="14"/>
  <c r="DB2" i="14"/>
  <c r="DA2" i="14"/>
  <c r="CV2" i="14"/>
  <c r="CU2" i="14"/>
  <c r="CT2" i="14"/>
  <c r="CS2" i="14"/>
  <c r="GN2" i="14" s="1"/>
  <c r="CR2" i="14"/>
  <c r="GM2" i="14" s="1"/>
  <c r="CQ2" i="14"/>
  <c r="GL2" i="14" s="1"/>
  <c r="CP2" i="14"/>
  <c r="GJ2" i="14" s="1"/>
  <c r="GK2" i="14" s="1"/>
  <c r="CO2" i="14"/>
  <c r="DZ2" i="14" s="1"/>
  <c r="CN2" i="14"/>
  <c r="CM2" i="14"/>
  <c r="DX2" i="14" s="1"/>
  <c r="CL2" i="14"/>
  <c r="DW2" i="14" s="1"/>
  <c r="CG2" i="14" a="1"/>
  <c r="CG2" i="14" s="1"/>
  <c r="AW2" i="14"/>
  <c r="AV2" i="14"/>
  <c r="AX2" i="14" s="1"/>
  <c r="J2" i="14"/>
  <c r="HI2" i="14" s="1"/>
  <c r="G2" i="14"/>
  <c r="IQ2" i="18"/>
  <c r="IL2" i="18"/>
  <c r="HX2" i="18"/>
  <c r="IW2" i="18" s="1"/>
  <c r="HX2" i="18" a="1"/>
  <c r="HW2" i="18" a="1"/>
  <c r="HW2" i="18" s="1"/>
  <c r="IV2" i="18" s="1"/>
  <c r="HV2" i="18" a="1"/>
  <c r="HV2" i="18" s="1"/>
  <c r="IU2" i="18" s="1"/>
  <c r="HU2" i="18" a="1"/>
  <c r="HU2" i="18" s="1"/>
  <c r="IT2" i="18" s="1"/>
  <c r="HT2" i="18" a="1"/>
  <c r="HT2" i="18" s="1"/>
  <c r="IS2" i="18" s="1"/>
  <c r="HS2" i="18"/>
  <c r="IR2" i="18" s="1"/>
  <c r="HS2" i="18" a="1"/>
  <c r="HR2" i="18"/>
  <c r="HR2" i="18" a="1"/>
  <c r="HQ2" i="18" a="1"/>
  <c r="HQ2" i="18" s="1"/>
  <c r="IP2" i="18" s="1"/>
  <c r="HP2" i="18" a="1"/>
  <c r="HP2" i="18" s="1"/>
  <c r="IO2" i="18" s="1"/>
  <c r="HL2" i="18"/>
  <c r="HJ2" i="18"/>
  <c r="HI2" i="18"/>
  <c r="HH2" i="18"/>
  <c r="HB2" i="18"/>
  <c r="HA2" i="18"/>
  <c r="GZ2" i="18"/>
  <c r="GY2" i="18"/>
  <c r="GX2" i="18"/>
  <c r="GW2" i="18"/>
  <c r="GV2" i="18"/>
  <c r="GU2" i="18"/>
  <c r="HC2" i="18" s="1"/>
  <c r="GT2" i="18"/>
  <c r="GP2" i="18"/>
  <c r="GI2" i="18"/>
  <c r="GH2" i="18"/>
  <c r="GG2" i="18"/>
  <c r="GF2" i="18"/>
  <c r="GE2" i="18"/>
  <c r="GD2" i="18"/>
  <c r="GC2" i="18"/>
  <c r="GB2" i="18"/>
  <c r="GA2" i="18"/>
  <c r="FZ2" i="18"/>
  <c r="FY2" i="18"/>
  <c r="FX2" i="18"/>
  <c r="FW2" i="18"/>
  <c r="FV2" i="18"/>
  <c r="FU2" i="18"/>
  <c r="FT2" i="18"/>
  <c r="FS2" i="18"/>
  <c r="FR2" i="18"/>
  <c r="FQ2" i="18"/>
  <c r="FP2" i="18"/>
  <c r="FO2" i="18"/>
  <c r="FN2" i="18"/>
  <c r="FJ2" i="18"/>
  <c r="FM2" i="18" s="1"/>
  <c r="FI2" i="18"/>
  <c r="FL2" i="18" s="1"/>
  <c r="FH2" i="18"/>
  <c r="FK2" i="18" s="1"/>
  <c r="FG2" i="18"/>
  <c r="FF2" i="18"/>
  <c r="FE2" i="18"/>
  <c r="FD2" i="18"/>
  <c r="FC2" i="18"/>
  <c r="FB2" i="18"/>
  <c r="FA2" i="18"/>
  <c r="EZ2" i="18"/>
  <c r="EY2" i="18"/>
  <c r="EX2" i="18"/>
  <c r="EW2" i="18"/>
  <c r="EV2" i="18"/>
  <c r="EU2" i="18"/>
  <c r="ET2" i="18"/>
  <c r="ES2" i="18"/>
  <c r="ER2" i="18"/>
  <c r="EQ2" i="18"/>
  <c r="EP2" i="18"/>
  <c r="EO2" i="18"/>
  <c r="EN2" i="18"/>
  <c r="EM2" i="18"/>
  <c r="EL2" i="18"/>
  <c r="EK2" i="18"/>
  <c r="EJ2" i="18"/>
  <c r="EI2" i="18"/>
  <c r="EH2" i="18"/>
  <c r="EG2" i="18"/>
  <c r="EF2" i="18"/>
  <c r="EE2" i="18"/>
  <c r="ED2" i="18"/>
  <c r="EC2" i="18"/>
  <c r="EB2" i="18"/>
  <c r="EA2" i="18"/>
  <c r="DY2" i="18"/>
  <c r="DX2" i="18"/>
  <c r="DW2" i="18"/>
  <c r="DV2" i="18"/>
  <c r="DU2" i="18"/>
  <c r="DT2" i="18"/>
  <c r="DS2" i="18"/>
  <c r="DR2" i="18"/>
  <c r="DQ2" i="18"/>
  <c r="DP2" i="18"/>
  <c r="DO2" i="18"/>
  <c r="DN2" i="18"/>
  <c r="DK2" i="18"/>
  <c r="DJ2" i="18"/>
  <c r="DI2" i="18"/>
  <c r="DH2" i="18"/>
  <c r="DG2" i="18"/>
  <c r="DF2" i="18"/>
  <c r="DE2" i="18"/>
  <c r="DD2" i="18"/>
  <c r="DC2" i="18"/>
  <c r="DB2" i="18"/>
  <c r="DA2" i="18"/>
  <c r="CV2" i="18"/>
  <c r="CU2" i="18"/>
  <c r="CT2" i="18"/>
  <c r="CS2" i="18"/>
  <c r="GN2" i="18" s="1"/>
  <c r="CR2" i="18"/>
  <c r="GM2" i="18" s="1"/>
  <c r="CQ2" i="18"/>
  <c r="GL2" i="18" s="1"/>
  <c r="CP2" i="18"/>
  <c r="GJ2" i="18" s="1"/>
  <c r="GK2" i="18" s="1"/>
  <c r="CO2" i="18"/>
  <c r="DZ2" i="18" s="1"/>
  <c r="CN2" i="18"/>
  <c r="CM2" i="18"/>
  <c r="CL2" i="18"/>
  <c r="CG2" i="18" a="1"/>
  <c r="CG2" i="18" s="1"/>
  <c r="AW2" i="18"/>
  <c r="AV2" i="18"/>
  <c r="AX2" i="18" s="1"/>
  <c r="J2" i="18"/>
  <c r="G2" i="18"/>
  <c r="IL3" i="18"/>
  <c r="HX3" i="18" a="1"/>
  <c r="HX3" i="18" s="1"/>
  <c r="IW3" i="18" s="1"/>
  <c r="HW3" i="18" a="1"/>
  <c r="HW3" i="18" s="1"/>
  <c r="IV3" i="18" s="1"/>
  <c r="HV3" i="18" a="1"/>
  <c r="HV3" i="18" s="1"/>
  <c r="IU3" i="18" s="1"/>
  <c r="HU3" i="18" a="1"/>
  <c r="HU3" i="18" s="1"/>
  <c r="IT3" i="18" s="1"/>
  <c r="HT3" i="18" a="1"/>
  <c r="HT3" i="18" s="1"/>
  <c r="IS3" i="18" s="1"/>
  <c r="HS3" i="18" a="1"/>
  <c r="HS3" i="18" s="1"/>
  <c r="IR3" i="18" s="1"/>
  <c r="HR3" i="18" a="1"/>
  <c r="HR3" i="18" s="1"/>
  <c r="IQ3" i="18" s="1"/>
  <c r="HQ3" i="18" a="1"/>
  <c r="HQ3" i="18" s="1"/>
  <c r="IP3" i="18" s="1"/>
  <c r="HP3" i="18" a="1"/>
  <c r="HP3" i="18" s="1"/>
  <c r="IO3" i="18" s="1"/>
  <c r="HL3" i="18"/>
  <c r="HJ3" i="18"/>
  <c r="HH3" i="18"/>
  <c r="HB3" i="18"/>
  <c r="HA3" i="18"/>
  <c r="GZ3" i="18"/>
  <c r="GY3" i="18"/>
  <c r="GX3" i="18"/>
  <c r="GW3" i="18"/>
  <c r="GV3" i="18"/>
  <c r="GU3" i="18"/>
  <c r="GT3" i="18"/>
  <c r="GP3" i="18"/>
  <c r="GI3" i="18"/>
  <c r="GH3" i="18"/>
  <c r="GG3" i="18"/>
  <c r="GF3" i="18"/>
  <c r="GE3" i="18"/>
  <c r="GD3" i="18"/>
  <c r="GC3" i="18"/>
  <c r="GB3" i="18"/>
  <c r="GA3" i="18"/>
  <c r="FZ3" i="18"/>
  <c r="FY3" i="18"/>
  <c r="FX3" i="18"/>
  <c r="FW3" i="18"/>
  <c r="FV3" i="18"/>
  <c r="FU3" i="18"/>
  <c r="FT3" i="18"/>
  <c r="FS3" i="18"/>
  <c r="FR3" i="18"/>
  <c r="FQ3" i="18"/>
  <c r="FP3" i="18"/>
  <c r="FO3" i="18"/>
  <c r="FN3" i="18"/>
  <c r="FJ3" i="18"/>
  <c r="FM3" i="18" s="1"/>
  <c r="FI3" i="18"/>
  <c r="FH3" i="18"/>
  <c r="FG3" i="18"/>
  <c r="FF3" i="18"/>
  <c r="FE3" i="18"/>
  <c r="FD3" i="18"/>
  <c r="FC3" i="18"/>
  <c r="FB3" i="18"/>
  <c r="FA3" i="18"/>
  <c r="EZ3" i="18"/>
  <c r="EY3" i="18"/>
  <c r="EX3" i="18"/>
  <c r="EW3" i="18"/>
  <c r="EV3" i="18"/>
  <c r="EU3" i="18"/>
  <c r="ET3" i="18"/>
  <c r="ES3" i="18"/>
  <c r="ER3" i="18"/>
  <c r="EQ3" i="18"/>
  <c r="EP3" i="18"/>
  <c r="EO3" i="18"/>
  <c r="EN3" i="18"/>
  <c r="EM3" i="18"/>
  <c r="EL3" i="18"/>
  <c r="EK3" i="18"/>
  <c r="EJ3" i="18"/>
  <c r="EI3" i="18"/>
  <c r="EH3" i="18"/>
  <c r="EG3" i="18"/>
  <c r="EF3" i="18"/>
  <c r="EE3" i="18"/>
  <c r="ED3" i="18"/>
  <c r="EC3" i="18"/>
  <c r="EB3" i="18"/>
  <c r="EA3" i="18"/>
  <c r="DY3" i="18"/>
  <c r="DV3" i="18"/>
  <c r="DU3" i="18"/>
  <c r="DT3" i="18"/>
  <c r="DS3" i="18"/>
  <c r="DR3" i="18"/>
  <c r="DQ3" i="18"/>
  <c r="DP3" i="18"/>
  <c r="DO3" i="18"/>
  <c r="DN3" i="18"/>
  <c r="DK3" i="18"/>
  <c r="DJ3" i="18"/>
  <c r="DI3" i="18"/>
  <c r="DH3" i="18"/>
  <c r="DG3" i="18"/>
  <c r="DF3" i="18"/>
  <c r="DE3" i="18"/>
  <c r="DD3" i="18"/>
  <c r="DC3" i="18"/>
  <c r="DB3" i="18"/>
  <c r="DA3" i="18"/>
  <c r="CV3" i="18"/>
  <c r="CU3" i="18"/>
  <c r="CT3" i="18"/>
  <c r="CS3" i="18"/>
  <c r="GN3" i="18" s="1"/>
  <c r="CR3" i="18"/>
  <c r="GM3" i="18" s="1"/>
  <c r="CQ3" i="18"/>
  <c r="GL3" i="18" s="1"/>
  <c r="CP3" i="18"/>
  <c r="GJ3" i="18" s="1"/>
  <c r="GK3" i="18" s="1"/>
  <c r="CO3" i="18"/>
  <c r="DZ3" i="18" s="1"/>
  <c r="CN3" i="18"/>
  <c r="CM3" i="18"/>
  <c r="DX3" i="18" s="1"/>
  <c r="CL3" i="18"/>
  <c r="DW3" i="18" s="1"/>
  <c r="CG3" i="18" a="1"/>
  <c r="CG3" i="18" s="1"/>
  <c r="AW3" i="18"/>
  <c r="AV3" i="18"/>
  <c r="J3" i="18"/>
  <c r="HI3" i="18" s="1"/>
  <c r="G3" i="18"/>
  <c r="IQ3" i="22"/>
  <c r="IN3" i="22"/>
  <c r="IX3" i="22" s="1"/>
  <c r="IM3" i="22"/>
  <c r="HX3" i="22"/>
  <c r="IW3" i="22" s="1"/>
  <c r="HX3" i="22" a="1"/>
  <c r="HW3" i="22" a="1"/>
  <c r="HW3" i="22" s="1"/>
  <c r="IV3" i="22" s="1"/>
  <c r="HV3" i="22" a="1"/>
  <c r="HV3" i="22" s="1"/>
  <c r="IU3" i="22" s="1"/>
  <c r="HU3" i="22" a="1"/>
  <c r="HU3" i="22" s="1"/>
  <c r="IT3" i="22" s="1"/>
  <c r="HT3" i="22" a="1"/>
  <c r="HT3" i="22" s="1"/>
  <c r="IS3" i="22" s="1"/>
  <c r="HS3" i="22" a="1"/>
  <c r="HS3" i="22" s="1"/>
  <c r="IR3" i="22" s="1"/>
  <c r="HR3" i="22"/>
  <c r="HR3" i="22" a="1"/>
  <c r="HQ3" i="22" a="1"/>
  <c r="HQ3" i="22" s="1"/>
  <c r="IP3" i="22" s="1"/>
  <c r="HP3" i="22" a="1"/>
  <c r="HP3" i="22" s="1"/>
  <c r="HL3" i="22"/>
  <c r="HJ3" i="22"/>
  <c r="HH3" i="22"/>
  <c r="HI3" i="22" s="1"/>
  <c r="HB3" i="22"/>
  <c r="HA3" i="22"/>
  <c r="GZ3" i="22"/>
  <c r="GY3" i="22"/>
  <c r="GX3" i="22"/>
  <c r="GW3" i="22"/>
  <c r="GV3" i="22"/>
  <c r="GU3" i="22"/>
  <c r="GT3" i="22"/>
  <c r="HC3" i="22" s="1"/>
  <c r="GP3" i="22"/>
  <c r="GN3" i="22"/>
  <c r="GM3" i="22"/>
  <c r="GL3" i="22"/>
  <c r="GJ3" i="22"/>
  <c r="GK3" i="22" s="1"/>
  <c r="GI3" i="22"/>
  <c r="GH3" i="22"/>
  <c r="GG3" i="22"/>
  <c r="GF3" i="22"/>
  <c r="GE3" i="22"/>
  <c r="GB3" i="22"/>
  <c r="GA3" i="22"/>
  <c r="FZ3" i="22"/>
  <c r="FY3" i="22"/>
  <c r="FW3" i="22"/>
  <c r="FV3" i="22"/>
  <c r="FU3" i="22"/>
  <c r="FT3" i="22"/>
  <c r="FS3" i="22"/>
  <c r="FR3" i="22"/>
  <c r="FQ3" i="22"/>
  <c r="FP3" i="22"/>
  <c r="FJ3" i="22"/>
  <c r="FM3" i="22" s="1"/>
  <c r="FI3" i="22"/>
  <c r="FL3" i="22" s="1"/>
  <c r="FH3" i="22"/>
  <c r="FK3" i="22" s="1"/>
  <c r="FG3" i="22"/>
  <c r="FF3" i="22"/>
  <c r="FE3" i="22"/>
  <c r="FO3" i="22" s="1"/>
  <c r="FD3" i="22"/>
  <c r="FB3" i="22"/>
  <c r="FA3" i="22"/>
  <c r="EZ3" i="22"/>
  <c r="EY3" i="22"/>
  <c r="EX3" i="22"/>
  <c r="EW3" i="22"/>
  <c r="EV3" i="22"/>
  <c r="EU3" i="22"/>
  <c r="ET3" i="22"/>
  <c r="ES3" i="22"/>
  <c r="ER3" i="22"/>
  <c r="EQ3" i="22"/>
  <c r="EP3" i="22"/>
  <c r="EO3" i="22"/>
  <c r="EN3" i="22"/>
  <c r="EM3" i="22"/>
  <c r="EL3" i="22"/>
  <c r="EK3" i="22"/>
  <c r="EJ3" i="22"/>
  <c r="EI3" i="22"/>
  <c r="EH3" i="22"/>
  <c r="EG3" i="22"/>
  <c r="EF3" i="22"/>
  <c r="EE3" i="22"/>
  <c r="ED3" i="22"/>
  <c r="EC3" i="22"/>
  <c r="EB3" i="22"/>
  <c r="EA3" i="22"/>
  <c r="DU3" i="22"/>
  <c r="DT3" i="22"/>
  <c r="DS3" i="22"/>
  <c r="DR3" i="22"/>
  <c r="DQ3" i="22"/>
  <c r="DP3" i="22"/>
  <c r="DO3" i="22"/>
  <c r="DN3" i="22"/>
  <c r="DM3" i="22" a="1"/>
  <c r="DM3" i="22" s="1"/>
  <c r="DK3" i="22"/>
  <c r="DJ3" i="22"/>
  <c r="DI3" i="22"/>
  <c r="DH3" i="22"/>
  <c r="DG3" i="22"/>
  <c r="DF3" i="22"/>
  <c r="DE3" i="22"/>
  <c r="DD3" i="22"/>
  <c r="DB3" i="22"/>
  <c r="DA3" i="22"/>
  <c r="CV3" i="22"/>
  <c r="CU3" i="22"/>
  <c r="CT3" i="22"/>
  <c r="CS3" i="22"/>
  <c r="CR3" i="22"/>
  <c r="CQ3" i="22"/>
  <c r="CP3" i="22"/>
  <c r="CO3" i="22"/>
  <c r="DZ3" i="22" s="1"/>
  <c r="CN3" i="22"/>
  <c r="DY3" i="22" s="1"/>
  <c r="CM3" i="22"/>
  <c r="DX3" i="22" s="1"/>
  <c r="CL3" i="22"/>
  <c r="DW3" i="22" s="1"/>
  <c r="CK3" i="22"/>
  <c r="CZ3" i="22" s="1"/>
  <c r="CJ3" i="22"/>
  <c r="CY3" i="22" s="1"/>
  <c r="CI3" i="22"/>
  <c r="CX3" i="22" s="1"/>
  <c r="CH3" i="22"/>
  <c r="CW3" i="22" s="1"/>
  <c r="CG3" i="22"/>
  <c r="CG3" i="22" a="1"/>
  <c r="AW3" i="22"/>
  <c r="AV3" i="22"/>
  <c r="J3" i="22"/>
  <c r="G3" i="22"/>
  <c r="IL2" i="22"/>
  <c r="HX2" i="22" a="1"/>
  <c r="HX2" i="22" s="1"/>
  <c r="IW2" i="22" s="1"/>
  <c r="HW2" i="22" a="1"/>
  <c r="HW2" i="22" s="1"/>
  <c r="IV2" i="22" s="1"/>
  <c r="HV2" i="22" a="1"/>
  <c r="HV2" i="22" s="1"/>
  <c r="IU2" i="22" s="1"/>
  <c r="HU2" i="22" a="1"/>
  <c r="HU2" i="22" s="1"/>
  <c r="IT2" i="22" s="1"/>
  <c r="HT2" i="22" a="1"/>
  <c r="HT2" i="22" s="1"/>
  <c r="IS2" i="22" s="1"/>
  <c r="HS2" i="22"/>
  <c r="IR2" i="22" s="1"/>
  <c r="HS2" i="22" a="1"/>
  <c r="HR2" i="22" a="1"/>
  <c r="HR2" i="22" s="1"/>
  <c r="IQ2" i="22" s="1"/>
  <c r="HQ2" i="22" a="1"/>
  <c r="HQ2" i="22" s="1"/>
  <c r="IP2" i="22" s="1"/>
  <c r="HP2" i="22" a="1"/>
  <c r="HP2" i="22" s="1"/>
  <c r="IO2" i="22" s="1"/>
  <c r="HL2" i="22"/>
  <c r="HJ2" i="22"/>
  <c r="HI2" i="22"/>
  <c r="HH2" i="22"/>
  <c r="HB2" i="22"/>
  <c r="HA2" i="22"/>
  <c r="GZ2" i="22"/>
  <c r="GY2" i="22"/>
  <c r="GX2" i="22"/>
  <c r="GW2" i="22"/>
  <c r="GV2" i="22"/>
  <c r="GU2" i="22"/>
  <c r="HC2" i="22" s="1"/>
  <c r="GT2" i="22"/>
  <c r="GP2" i="22"/>
  <c r="GI2" i="22"/>
  <c r="GH2" i="22"/>
  <c r="GG2" i="22"/>
  <c r="GF2" i="22"/>
  <c r="GE2" i="22"/>
  <c r="GD2" i="22"/>
  <c r="GC2" i="22"/>
  <c r="GB2" i="22"/>
  <c r="GA2" i="22"/>
  <c r="FZ2" i="22"/>
  <c r="FY2" i="22"/>
  <c r="FX2" i="22"/>
  <c r="FW2" i="22"/>
  <c r="FV2" i="22"/>
  <c r="FU2" i="22"/>
  <c r="FT2" i="22"/>
  <c r="FS2" i="22"/>
  <c r="FR2" i="22"/>
  <c r="FQ2" i="22"/>
  <c r="FP2" i="22"/>
  <c r="FO2" i="22"/>
  <c r="FN2" i="22"/>
  <c r="FJ2" i="22"/>
  <c r="FM2" i="22" s="1"/>
  <c r="FI2" i="22"/>
  <c r="FL2" i="22" s="1"/>
  <c r="FH2" i="22"/>
  <c r="FK2" i="22" s="1"/>
  <c r="FG2" i="22"/>
  <c r="FF2" i="22"/>
  <c r="FE2" i="22"/>
  <c r="FD2" i="22"/>
  <c r="FC2" i="22"/>
  <c r="FB2" i="22"/>
  <c r="FA2" i="22"/>
  <c r="EZ2" i="22"/>
  <c r="EY2" i="22"/>
  <c r="EX2" i="22"/>
  <c r="EW2" i="22"/>
  <c r="EV2" i="22"/>
  <c r="EU2" i="22"/>
  <c r="ET2" i="22"/>
  <c r="ES2" i="22"/>
  <c r="ER2" i="22"/>
  <c r="EQ2" i="22"/>
  <c r="EP2" i="22"/>
  <c r="EO2" i="22"/>
  <c r="EN2" i="22"/>
  <c r="EM2" i="22"/>
  <c r="EL2" i="22"/>
  <c r="EK2" i="22"/>
  <c r="EJ2" i="22"/>
  <c r="EI2" i="22"/>
  <c r="EH2" i="22"/>
  <c r="EG2" i="22"/>
  <c r="EF2" i="22"/>
  <c r="EE2" i="22"/>
  <c r="ED2" i="22"/>
  <c r="EC2" i="22"/>
  <c r="EB2" i="22"/>
  <c r="EA2" i="22"/>
  <c r="DY2" i="22"/>
  <c r="DX2" i="22"/>
  <c r="DV2" i="22"/>
  <c r="DU2" i="22"/>
  <c r="DT2" i="22"/>
  <c r="DS2" i="22"/>
  <c r="DR2" i="22"/>
  <c r="DQ2" i="22"/>
  <c r="DP2" i="22"/>
  <c r="DO2" i="22"/>
  <c r="DN2" i="22"/>
  <c r="DK2" i="22"/>
  <c r="DJ2" i="22"/>
  <c r="DI2" i="22"/>
  <c r="DH2" i="22"/>
  <c r="DG2" i="22"/>
  <c r="DF2" i="22"/>
  <c r="DE2" i="22"/>
  <c r="DD2" i="22"/>
  <c r="DC2" i="22"/>
  <c r="DB2" i="22"/>
  <c r="DA2" i="22"/>
  <c r="CV2" i="22"/>
  <c r="CU2" i="22"/>
  <c r="CT2" i="22"/>
  <c r="CS2" i="22"/>
  <c r="GN2" i="22" s="1"/>
  <c r="CR2" i="22"/>
  <c r="GM2" i="22" s="1"/>
  <c r="CQ2" i="22"/>
  <c r="GL2" i="22" s="1"/>
  <c r="CP2" i="22"/>
  <c r="GJ2" i="22" s="1"/>
  <c r="GK2" i="22" s="1"/>
  <c r="CO2" i="22"/>
  <c r="DZ2" i="22" s="1"/>
  <c r="CN2" i="22"/>
  <c r="CM2" i="22"/>
  <c r="CL2" i="22"/>
  <c r="DW2" i="22" s="1"/>
  <c r="CG2" i="22" a="1"/>
  <c r="CG2" i="22" s="1"/>
  <c r="AW2" i="22"/>
  <c r="AV2" i="22"/>
  <c r="AX2" i="22" s="1"/>
  <c r="J2" i="22"/>
  <c r="G2" i="22"/>
  <c r="IL3" i="19"/>
  <c r="HX3" i="19" a="1"/>
  <c r="HX3" i="19" s="1"/>
  <c r="IW3" i="19" s="1"/>
  <c r="HW3" i="19" a="1"/>
  <c r="HW3" i="19" s="1"/>
  <c r="IV3" i="19" s="1"/>
  <c r="HV3" i="19" a="1"/>
  <c r="HV3" i="19" s="1"/>
  <c r="IU3" i="19" s="1"/>
  <c r="HU3" i="19" a="1"/>
  <c r="HU3" i="19" s="1"/>
  <c r="IT3" i="19" s="1"/>
  <c r="HT3" i="19" a="1"/>
  <c r="HT3" i="19" s="1"/>
  <c r="IS3" i="19" s="1"/>
  <c r="HS3" i="19"/>
  <c r="IR3" i="19" s="1"/>
  <c r="HS3" i="19" a="1"/>
  <c r="HR3" i="19" a="1"/>
  <c r="HR3" i="19" s="1"/>
  <c r="IQ3" i="19" s="1"/>
  <c r="HQ3" i="19" a="1"/>
  <c r="HQ3" i="19" s="1"/>
  <c r="IP3" i="19" s="1"/>
  <c r="HP3" i="19" a="1"/>
  <c r="HP3" i="19" s="1"/>
  <c r="IO3" i="19" s="1"/>
  <c r="HL3" i="19"/>
  <c r="HJ3" i="19"/>
  <c r="HI3" i="19"/>
  <c r="HH3" i="19"/>
  <c r="HB3" i="19"/>
  <c r="HA3" i="19"/>
  <c r="GZ3" i="19"/>
  <c r="GY3" i="19"/>
  <c r="GX3" i="19"/>
  <c r="GW3" i="19"/>
  <c r="GV3" i="19"/>
  <c r="GU3" i="19"/>
  <c r="HC3" i="19" s="1"/>
  <c r="GT3" i="19"/>
  <c r="GP3" i="19"/>
  <c r="GI3" i="19"/>
  <c r="GH3" i="19"/>
  <c r="GG3" i="19"/>
  <c r="GF3" i="19"/>
  <c r="GE3" i="19"/>
  <c r="GD3" i="19"/>
  <c r="GC3" i="19"/>
  <c r="GB3" i="19"/>
  <c r="GA3" i="19"/>
  <c r="FZ3" i="19"/>
  <c r="FY3" i="19"/>
  <c r="FX3" i="19"/>
  <c r="FW3" i="19"/>
  <c r="FV3" i="19"/>
  <c r="FU3" i="19"/>
  <c r="FT3" i="19"/>
  <c r="FS3" i="19"/>
  <c r="FR3" i="19"/>
  <c r="FQ3" i="19"/>
  <c r="FP3" i="19"/>
  <c r="FO3" i="19"/>
  <c r="FN3" i="19"/>
  <c r="FJ3" i="19"/>
  <c r="FM3" i="19" s="1"/>
  <c r="FI3" i="19"/>
  <c r="FL3" i="19" s="1"/>
  <c r="FH3" i="19"/>
  <c r="FK3" i="19" s="1"/>
  <c r="FG3" i="19"/>
  <c r="FF3" i="19"/>
  <c r="FE3" i="19"/>
  <c r="FD3" i="19"/>
  <c r="FC3" i="19"/>
  <c r="FB3" i="19"/>
  <c r="FA3" i="19"/>
  <c r="EZ3" i="19"/>
  <c r="EY3" i="19"/>
  <c r="EX3" i="19"/>
  <c r="EW3" i="19"/>
  <c r="EV3" i="19"/>
  <c r="EU3" i="19"/>
  <c r="ET3" i="19"/>
  <c r="ES3" i="19"/>
  <c r="ER3" i="19"/>
  <c r="EQ3" i="19"/>
  <c r="EP3" i="19"/>
  <c r="EO3" i="19"/>
  <c r="EN3" i="19"/>
  <c r="EM3" i="19"/>
  <c r="EL3" i="19"/>
  <c r="EK3" i="19"/>
  <c r="EJ3" i="19"/>
  <c r="EI3" i="19"/>
  <c r="EH3" i="19"/>
  <c r="EG3" i="19"/>
  <c r="EF3" i="19"/>
  <c r="EE3" i="19"/>
  <c r="ED3" i="19"/>
  <c r="EC3" i="19"/>
  <c r="EB3" i="19"/>
  <c r="EA3" i="19"/>
  <c r="DY3" i="19"/>
  <c r="DX3" i="19"/>
  <c r="DV3" i="19"/>
  <c r="DU3" i="19"/>
  <c r="DT3" i="19"/>
  <c r="DS3" i="19"/>
  <c r="DR3" i="19"/>
  <c r="DQ3" i="19"/>
  <c r="DP3" i="19"/>
  <c r="DO3" i="19"/>
  <c r="DN3" i="19"/>
  <c r="DK3" i="19"/>
  <c r="DJ3" i="19"/>
  <c r="DI3" i="19"/>
  <c r="DH3" i="19"/>
  <c r="DG3" i="19"/>
  <c r="DF3" i="19"/>
  <c r="DE3" i="19"/>
  <c r="DD3" i="19"/>
  <c r="DC3" i="19"/>
  <c r="DB3" i="19"/>
  <c r="DA3" i="19"/>
  <c r="CV3" i="19"/>
  <c r="CU3" i="19"/>
  <c r="CT3" i="19"/>
  <c r="CS3" i="19"/>
  <c r="GN3" i="19" s="1"/>
  <c r="CR3" i="19"/>
  <c r="GM3" i="19" s="1"/>
  <c r="CQ3" i="19"/>
  <c r="GL3" i="19" s="1"/>
  <c r="CP3" i="19"/>
  <c r="GJ3" i="19" s="1"/>
  <c r="GK3" i="19" s="1"/>
  <c r="CO3" i="19"/>
  <c r="DZ3" i="19" s="1"/>
  <c r="CN3" i="19"/>
  <c r="CM3" i="19"/>
  <c r="CL3" i="19"/>
  <c r="DW3" i="19" s="1"/>
  <c r="CG3" i="19" a="1"/>
  <c r="CG3" i="19" s="1"/>
  <c r="AW3" i="19"/>
  <c r="AV3" i="19"/>
  <c r="AX3" i="19" s="1"/>
  <c r="J3" i="19"/>
  <c r="G3" i="19"/>
  <c r="HX5" i="19" a="1"/>
  <c r="HX5" i="19" s="1"/>
  <c r="IW5" i="19" s="1"/>
  <c r="HW5" i="19" a="1"/>
  <c r="HW5" i="19" s="1"/>
  <c r="IV5" i="19" s="1"/>
  <c r="HV5" i="19" a="1"/>
  <c r="HV5" i="19" s="1"/>
  <c r="IU5" i="19" s="1"/>
  <c r="HU5" i="19" a="1"/>
  <c r="HU5" i="19" s="1"/>
  <c r="IT5" i="19" s="1"/>
  <c r="HT5" i="19" a="1"/>
  <c r="HT5" i="19" s="1"/>
  <c r="IS5" i="19" s="1"/>
  <c r="HS5" i="19" a="1"/>
  <c r="HS5" i="19" s="1"/>
  <c r="IR5" i="19" s="1"/>
  <c r="HR5" i="19" a="1"/>
  <c r="HR5" i="19" s="1"/>
  <c r="IQ5" i="19" s="1"/>
  <c r="HQ5" i="19" a="1"/>
  <c r="HQ5" i="19" s="1"/>
  <c r="IP5" i="19" s="1"/>
  <c r="HP5" i="19" a="1"/>
  <c r="HP5" i="19" s="1"/>
  <c r="IO5" i="19" s="1"/>
  <c r="HL5" i="19"/>
  <c r="HJ5" i="19"/>
  <c r="HH5" i="19"/>
  <c r="HI5" i="19" s="1"/>
  <c r="HB5" i="19"/>
  <c r="HA5" i="19"/>
  <c r="GZ5" i="19"/>
  <c r="GY5" i="19"/>
  <c r="GX5" i="19"/>
  <c r="GW5" i="19"/>
  <c r="GV5" i="19"/>
  <c r="GU5" i="19"/>
  <c r="GT5" i="19"/>
  <c r="HC5" i="19" s="1"/>
  <c r="GP5" i="19"/>
  <c r="GN5" i="19"/>
  <c r="GM5" i="19"/>
  <c r="GL5" i="19"/>
  <c r="GJ5" i="19"/>
  <c r="GK5" i="19" s="1"/>
  <c r="GI5" i="19"/>
  <c r="GH5" i="19"/>
  <c r="GG5" i="19"/>
  <c r="GF5" i="19"/>
  <c r="GE5" i="19"/>
  <c r="GB5" i="19"/>
  <c r="GA5" i="19"/>
  <c r="FZ5" i="19"/>
  <c r="FY5" i="19"/>
  <c r="FW5" i="19"/>
  <c r="FV5" i="19"/>
  <c r="FU5" i="19"/>
  <c r="FT5" i="19"/>
  <c r="FS5" i="19"/>
  <c r="FR5" i="19"/>
  <c r="FQ5" i="19"/>
  <c r="FP5" i="19"/>
  <c r="FJ5" i="19"/>
  <c r="FM5" i="19" s="1"/>
  <c r="FI5" i="19"/>
  <c r="FL5" i="19" s="1"/>
  <c r="FH5" i="19"/>
  <c r="FK5" i="19" s="1"/>
  <c r="FG5" i="19"/>
  <c r="FF5" i="19"/>
  <c r="FE5" i="19"/>
  <c r="FO5" i="19" s="1"/>
  <c r="FD5" i="19"/>
  <c r="FB5" i="19"/>
  <c r="FA5" i="19"/>
  <c r="EZ5" i="19"/>
  <c r="EY5" i="19"/>
  <c r="EX5" i="19"/>
  <c r="EW5" i="19"/>
  <c r="EV5" i="19"/>
  <c r="EU5" i="19"/>
  <c r="ET5" i="19"/>
  <c r="ES5" i="19"/>
  <c r="ER5" i="19"/>
  <c r="EQ5" i="19"/>
  <c r="EP5" i="19"/>
  <c r="EO5" i="19"/>
  <c r="EN5" i="19"/>
  <c r="EM5" i="19"/>
  <c r="EL5" i="19"/>
  <c r="EK5" i="19"/>
  <c r="EJ5" i="19"/>
  <c r="EI5" i="19"/>
  <c r="EH5" i="19"/>
  <c r="EG5" i="19"/>
  <c r="EF5" i="19"/>
  <c r="EE5" i="19"/>
  <c r="ED5" i="19"/>
  <c r="EC5" i="19"/>
  <c r="EB5" i="19"/>
  <c r="EA5" i="19"/>
  <c r="DU5" i="19"/>
  <c r="DT5" i="19"/>
  <c r="DS5" i="19"/>
  <c r="DR5" i="19"/>
  <c r="DQ5" i="19"/>
  <c r="DP5" i="19"/>
  <c r="DO5" i="19"/>
  <c r="DN5" i="19"/>
  <c r="DK5" i="19"/>
  <c r="DJ5" i="19"/>
  <c r="DI5" i="19"/>
  <c r="DH5" i="19"/>
  <c r="DG5" i="19"/>
  <c r="DF5" i="19"/>
  <c r="DE5" i="19"/>
  <c r="DD5" i="19"/>
  <c r="DB5" i="19"/>
  <c r="DA5" i="19"/>
  <c r="CV5" i="19"/>
  <c r="CU5" i="19"/>
  <c r="CT5" i="19"/>
  <c r="CS5" i="19"/>
  <c r="CR5" i="19"/>
  <c r="CQ5" i="19"/>
  <c r="CP5" i="19"/>
  <c r="CO5" i="19"/>
  <c r="DZ5" i="19" s="1"/>
  <c r="CN5" i="19"/>
  <c r="DY5" i="19" s="1"/>
  <c r="CM5" i="19"/>
  <c r="DX5" i="19" s="1"/>
  <c r="CL5" i="19"/>
  <c r="DW5" i="19" s="1"/>
  <c r="CG5" i="19" a="1"/>
  <c r="CG5" i="19" s="1"/>
  <c r="AW5" i="19"/>
  <c r="AV5" i="19"/>
  <c r="J5" i="19"/>
  <c r="G5" i="19"/>
  <c r="IT4" i="19"/>
  <c r="IS4" i="19"/>
  <c r="HX4" i="19" a="1"/>
  <c r="HX4" i="19" s="1"/>
  <c r="IW4" i="19" s="1"/>
  <c r="HW4" i="19" a="1"/>
  <c r="HW4" i="19" s="1"/>
  <c r="IV4" i="19" s="1"/>
  <c r="HV4" i="19"/>
  <c r="IU4" i="19" s="1"/>
  <c r="HV4" i="19" a="1"/>
  <c r="HU4" i="19" a="1"/>
  <c r="HU4" i="19" s="1"/>
  <c r="HT4" i="19" a="1"/>
  <c r="HT4" i="19" s="1"/>
  <c r="HS4" i="19" a="1"/>
  <c r="HS4" i="19" s="1"/>
  <c r="IR4" i="19" s="1"/>
  <c r="HR4" i="19" a="1"/>
  <c r="HR4" i="19" s="1"/>
  <c r="IQ4" i="19" s="1"/>
  <c r="HQ4" i="19" a="1"/>
  <c r="HQ4" i="19" s="1"/>
  <c r="IP4" i="19" s="1"/>
  <c r="HP4" i="19" a="1"/>
  <c r="HP4" i="19" s="1"/>
  <c r="IO4" i="19" s="1"/>
  <c r="HL4" i="19"/>
  <c r="HJ4" i="19"/>
  <c r="HH4" i="19"/>
  <c r="HB4" i="19"/>
  <c r="HA4" i="19"/>
  <c r="GZ4" i="19"/>
  <c r="HC4" i="19" s="1"/>
  <c r="GY4" i="19"/>
  <c r="GX4" i="19"/>
  <c r="GW4" i="19"/>
  <c r="GV4" i="19"/>
  <c r="GU4" i="19"/>
  <c r="GT4" i="19"/>
  <c r="GP4" i="19"/>
  <c r="GN4" i="19"/>
  <c r="GM4" i="19"/>
  <c r="GL4" i="19"/>
  <c r="GI4" i="19"/>
  <c r="GH4" i="19"/>
  <c r="GG4" i="19"/>
  <c r="GF4" i="19"/>
  <c r="GE4" i="19"/>
  <c r="GB4" i="19"/>
  <c r="GA4" i="19"/>
  <c r="FZ4" i="19"/>
  <c r="FY4" i="19"/>
  <c r="FW4" i="19"/>
  <c r="FV4" i="19"/>
  <c r="FU4" i="19"/>
  <c r="FT4" i="19"/>
  <c r="FS4" i="19"/>
  <c r="FR4" i="19"/>
  <c r="FQ4" i="19"/>
  <c r="FP4" i="19"/>
  <c r="FO4" i="19"/>
  <c r="FN4" i="19"/>
  <c r="FL4" i="19"/>
  <c r="FK4" i="19"/>
  <c r="FJ4" i="19"/>
  <c r="FM4" i="19" s="1"/>
  <c r="FI4" i="19"/>
  <c r="FH4" i="19"/>
  <c r="FG4" i="19"/>
  <c r="FF4" i="19"/>
  <c r="FE4" i="19"/>
  <c r="FD4" i="19"/>
  <c r="FB4" i="19"/>
  <c r="FA4" i="19"/>
  <c r="EZ4" i="19"/>
  <c r="EY4" i="19"/>
  <c r="EX4" i="19"/>
  <c r="EW4" i="19"/>
  <c r="EV4" i="19"/>
  <c r="EU4" i="19"/>
  <c r="ET4" i="19"/>
  <c r="ES4" i="19"/>
  <c r="ER4" i="19"/>
  <c r="EQ4" i="19"/>
  <c r="EP4" i="19"/>
  <c r="EO4" i="19"/>
  <c r="EN4" i="19"/>
  <c r="EM4" i="19"/>
  <c r="EL4" i="19"/>
  <c r="EK4" i="19"/>
  <c r="EJ4" i="19"/>
  <c r="EI4" i="19"/>
  <c r="EH4" i="19"/>
  <c r="EG4" i="19"/>
  <c r="EF4" i="19"/>
  <c r="EE4" i="19"/>
  <c r="ED4" i="19"/>
  <c r="EC4" i="19"/>
  <c r="EB4" i="19"/>
  <c r="EA4" i="19"/>
  <c r="DZ4" i="19"/>
  <c r="DY4" i="19"/>
  <c r="DU4" i="19"/>
  <c r="DT4" i="19"/>
  <c r="DS4" i="19"/>
  <c r="DR4" i="19"/>
  <c r="DQ4" i="19"/>
  <c r="DP4" i="19"/>
  <c r="DO4" i="19"/>
  <c r="DN4" i="19"/>
  <c r="DM4" i="19" a="1"/>
  <c r="DM4" i="19" s="1"/>
  <c r="DK4" i="19"/>
  <c r="DJ4" i="19"/>
  <c r="DI4" i="19"/>
  <c r="DH4" i="19"/>
  <c r="DG4" i="19"/>
  <c r="DF4" i="19"/>
  <c r="DE4" i="19"/>
  <c r="DD4" i="19"/>
  <c r="DB4" i="19"/>
  <c r="DA4" i="19"/>
  <c r="CV4" i="19"/>
  <c r="CU4" i="19"/>
  <c r="CT4" i="19"/>
  <c r="CS4" i="19"/>
  <c r="CR4" i="19"/>
  <c r="CQ4" i="19"/>
  <c r="CP4" i="19"/>
  <c r="GJ4" i="19" s="1"/>
  <c r="GK4" i="19" s="1"/>
  <c r="CO4" i="19"/>
  <c r="CN4" i="19"/>
  <c r="CM4" i="19"/>
  <c r="DX4" i="19" s="1"/>
  <c r="CL4" i="19"/>
  <c r="DW4" i="19" s="1"/>
  <c r="CG4" i="19" a="1"/>
  <c r="CG4" i="19" s="1"/>
  <c r="AW4" i="19"/>
  <c r="AV4" i="19"/>
  <c r="J4" i="19"/>
  <c r="HI4" i="19" s="1"/>
  <c r="G4" i="19"/>
  <c r="HX4" i="24" a="1"/>
  <c r="HX4" i="24" s="1"/>
  <c r="IW4" i="24" s="1"/>
  <c r="HW4" i="24" a="1"/>
  <c r="HW4" i="24" s="1"/>
  <c r="IV4" i="24" s="1"/>
  <c r="HV4" i="24" a="1"/>
  <c r="HV4" i="24" s="1"/>
  <c r="IU4" i="24" s="1"/>
  <c r="HU4" i="24" a="1"/>
  <c r="HU4" i="24" s="1"/>
  <c r="IT4" i="24" s="1"/>
  <c r="HT4" i="24" a="1"/>
  <c r="HT4" i="24" s="1"/>
  <c r="IS4" i="24" s="1"/>
  <c r="HS4" i="24" a="1"/>
  <c r="HS4" i="24" s="1"/>
  <c r="IR4" i="24" s="1"/>
  <c r="HR4" i="24" a="1"/>
  <c r="HR4" i="24" s="1"/>
  <c r="IQ4" i="24" s="1"/>
  <c r="HQ4" i="24" a="1"/>
  <c r="HQ4" i="24" s="1"/>
  <c r="IP4" i="24" s="1"/>
  <c r="HP4" i="24" a="1"/>
  <c r="HP4" i="24" s="1"/>
  <c r="IO4" i="24" s="1"/>
  <c r="HL4" i="24"/>
  <c r="HJ4" i="24"/>
  <c r="HH4" i="24"/>
  <c r="HI4" i="24" s="1"/>
  <c r="HB4" i="24"/>
  <c r="HA4" i="24"/>
  <c r="GZ4" i="24"/>
  <c r="GY4" i="24"/>
  <c r="GX4" i="24"/>
  <c r="GW4" i="24"/>
  <c r="GV4" i="24"/>
  <c r="GU4" i="24"/>
  <c r="GT4" i="24"/>
  <c r="HC4" i="24" s="1"/>
  <c r="GP4" i="24"/>
  <c r="GM4" i="24"/>
  <c r="GL4" i="24"/>
  <c r="GJ4" i="24"/>
  <c r="GK4" i="24" s="1"/>
  <c r="GI4" i="24"/>
  <c r="GH4" i="24"/>
  <c r="GG4" i="24"/>
  <c r="GF4" i="24"/>
  <c r="GE4" i="24"/>
  <c r="GB4" i="24"/>
  <c r="GA4" i="24"/>
  <c r="FZ4" i="24"/>
  <c r="FY4" i="24"/>
  <c r="FW4" i="24"/>
  <c r="FV4" i="24"/>
  <c r="FU4" i="24"/>
  <c r="FT4" i="24"/>
  <c r="FS4" i="24"/>
  <c r="FR4" i="24"/>
  <c r="FQ4" i="24"/>
  <c r="FP4" i="24"/>
  <c r="FJ4" i="24"/>
  <c r="FM4" i="24" s="1"/>
  <c r="FI4" i="24"/>
  <c r="FL4" i="24" s="1"/>
  <c r="FH4" i="24"/>
  <c r="FK4" i="24" s="1"/>
  <c r="FG4" i="24"/>
  <c r="FF4" i="24"/>
  <c r="FE4" i="24"/>
  <c r="FO4" i="24" s="1"/>
  <c r="FD4" i="24"/>
  <c r="FB4" i="24"/>
  <c r="FA4" i="24"/>
  <c r="EZ4" i="24"/>
  <c r="EY4" i="24"/>
  <c r="EX4" i="24"/>
  <c r="EW4" i="24"/>
  <c r="EV4" i="24"/>
  <c r="EU4" i="24"/>
  <c r="ET4" i="24"/>
  <c r="ES4" i="24"/>
  <c r="ER4" i="24"/>
  <c r="EQ4" i="24"/>
  <c r="EP4" i="24"/>
  <c r="EO4" i="24"/>
  <c r="EN4" i="24"/>
  <c r="EM4" i="24"/>
  <c r="EL4" i="24"/>
  <c r="EK4" i="24"/>
  <c r="EJ4" i="24"/>
  <c r="EI4" i="24"/>
  <c r="EH4" i="24"/>
  <c r="EG4" i="24"/>
  <c r="EF4" i="24"/>
  <c r="EE4" i="24"/>
  <c r="ED4" i="24"/>
  <c r="EC4" i="24"/>
  <c r="EB4" i="24"/>
  <c r="EA4" i="24"/>
  <c r="DU4" i="24"/>
  <c r="DT4" i="24"/>
  <c r="DS4" i="24"/>
  <c r="DR4" i="24"/>
  <c r="DQ4" i="24"/>
  <c r="DP4" i="24"/>
  <c r="DO4" i="24"/>
  <c r="DN4" i="24"/>
  <c r="DK4" i="24"/>
  <c r="DJ4" i="24"/>
  <c r="DI4" i="24"/>
  <c r="DH4" i="24"/>
  <c r="DG4" i="24"/>
  <c r="DF4" i="24"/>
  <c r="DE4" i="24"/>
  <c r="DD4" i="24"/>
  <c r="DB4" i="24"/>
  <c r="DA4" i="24"/>
  <c r="CV4" i="24"/>
  <c r="CU4" i="24"/>
  <c r="CT4" i="24"/>
  <c r="CS4" i="24"/>
  <c r="GN4" i="24" s="1"/>
  <c r="CR4" i="24"/>
  <c r="CQ4" i="24"/>
  <c r="CP4" i="24"/>
  <c r="CO4" i="24"/>
  <c r="DZ4" i="24" s="1"/>
  <c r="CN4" i="24"/>
  <c r="DY4" i="24" s="1"/>
  <c r="CM4" i="24"/>
  <c r="DX4" i="24" s="1"/>
  <c r="CL4" i="24"/>
  <c r="DW4" i="24" s="1"/>
  <c r="CG4" i="24" a="1"/>
  <c r="CG4" i="24" s="1"/>
  <c r="AW4" i="24"/>
  <c r="AV4" i="24"/>
  <c r="J4" i="24"/>
  <c r="G4" i="24"/>
  <c r="IQ3" i="24"/>
  <c r="IL3" i="24"/>
  <c r="HX3" i="24"/>
  <c r="IW3" i="24" s="1"/>
  <c r="HX3" i="24" a="1"/>
  <c r="HW3" i="24" a="1"/>
  <c r="HW3" i="24" s="1"/>
  <c r="IV3" i="24" s="1"/>
  <c r="HV3" i="24" a="1"/>
  <c r="HV3" i="24" s="1"/>
  <c r="IU3" i="24" s="1"/>
  <c r="HU3" i="24" a="1"/>
  <c r="HU3" i="24" s="1"/>
  <c r="IT3" i="24" s="1"/>
  <c r="HT3" i="24" a="1"/>
  <c r="HT3" i="24" s="1"/>
  <c r="IS3" i="24" s="1"/>
  <c r="HS3" i="24"/>
  <c r="IR3" i="24" s="1"/>
  <c r="HS3" i="24" a="1"/>
  <c r="HR3" i="24"/>
  <c r="HR3" i="24" a="1"/>
  <c r="HQ3" i="24" a="1"/>
  <c r="HQ3" i="24" s="1"/>
  <c r="IP3" i="24" s="1"/>
  <c r="HP3" i="24" a="1"/>
  <c r="HP3" i="24" s="1"/>
  <c r="IO3" i="24" s="1"/>
  <c r="HL3" i="24"/>
  <c r="HJ3" i="24"/>
  <c r="HI3" i="24"/>
  <c r="HH3" i="24"/>
  <c r="HB3" i="24"/>
  <c r="HA3" i="24"/>
  <c r="GZ3" i="24"/>
  <c r="GY3" i="24"/>
  <c r="GX3" i="24"/>
  <c r="GW3" i="24"/>
  <c r="GV3" i="24"/>
  <c r="GU3" i="24"/>
  <c r="HC3" i="24" s="1"/>
  <c r="GT3" i="24"/>
  <c r="GP3" i="24"/>
  <c r="GI3" i="24"/>
  <c r="GH3" i="24"/>
  <c r="GG3" i="24"/>
  <c r="GF3" i="24"/>
  <c r="GE3" i="24"/>
  <c r="GD3" i="24"/>
  <c r="GC3" i="24"/>
  <c r="GB3" i="24"/>
  <c r="GA3" i="24"/>
  <c r="FZ3" i="24"/>
  <c r="FY3" i="24"/>
  <c r="FX3" i="24"/>
  <c r="FW3" i="24"/>
  <c r="FV3" i="24"/>
  <c r="FU3" i="24"/>
  <c r="FT3" i="24"/>
  <c r="FS3" i="24"/>
  <c r="FR3" i="24"/>
  <c r="FQ3" i="24"/>
  <c r="FP3" i="24"/>
  <c r="FO3" i="24"/>
  <c r="FN3" i="24"/>
  <c r="FJ3" i="24"/>
  <c r="FM3" i="24" s="1"/>
  <c r="FI3" i="24"/>
  <c r="FL3" i="24" s="1"/>
  <c r="FH3" i="24"/>
  <c r="FK3" i="24" s="1"/>
  <c r="FG3" i="24"/>
  <c r="FF3" i="24"/>
  <c r="FE3" i="24"/>
  <c r="FD3" i="24"/>
  <c r="FC3" i="24"/>
  <c r="FB3" i="24"/>
  <c r="FA3" i="24"/>
  <c r="EZ3" i="24"/>
  <c r="EY3" i="24"/>
  <c r="EX3" i="24"/>
  <c r="EW3" i="24"/>
  <c r="EV3" i="24"/>
  <c r="EU3" i="24"/>
  <c r="ET3" i="24"/>
  <c r="ES3" i="24"/>
  <c r="ER3" i="24"/>
  <c r="EQ3" i="24"/>
  <c r="EP3" i="24"/>
  <c r="EO3" i="24"/>
  <c r="EN3" i="24"/>
  <c r="EM3" i="24"/>
  <c r="EL3" i="24"/>
  <c r="EK3" i="24"/>
  <c r="EJ3" i="24"/>
  <c r="EI3" i="24"/>
  <c r="EH3" i="24"/>
  <c r="EG3" i="24"/>
  <c r="EF3" i="24"/>
  <c r="EE3" i="24"/>
  <c r="ED3" i="24"/>
  <c r="EC3" i="24"/>
  <c r="EB3" i="24"/>
  <c r="EA3" i="24"/>
  <c r="DY3" i="24"/>
  <c r="DX3" i="24"/>
  <c r="DW3" i="24"/>
  <c r="DV3" i="24"/>
  <c r="DU3" i="24"/>
  <c r="DT3" i="24"/>
  <c r="DS3" i="24"/>
  <c r="DR3" i="24"/>
  <c r="DQ3" i="24"/>
  <c r="DP3" i="24"/>
  <c r="DO3" i="24"/>
  <c r="DN3" i="24"/>
  <c r="DK3" i="24"/>
  <c r="DJ3" i="24"/>
  <c r="DI3" i="24"/>
  <c r="DH3" i="24"/>
  <c r="DG3" i="24"/>
  <c r="DF3" i="24"/>
  <c r="DE3" i="24"/>
  <c r="DD3" i="24"/>
  <c r="DC3" i="24"/>
  <c r="DB3" i="24"/>
  <c r="DA3" i="24"/>
  <c r="CV3" i="24"/>
  <c r="CU3" i="24"/>
  <c r="CT3" i="24"/>
  <c r="CS3" i="24"/>
  <c r="GN3" i="24" s="1"/>
  <c r="CR3" i="24"/>
  <c r="GM3" i="24" s="1"/>
  <c r="CQ3" i="24"/>
  <c r="GL3" i="24" s="1"/>
  <c r="CP3" i="24"/>
  <c r="GJ3" i="24" s="1"/>
  <c r="GK3" i="24" s="1"/>
  <c r="CO3" i="24"/>
  <c r="DZ3" i="24" s="1"/>
  <c r="CN3" i="24"/>
  <c r="CM3" i="24"/>
  <c r="CL3" i="24"/>
  <c r="CG3" i="24" a="1"/>
  <c r="CG3" i="24" s="1"/>
  <c r="AW3" i="24"/>
  <c r="AV3" i="24"/>
  <c r="AX3" i="24" s="1"/>
  <c r="J3" i="24"/>
  <c r="G3" i="24"/>
  <c r="IQ2" i="21"/>
  <c r="IL2" i="21"/>
  <c r="HX2" i="21"/>
  <c r="IW2" i="21" s="1"/>
  <c r="HX2" i="21" a="1"/>
  <c r="HW2" i="21" a="1"/>
  <c r="HW2" i="21" s="1"/>
  <c r="IV2" i="21" s="1"/>
  <c r="HV2" i="21" a="1"/>
  <c r="HV2" i="21" s="1"/>
  <c r="IU2" i="21" s="1"/>
  <c r="HU2" i="21" a="1"/>
  <c r="HU2" i="21" s="1"/>
  <c r="IT2" i="21" s="1"/>
  <c r="HT2" i="21" a="1"/>
  <c r="HT2" i="21" s="1"/>
  <c r="IS2" i="21" s="1"/>
  <c r="HS2" i="21"/>
  <c r="IR2" i="21" s="1"/>
  <c r="HS2" i="21" a="1"/>
  <c r="HR2" i="21"/>
  <c r="HR2" i="21" a="1"/>
  <c r="HQ2" i="21" a="1"/>
  <c r="HQ2" i="21" s="1"/>
  <c r="IP2" i="21" s="1"/>
  <c r="HP2" i="21" a="1"/>
  <c r="HP2" i="21" s="1"/>
  <c r="IO2" i="21" s="1"/>
  <c r="HL2" i="21"/>
  <c r="HJ2" i="21"/>
  <c r="HI2" i="21"/>
  <c r="HH2" i="21"/>
  <c r="HB2" i="21"/>
  <c r="HA2" i="21"/>
  <c r="GZ2" i="21"/>
  <c r="GY2" i="21"/>
  <c r="GX2" i="21"/>
  <c r="GW2" i="21"/>
  <c r="GV2" i="21"/>
  <c r="GU2" i="21"/>
  <c r="GT2" i="21"/>
  <c r="HC2" i="21" s="1"/>
  <c r="GP2" i="21"/>
  <c r="GI2" i="21"/>
  <c r="GH2" i="21"/>
  <c r="GG2" i="21"/>
  <c r="GF2" i="21"/>
  <c r="GE2" i="21"/>
  <c r="GD2" i="21"/>
  <c r="GC2" i="21"/>
  <c r="GB2" i="21"/>
  <c r="GA2" i="21"/>
  <c r="FZ2" i="21"/>
  <c r="FY2" i="21"/>
  <c r="FX2" i="21"/>
  <c r="FW2" i="21"/>
  <c r="FV2" i="21"/>
  <c r="FU2" i="21"/>
  <c r="FT2" i="21"/>
  <c r="FS2" i="21"/>
  <c r="FR2" i="21"/>
  <c r="FQ2" i="21"/>
  <c r="FO2" i="21"/>
  <c r="FN2" i="21"/>
  <c r="FJ2" i="21"/>
  <c r="FM2" i="21" s="1"/>
  <c r="FI2" i="21"/>
  <c r="FL2" i="21" s="1"/>
  <c r="FH2" i="21"/>
  <c r="FK2" i="21" s="1"/>
  <c r="FG2" i="21"/>
  <c r="FF2" i="21"/>
  <c r="FP2" i="21" s="1"/>
  <c r="FE2" i="21"/>
  <c r="FD2" i="21"/>
  <c r="FC2" i="21"/>
  <c r="FB2" i="21"/>
  <c r="FA2" i="21"/>
  <c r="EZ2" i="21"/>
  <c r="EY2" i="21"/>
  <c r="EX2" i="21"/>
  <c r="EW2" i="21"/>
  <c r="EV2" i="21"/>
  <c r="EU2" i="21"/>
  <c r="ET2" i="21"/>
  <c r="ES2" i="21"/>
  <c r="ER2" i="21"/>
  <c r="EQ2" i="21"/>
  <c r="EP2" i="21"/>
  <c r="EO2" i="21"/>
  <c r="EN2" i="21"/>
  <c r="EM2" i="21"/>
  <c r="EL2" i="21"/>
  <c r="EK2" i="21"/>
  <c r="EJ2" i="21"/>
  <c r="EI2" i="21"/>
  <c r="EH2" i="21"/>
  <c r="EG2" i="21"/>
  <c r="EF2" i="21"/>
  <c r="EE2" i="21"/>
  <c r="ED2" i="21"/>
  <c r="EC2" i="21"/>
  <c r="EB2" i="21"/>
  <c r="EA2" i="21"/>
  <c r="DY2" i="21"/>
  <c r="DX2" i="21"/>
  <c r="DW2" i="21"/>
  <c r="DV2" i="21"/>
  <c r="DU2" i="21"/>
  <c r="DT2" i="21"/>
  <c r="DS2" i="21"/>
  <c r="DR2" i="21"/>
  <c r="DQ2" i="21"/>
  <c r="DP2" i="21"/>
  <c r="DO2" i="21"/>
  <c r="DN2" i="21"/>
  <c r="DK2" i="21"/>
  <c r="DJ2" i="21"/>
  <c r="DI2" i="21"/>
  <c r="DH2" i="21"/>
  <c r="DG2" i="21"/>
  <c r="DF2" i="21"/>
  <c r="DE2" i="21"/>
  <c r="DD2" i="21"/>
  <c r="DC2" i="21"/>
  <c r="DB2" i="21"/>
  <c r="DA2" i="21"/>
  <c r="CV2" i="21"/>
  <c r="CU2" i="21"/>
  <c r="CT2" i="21"/>
  <c r="CS2" i="21"/>
  <c r="GN2" i="21" s="1"/>
  <c r="CR2" i="21"/>
  <c r="GM2" i="21" s="1"/>
  <c r="CQ2" i="21"/>
  <c r="GL2" i="21" s="1"/>
  <c r="CP2" i="21"/>
  <c r="GJ2" i="21" s="1"/>
  <c r="GK2" i="21" s="1"/>
  <c r="CO2" i="21"/>
  <c r="DZ2" i="21" s="1"/>
  <c r="CN2" i="21"/>
  <c r="CM2" i="21"/>
  <c r="CL2" i="21"/>
  <c r="CG2" i="21" a="1"/>
  <c r="CG2" i="21" s="1"/>
  <c r="AW2" i="21"/>
  <c r="AV2" i="21"/>
  <c r="AX2" i="21" s="1"/>
  <c r="J2" i="21"/>
  <c r="G2" i="21"/>
  <c r="HX3" i="21" a="1"/>
  <c r="HX3" i="21" s="1"/>
  <c r="IW3" i="21" s="1"/>
  <c r="HW3" i="21" a="1"/>
  <c r="HW3" i="21" s="1"/>
  <c r="IV3" i="21" s="1"/>
  <c r="HV3" i="21" a="1"/>
  <c r="HV3" i="21" s="1"/>
  <c r="IU3" i="21" s="1"/>
  <c r="HU3" i="21" a="1"/>
  <c r="HU3" i="21" s="1"/>
  <c r="IT3" i="21" s="1"/>
  <c r="HT3" i="21" a="1"/>
  <c r="HT3" i="21" s="1"/>
  <c r="IS3" i="21" s="1"/>
  <c r="HS3" i="21" a="1"/>
  <c r="HS3" i="21" s="1"/>
  <c r="IR3" i="21" s="1"/>
  <c r="HR3" i="21" a="1"/>
  <c r="HR3" i="21" s="1"/>
  <c r="IQ3" i="21" s="1"/>
  <c r="HQ3" i="21" a="1"/>
  <c r="HQ3" i="21" s="1"/>
  <c r="IP3" i="21" s="1"/>
  <c r="HP3" i="21" a="1"/>
  <c r="HP3" i="21" s="1"/>
  <c r="IO3" i="21" s="1"/>
  <c r="HL3" i="21"/>
  <c r="HJ3" i="21"/>
  <c r="HH3" i="21"/>
  <c r="HI3" i="21" s="1"/>
  <c r="HB3" i="21"/>
  <c r="HA3" i="21"/>
  <c r="GZ3" i="21"/>
  <c r="GY3" i="21"/>
  <c r="GX3" i="21"/>
  <c r="GW3" i="21"/>
  <c r="GV3" i="21"/>
  <c r="GU3" i="21"/>
  <c r="GT3" i="21"/>
  <c r="HC3" i="21" s="1"/>
  <c r="GP3" i="21"/>
  <c r="GN3" i="21"/>
  <c r="GM3" i="21"/>
  <c r="GL3" i="21"/>
  <c r="GJ3" i="21"/>
  <c r="GK3" i="21" s="1"/>
  <c r="GI3" i="21"/>
  <c r="GH3" i="21"/>
  <c r="GG3" i="21"/>
  <c r="GF3" i="21"/>
  <c r="GE3" i="21"/>
  <c r="GB3" i="21"/>
  <c r="GA3" i="21"/>
  <c r="FZ3" i="21"/>
  <c r="FY3" i="21"/>
  <c r="FW3" i="21"/>
  <c r="FV3" i="21"/>
  <c r="FU3" i="21"/>
  <c r="FT3" i="21"/>
  <c r="FS3" i="21"/>
  <c r="FR3" i="21"/>
  <c r="FQ3" i="21"/>
  <c r="FP3" i="21"/>
  <c r="FJ3" i="21"/>
  <c r="FM3" i="21" s="1"/>
  <c r="FI3" i="21"/>
  <c r="FL3" i="21" s="1"/>
  <c r="FH3" i="21"/>
  <c r="FK3" i="21" s="1"/>
  <c r="FG3" i="21"/>
  <c r="FF3" i="21"/>
  <c r="FE3" i="21"/>
  <c r="FO3" i="21" s="1"/>
  <c r="FD3" i="21"/>
  <c r="FB3" i="21"/>
  <c r="FA3" i="21"/>
  <c r="EZ3" i="21"/>
  <c r="EY3" i="21"/>
  <c r="EX3" i="21"/>
  <c r="EW3" i="21"/>
  <c r="EV3" i="21"/>
  <c r="EU3" i="21"/>
  <c r="ET3" i="21"/>
  <c r="ES3" i="21"/>
  <c r="ER3" i="21"/>
  <c r="EQ3" i="21"/>
  <c r="EP3" i="21"/>
  <c r="EO3" i="21"/>
  <c r="EN3" i="21"/>
  <c r="EM3" i="21"/>
  <c r="EL3" i="21"/>
  <c r="EK3" i="21"/>
  <c r="EJ3" i="21"/>
  <c r="EI3" i="21"/>
  <c r="EH3" i="21"/>
  <c r="EG3" i="21"/>
  <c r="EF3" i="21"/>
  <c r="EE3" i="21"/>
  <c r="ED3" i="21"/>
  <c r="EC3" i="21"/>
  <c r="EB3" i="21"/>
  <c r="EA3" i="21"/>
  <c r="DU3" i="21"/>
  <c r="DT3" i="21"/>
  <c r="DS3" i="21"/>
  <c r="DR3" i="21"/>
  <c r="DQ3" i="21"/>
  <c r="DP3" i="21"/>
  <c r="DO3" i="21"/>
  <c r="DN3" i="21"/>
  <c r="DK3" i="21"/>
  <c r="DJ3" i="21"/>
  <c r="DI3" i="21"/>
  <c r="DH3" i="21"/>
  <c r="DG3" i="21"/>
  <c r="DF3" i="21"/>
  <c r="DE3" i="21"/>
  <c r="DD3" i="21"/>
  <c r="DB3" i="21"/>
  <c r="DA3" i="21"/>
  <c r="CV3" i="21"/>
  <c r="CU3" i="21"/>
  <c r="CT3" i="21"/>
  <c r="CS3" i="21"/>
  <c r="CR3" i="21"/>
  <c r="CQ3" i="21"/>
  <c r="CP3" i="21"/>
  <c r="CO3" i="21"/>
  <c r="DZ3" i="21" s="1"/>
  <c r="CN3" i="21"/>
  <c r="DY3" i="21" s="1"/>
  <c r="CM3" i="21"/>
  <c r="DX3" i="21" s="1"/>
  <c r="CL3" i="21"/>
  <c r="DW3" i="21" s="1"/>
  <c r="CG3" i="21" a="1"/>
  <c r="CG3" i="21" s="1"/>
  <c r="AW3" i="21"/>
  <c r="AV3" i="21"/>
  <c r="J3" i="21"/>
  <c r="G3" i="21"/>
  <c r="HX7" i="20" a="1"/>
  <c r="HX7" i="20" s="1"/>
  <c r="IW7" i="20" s="1"/>
  <c r="HW7" i="20" a="1"/>
  <c r="HW7" i="20" s="1"/>
  <c r="IV7" i="20" s="1"/>
  <c r="HV7" i="20" a="1"/>
  <c r="HV7" i="20" s="1"/>
  <c r="IU7" i="20" s="1"/>
  <c r="HU7" i="20" a="1"/>
  <c r="HU7" i="20" s="1"/>
  <c r="IT7" i="20" s="1"/>
  <c r="HT7" i="20" a="1"/>
  <c r="HT7" i="20" s="1"/>
  <c r="IS7" i="20" s="1"/>
  <c r="HS7" i="20" a="1"/>
  <c r="HS7" i="20" s="1"/>
  <c r="IR7" i="20" s="1"/>
  <c r="HR7" i="20" a="1"/>
  <c r="HR7" i="20" s="1"/>
  <c r="IQ7" i="20" s="1"/>
  <c r="HQ7" i="20" a="1"/>
  <c r="HQ7" i="20" s="1"/>
  <c r="IP7" i="20" s="1"/>
  <c r="HP7" i="20" a="1"/>
  <c r="HP7" i="20" s="1"/>
  <c r="IO7" i="20" s="1"/>
  <c r="HL7" i="20"/>
  <c r="HJ7" i="20"/>
  <c r="HH7" i="20"/>
  <c r="HB7" i="20"/>
  <c r="HA7" i="20"/>
  <c r="GZ7" i="20"/>
  <c r="GY7" i="20"/>
  <c r="GX7" i="20"/>
  <c r="GW7" i="20"/>
  <c r="GV7" i="20"/>
  <c r="GU7" i="20"/>
  <c r="GT7" i="20"/>
  <c r="GP7" i="20"/>
  <c r="GN7" i="20"/>
  <c r="GM7" i="20"/>
  <c r="GI7" i="20"/>
  <c r="GH7" i="20"/>
  <c r="GG7" i="20"/>
  <c r="GF7" i="20"/>
  <c r="GE7" i="20"/>
  <c r="GB7" i="20"/>
  <c r="GA7" i="20"/>
  <c r="FZ7" i="20"/>
  <c r="FY7" i="20"/>
  <c r="FW7" i="20"/>
  <c r="FV7" i="20"/>
  <c r="FU7" i="20"/>
  <c r="FT7" i="20"/>
  <c r="FS7" i="20"/>
  <c r="FR7" i="20"/>
  <c r="FQ7" i="20"/>
  <c r="FJ7" i="20"/>
  <c r="FI7" i="20"/>
  <c r="FH7" i="20"/>
  <c r="FG7" i="20"/>
  <c r="FF7" i="20"/>
  <c r="FP7" i="20" s="1"/>
  <c r="FE7" i="20"/>
  <c r="FD7" i="20"/>
  <c r="FB7" i="20"/>
  <c r="FA7" i="20"/>
  <c r="EZ7" i="20"/>
  <c r="EY7" i="20"/>
  <c r="EX7" i="20"/>
  <c r="EW7" i="20"/>
  <c r="EV7" i="20"/>
  <c r="EU7" i="20"/>
  <c r="ET7" i="20"/>
  <c r="ES7" i="20"/>
  <c r="ER7" i="20"/>
  <c r="EQ7" i="20"/>
  <c r="EP7" i="20"/>
  <c r="EO7" i="20"/>
  <c r="EN7" i="20"/>
  <c r="EM7" i="20"/>
  <c r="EL7" i="20"/>
  <c r="EK7" i="20"/>
  <c r="EJ7" i="20"/>
  <c r="EI7" i="20"/>
  <c r="EH7" i="20"/>
  <c r="EG7" i="20"/>
  <c r="EF7" i="20"/>
  <c r="EE7" i="20"/>
  <c r="ED7" i="20"/>
  <c r="EC7" i="20"/>
  <c r="EB7" i="20"/>
  <c r="EA7" i="20"/>
  <c r="DU7" i="20"/>
  <c r="DT7" i="20"/>
  <c r="DS7" i="20"/>
  <c r="DR7" i="20"/>
  <c r="DQ7" i="20"/>
  <c r="DP7" i="20"/>
  <c r="DO7" i="20"/>
  <c r="DN7" i="20"/>
  <c r="DK7" i="20"/>
  <c r="DJ7" i="20"/>
  <c r="DI7" i="20"/>
  <c r="DH7" i="20"/>
  <c r="DG7" i="20"/>
  <c r="DF7" i="20"/>
  <c r="DE7" i="20"/>
  <c r="DD7" i="20"/>
  <c r="DB7" i="20"/>
  <c r="DA7" i="20"/>
  <c r="CV7" i="20"/>
  <c r="CU7" i="20"/>
  <c r="CT7" i="20"/>
  <c r="CS7" i="20"/>
  <c r="CR7" i="20"/>
  <c r="CQ7" i="20"/>
  <c r="GL7" i="20" s="1"/>
  <c r="CP7" i="20"/>
  <c r="GJ7" i="20" s="1"/>
  <c r="GK7" i="20" s="1"/>
  <c r="CO7" i="20"/>
  <c r="DZ7" i="20" s="1"/>
  <c r="CN7" i="20"/>
  <c r="DY7" i="20" s="1"/>
  <c r="CM7" i="20"/>
  <c r="DX7" i="20" s="1"/>
  <c r="CL7" i="20"/>
  <c r="DW7" i="20" s="1"/>
  <c r="CG7" i="20" a="1"/>
  <c r="CG7" i="20" s="1"/>
  <c r="AW7" i="20"/>
  <c r="AV7" i="20"/>
  <c r="J7" i="20"/>
  <c r="G7" i="20"/>
  <c r="IL6" i="20"/>
  <c r="HX6" i="20" a="1"/>
  <c r="HX6" i="20" s="1"/>
  <c r="IW6" i="20" s="1"/>
  <c r="HW6" i="20" a="1"/>
  <c r="HW6" i="20" s="1"/>
  <c r="IV6" i="20" s="1"/>
  <c r="HV6" i="20" a="1"/>
  <c r="HV6" i="20" s="1"/>
  <c r="IU6" i="20" s="1"/>
  <c r="HU6" i="20" a="1"/>
  <c r="HU6" i="20" s="1"/>
  <c r="IT6" i="20" s="1"/>
  <c r="HT6" i="20" a="1"/>
  <c r="HT6" i="20" s="1"/>
  <c r="IS6" i="20" s="1"/>
  <c r="HS6" i="20" a="1"/>
  <c r="HS6" i="20" s="1"/>
  <c r="IR6" i="20" s="1"/>
  <c r="HR6" i="20" a="1"/>
  <c r="HR6" i="20" s="1"/>
  <c r="IQ6" i="20" s="1"/>
  <c r="HQ6" i="20" a="1"/>
  <c r="HQ6" i="20" s="1"/>
  <c r="IP6" i="20" s="1"/>
  <c r="HP6" i="20" a="1"/>
  <c r="HP6" i="20" s="1"/>
  <c r="IO6" i="20" s="1"/>
  <c r="HL6" i="20"/>
  <c r="HJ6" i="20"/>
  <c r="HH6" i="20"/>
  <c r="HB6" i="20"/>
  <c r="HA6" i="20"/>
  <c r="GZ6" i="20"/>
  <c r="GY6" i="20"/>
  <c r="GX6" i="20"/>
  <c r="GW6" i="20"/>
  <c r="GV6" i="20"/>
  <c r="GU6" i="20"/>
  <c r="GT6" i="20"/>
  <c r="GP6" i="20"/>
  <c r="GI6" i="20"/>
  <c r="GH6" i="20"/>
  <c r="GG6" i="20"/>
  <c r="GF6" i="20"/>
  <c r="GE6" i="20"/>
  <c r="GD6" i="20"/>
  <c r="GC6" i="20"/>
  <c r="GB6" i="20"/>
  <c r="GA6" i="20"/>
  <c r="FZ6" i="20"/>
  <c r="FY6" i="20"/>
  <c r="FX6" i="20"/>
  <c r="FW6" i="20"/>
  <c r="FV6" i="20"/>
  <c r="FU6" i="20"/>
  <c r="FT6" i="20"/>
  <c r="FS6" i="20"/>
  <c r="FR6" i="20"/>
  <c r="FQ6" i="20"/>
  <c r="FJ6" i="20"/>
  <c r="FI6" i="20"/>
  <c r="FH6" i="20"/>
  <c r="FG6" i="20"/>
  <c r="FF6" i="20"/>
  <c r="FP6" i="20" s="1"/>
  <c r="FE6" i="20"/>
  <c r="FD6" i="20"/>
  <c r="FC6" i="20"/>
  <c r="FB6" i="20"/>
  <c r="FA6" i="20"/>
  <c r="EZ6" i="20"/>
  <c r="EY6" i="20"/>
  <c r="EX6" i="20"/>
  <c r="EW6" i="20"/>
  <c r="EV6" i="20"/>
  <c r="EU6" i="20"/>
  <c r="ET6" i="20"/>
  <c r="ES6" i="20"/>
  <c r="ER6" i="20"/>
  <c r="EQ6" i="20"/>
  <c r="EP6" i="20"/>
  <c r="EO6" i="20"/>
  <c r="EN6" i="20"/>
  <c r="EM6" i="20"/>
  <c r="EL6" i="20"/>
  <c r="EK6" i="20"/>
  <c r="EJ6" i="20"/>
  <c r="EI6" i="20"/>
  <c r="EH6" i="20"/>
  <c r="EG6" i="20"/>
  <c r="EF6" i="20"/>
  <c r="EE6" i="20"/>
  <c r="ED6" i="20"/>
  <c r="EC6" i="20"/>
  <c r="EB6" i="20"/>
  <c r="EA6" i="20"/>
  <c r="DY6" i="20"/>
  <c r="DX6" i="20"/>
  <c r="DV6" i="20"/>
  <c r="DU6" i="20"/>
  <c r="DT6" i="20"/>
  <c r="DS6" i="20"/>
  <c r="DR6" i="20"/>
  <c r="DQ6" i="20"/>
  <c r="DP6" i="20"/>
  <c r="DO6" i="20"/>
  <c r="DN6" i="20"/>
  <c r="DK6" i="20"/>
  <c r="DJ6" i="20"/>
  <c r="DI6" i="20"/>
  <c r="DH6" i="20"/>
  <c r="DG6" i="20"/>
  <c r="DF6" i="20"/>
  <c r="DE6" i="20"/>
  <c r="DD6" i="20"/>
  <c r="DC6" i="20"/>
  <c r="DB6" i="20"/>
  <c r="DA6" i="20"/>
  <c r="CV6" i="20"/>
  <c r="CU6" i="20"/>
  <c r="CT6" i="20"/>
  <c r="CS6" i="20"/>
  <c r="GN6" i="20" s="1"/>
  <c r="CR6" i="20"/>
  <c r="GM6" i="20" s="1"/>
  <c r="CQ6" i="20"/>
  <c r="GL6" i="20" s="1"/>
  <c r="CP6" i="20"/>
  <c r="GJ6" i="20" s="1"/>
  <c r="GK6" i="20" s="1"/>
  <c r="CO6" i="20"/>
  <c r="DZ6" i="20" s="1"/>
  <c r="CN6" i="20"/>
  <c r="CM6" i="20"/>
  <c r="CL6" i="20"/>
  <c r="DW6" i="20" s="1"/>
  <c r="CG6" i="20" a="1"/>
  <c r="CG6" i="20" s="1"/>
  <c r="AW6" i="20"/>
  <c r="AV6" i="20"/>
  <c r="J6" i="20"/>
  <c r="G6" i="20"/>
  <c r="HX8" i="20" a="1"/>
  <c r="HX8" i="20" s="1"/>
  <c r="IW8" i="20" s="1"/>
  <c r="HW8" i="20" a="1"/>
  <c r="HW8" i="20" s="1"/>
  <c r="IV8" i="20" s="1"/>
  <c r="HV8" i="20" a="1"/>
  <c r="HV8" i="20" s="1"/>
  <c r="IU8" i="20" s="1"/>
  <c r="HU8" i="20" a="1"/>
  <c r="HU8" i="20" s="1"/>
  <c r="IT8" i="20" s="1"/>
  <c r="HT8" i="20"/>
  <c r="IS8" i="20" s="1"/>
  <c r="HT8" i="20" a="1"/>
  <c r="HS8" i="20" a="1"/>
  <c r="HS8" i="20" s="1"/>
  <c r="IR8" i="20" s="1"/>
  <c r="HR8" i="20" a="1"/>
  <c r="HR8" i="20" s="1"/>
  <c r="IQ8" i="20" s="1"/>
  <c r="HQ8" i="20" a="1"/>
  <c r="HQ8" i="20" s="1"/>
  <c r="IP8" i="20" s="1"/>
  <c r="HP8" i="20" a="1"/>
  <c r="HP8" i="20" s="1"/>
  <c r="IO8" i="20" s="1"/>
  <c r="HL8" i="20"/>
  <c r="HJ8" i="20"/>
  <c r="HH8" i="20"/>
  <c r="HB8" i="20"/>
  <c r="HA8" i="20"/>
  <c r="GZ8" i="20"/>
  <c r="GY8" i="20"/>
  <c r="GX8" i="20"/>
  <c r="GW8" i="20"/>
  <c r="GV8" i="20"/>
  <c r="GU8" i="20"/>
  <c r="GT8" i="20"/>
  <c r="GP8" i="20"/>
  <c r="GM8" i="20"/>
  <c r="GI8" i="20"/>
  <c r="GH8" i="20"/>
  <c r="GG8" i="20"/>
  <c r="GF8" i="20"/>
  <c r="GE8" i="20"/>
  <c r="GB8" i="20"/>
  <c r="GA8" i="20"/>
  <c r="FZ8" i="20"/>
  <c r="FY8" i="20"/>
  <c r="FW8" i="20"/>
  <c r="FV8" i="20"/>
  <c r="FU8" i="20"/>
  <c r="FT8" i="20"/>
  <c r="FS8" i="20"/>
  <c r="FR8" i="20"/>
  <c r="FQ8" i="20"/>
  <c r="FJ8" i="20"/>
  <c r="FI8" i="20"/>
  <c r="FH8" i="20"/>
  <c r="FG8" i="20"/>
  <c r="FF8" i="20"/>
  <c r="FP8" i="20" s="1"/>
  <c r="FE8" i="20"/>
  <c r="FD8" i="20"/>
  <c r="FB8" i="20"/>
  <c r="FA8" i="20"/>
  <c r="EZ8" i="20"/>
  <c r="EY8" i="20"/>
  <c r="EX8" i="20"/>
  <c r="EW8" i="20"/>
  <c r="EV8" i="20"/>
  <c r="EU8" i="20"/>
  <c r="ET8" i="20"/>
  <c r="ES8" i="20"/>
  <c r="ER8" i="20"/>
  <c r="EQ8" i="20"/>
  <c r="EP8" i="20"/>
  <c r="EO8" i="20"/>
  <c r="EN8" i="20"/>
  <c r="EM8" i="20"/>
  <c r="EL8" i="20"/>
  <c r="EK8" i="20"/>
  <c r="EJ8" i="20"/>
  <c r="EI8" i="20"/>
  <c r="EH8" i="20"/>
  <c r="EG8" i="20"/>
  <c r="EF8" i="20"/>
  <c r="EE8" i="20"/>
  <c r="ED8" i="20"/>
  <c r="EC8" i="20"/>
  <c r="EB8" i="20"/>
  <c r="EA8" i="20"/>
  <c r="DU8" i="20"/>
  <c r="DT8" i="20"/>
  <c r="DS8" i="20"/>
  <c r="DR8" i="20"/>
  <c r="DQ8" i="20"/>
  <c r="DP8" i="20"/>
  <c r="DO8" i="20"/>
  <c r="DN8" i="20"/>
  <c r="DK8" i="20"/>
  <c r="DJ8" i="20"/>
  <c r="DI8" i="20"/>
  <c r="DH8" i="20"/>
  <c r="DG8" i="20"/>
  <c r="DF8" i="20"/>
  <c r="DE8" i="20"/>
  <c r="DD8" i="20"/>
  <c r="DB8" i="20"/>
  <c r="DA8" i="20"/>
  <c r="CV8" i="20"/>
  <c r="CU8" i="20"/>
  <c r="CT8" i="20"/>
  <c r="CS8" i="20"/>
  <c r="GN8" i="20" s="1"/>
  <c r="CR8" i="20"/>
  <c r="CQ8" i="20"/>
  <c r="GL8" i="20" s="1"/>
  <c r="CP8" i="20"/>
  <c r="GJ8" i="20" s="1"/>
  <c r="GK8" i="20" s="1"/>
  <c r="CO8" i="20"/>
  <c r="DZ8" i="20" s="1"/>
  <c r="CN8" i="20"/>
  <c r="DY8" i="20" s="1"/>
  <c r="CM8" i="20"/>
  <c r="DX8" i="20" s="1"/>
  <c r="CL8" i="20"/>
  <c r="DW8" i="20" s="1"/>
  <c r="CG8" i="20" a="1"/>
  <c r="CG8" i="20" s="1"/>
  <c r="IN8" i="20" s="1"/>
  <c r="IX8" i="20" s="1"/>
  <c r="AW8" i="20"/>
  <c r="AV8" i="20"/>
  <c r="J8" i="20"/>
  <c r="G8" i="20"/>
  <c r="HX5" i="20" a="1"/>
  <c r="HX5" i="20" s="1"/>
  <c r="IW5" i="20" s="1"/>
  <c r="HW5" i="20" a="1"/>
  <c r="HW5" i="20" s="1"/>
  <c r="IV5" i="20" s="1"/>
  <c r="HV5" i="20" a="1"/>
  <c r="HV5" i="20" s="1"/>
  <c r="IU5" i="20" s="1"/>
  <c r="HU5" i="20" a="1"/>
  <c r="HU5" i="20" s="1"/>
  <c r="IT5" i="20" s="1"/>
  <c r="HT5" i="20" a="1"/>
  <c r="HT5" i="20" s="1"/>
  <c r="IS5" i="20" s="1"/>
  <c r="HS5" i="20" a="1"/>
  <c r="HS5" i="20" s="1"/>
  <c r="IR5" i="20" s="1"/>
  <c r="HR5" i="20" a="1"/>
  <c r="HR5" i="20" s="1"/>
  <c r="IQ5" i="20" s="1"/>
  <c r="HQ5" i="20" a="1"/>
  <c r="HQ5" i="20" s="1"/>
  <c r="IP5" i="20" s="1"/>
  <c r="HP5" i="20" a="1"/>
  <c r="HP5" i="20" s="1"/>
  <c r="IO5" i="20" s="1"/>
  <c r="HL5" i="20"/>
  <c r="HJ5" i="20"/>
  <c r="HH5" i="20"/>
  <c r="HB5" i="20"/>
  <c r="HA5" i="20"/>
  <c r="GZ5" i="20"/>
  <c r="GY5" i="20"/>
  <c r="GX5" i="20"/>
  <c r="GW5" i="20"/>
  <c r="GV5" i="20"/>
  <c r="GU5" i="20"/>
  <c r="GT5" i="20"/>
  <c r="GP5" i="20"/>
  <c r="GN5" i="20"/>
  <c r="GM5" i="20"/>
  <c r="GI5" i="20"/>
  <c r="GH5" i="20"/>
  <c r="GG5" i="20"/>
  <c r="GF5" i="20"/>
  <c r="GE5" i="20"/>
  <c r="GB5" i="20"/>
  <c r="GA5" i="20"/>
  <c r="FZ5" i="20"/>
  <c r="FY5" i="20"/>
  <c r="FW5" i="20"/>
  <c r="FV5" i="20"/>
  <c r="FU5" i="20"/>
  <c r="FT5" i="20"/>
  <c r="FS5" i="20"/>
  <c r="FR5" i="20"/>
  <c r="FQ5" i="20"/>
  <c r="FJ5" i="20"/>
  <c r="FI5" i="20"/>
  <c r="FH5" i="20"/>
  <c r="FG5" i="20"/>
  <c r="FF5" i="20"/>
  <c r="FP5" i="20" s="1"/>
  <c r="FE5" i="20"/>
  <c r="FD5" i="20"/>
  <c r="FB5" i="20"/>
  <c r="FA5" i="20"/>
  <c r="EZ5" i="20"/>
  <c r="EY5" i="20"/>
  <c r="EX5" i="20"/>
  <c r="EW5" i="20"/>
  <c r="EV5" i="20"/>
  <c r="EU5" i="20"/>
  <c r="ET5" i="20"/>
  <c r="ES5" i="20"/>
  <c r="ER5" i="20"/>
  <c r="EQ5" i="20"/>
  <c r="EP5" i="20"/>
  <c r="EO5" i="20"/>
  <c r="EN5" i="20"/>
  <c r="EM5" i="20"/>
  <c r="EL5" i="20"/>
  <c r="EK5" i="20"/>
  <c r="EJ5" i="20"/>
  <c r="EI5" i="20"/>
  <c r="EH5" i="20"/>
  <c r="EG5" i="20"/>
  <c r="EF5" i="20"/>
  <c r="EE5" i="20"/>
  <c r="ED5" i="20"/>
  <c r="EC5" i="20"/>
  <c r="EB5" i="20"/>
  <c r="EA5" i="20"/>
  <c r="DU5" i="20"/>
  <c r="DT5" i="20"/>
  <c r="DS5" i="20"/>
  <c r="DR5" i="20"/>
  <c r="DQ5" i="20"/>
  <c r="DP5" i="20"/>
  <c r="DO5" i="20"/>
  <c r="DN5" i="20"/>
  <c r="DK5" i="20"/>
  <c r="DJ5" i="20"/>
  <c r="DI5" i="20"/>
  <c r="DH5" i="20"/>
  <c r="DG5" i="20"/>
  <c r="DF5" i="20"/>
  <c r="DE5" i="20"/>
  <c r="DD5" i="20"/>
  <c r="DB5" i="20"/>
  <c r="DA5" i="20"/>
  <c r="CV5" i="20"/>
  <c r="CU5" i="20"/>
  <c r="CT5" i="20"/>
  <c r="CS5" i="20"/>
  <c r="CR5" i="20"/>
  <c r="CQ5" i="20"/>
  <c r="GL5" i="20" s="1"/>
  <c r="CP5" i="20"/>
  <c r="GJ5" i="20" s="1"/>
  <c r="GK5" i="20" s="1"/>
  <c r="CO5" i="20"/>
  <c r="DZ5" i="20" s="1"/>
  <c r="CN5" i="20"/>
  <c r="DY5" i="20" s="1"/>
  <c r="CM5" i="20"/>
  <c r="DX5" i="20" s="1"/>
  <c r="CL5" i="20"/>
  <c r="DW5" i="20" s="1"/>
  <c r="CG5" i="20" a="1"/>
  <c r="CG5" i="20" s="1"/>
  <c r="AW5" i="20"/>
  <c r="AV5" i="20"/>
  <c r="J5" i="20"/>
  <c r="G5" i="20"/>
  <c r="IL3" i="20"/>
  <c r="HX3" i="20" a="1"/>
  <c r="HX3" i="20" s="1"/>
  <c r="IW3" i="20" s="1"/>
  <c r="HW3" i="20" a="1"/>
  <c r="HW3" i="20" s="1"/>
  <c r="IV3" i="20" s="1"/>
  <c r="HV3" i="20" a="1"/>
  <c r="HV3" i="20" s="1"/>
  <c r="IU3" i="20" s="1"/>
  <c r="HU3" i="20" a="1"/>
  <c r="HU3" i="20" s="1"/>
  <c r="IT3" i="20" s="1"/>
  <c r="HT3" i="20" a="1"/>
  <c r="HT3" i="20" s="1"/>
  <c r="IS3" i="20" s="1"/>
  <c r="HS3" i="20" a="1"/>
  <c r="HS3" i="20" s="1"/>
  <c r="IR3" i="20" s="1"/>
  <c r="HR3" i="20" a="1"/>
  <c r="HR3" i="20" s="1"/>
  <c r="IQ3" i="20" s="1"/>
  <c r="HQ3" i="20" a="1"/>
  <c r="HQ3" i="20" s="1"/>
  <c r="IP3" i="20" s="1"/>
  <c r="HP3" i="20" a="1"/>
  <c r="HP3" i="20" s="1"/>
  <c r="IO3" i="20" s="1"/>
  <c r="HL3" i="20"/>
  <c r="HJ3" i="20"/>
  <c r="HH3" i="20"/>
  <c r="HB3" i="20"/>
  <c r="HA3" i="20"/>
  <c r="GZ3" i="20"/>
  <c r="GY3" i="20"/>
  <c r="GX3" i="20"/>
  <c r="GW3" i="20"/>
  <c r="GV3" i="20"/>
  <c r="GU3" i="20"/>
  <c r="GT3" i="20"/>
  <c r="GP3" i="20"/>
  <c r="GI3" i="20"/>
  <c r="GH3" i="20"/>
  <c r="GG3" i="20"/>
  <c r="GF3" i="20"/>
  <c r="GE3" i="20"/>
  <c r="GD3" i="20"/>
  <c r="GC3" i="20"/>
  <c r="GB3" i="20"/>
  <c r="GA3" i="20"/>
  <c r="FZ3" i="20"/>
  <c r="FY3" i="20"/>
  <c r="FX3" i="20"/>
  <c r="FW3" i="20"/>
  <c r="FV3" i="20"/>
  <c r="FU3" i="20"/>
  <c r="FT3" i="20"/>
  <c r="FS3" i="20"/>
  <c r="FR3" i="20"/>
  <c r="FQ3" i="20"/>
  <c r="FP3" i="20"/>
  <c r="FJ3" i="20"/>
  <c r="FI3" i="20"/>
  <c r="FH3" i="20"/>
  <c r="FG3" i="20"/>
  <c r="FF3" i="20"/>
  <c r="FE3" i="20"/>
  <c r="FD3" i="20"/>
  <c r="FC3" i="20"/>
  <c r="FB3" i="20"/>
  <c r="FA3" i="20"/>
  <c r="EZ3" i="20"/>
  <c r="EY3" i="20"/>
  <c r="EX3" i="20"/>
  <c r="EW3" i="20"/>
  <c r="EV3" i="20"/>
  <c r="EU3" i="20"/>
  <c r="ET3" i="20"/>
  <c r="ES3" i="20"/>
  <c r="ER3" i="20"/>
  <c r="EQ3" i="20"/>
  <c r="EP3" i="20"/>
  <c r="EO3" i="20"/>
  <c r="EN3" i="20"/>
  <c r="EM3" i="20"/>
  <c r="EL3" i="20"/>
  <c r="EK3" i="20"/>
  <c r="EJ3" i="20"/>
  <c r="EI3" i="20"/>
  <c r="EH3" i="20"/>
  <c r="EG3" i="20"/>
  <c r="EF3" i="20"/>
  <c r="EE3" i="20"/>
  <c r="ED3" i="20"/>
  <c r="EC3" i="20"/>
  <c r="EB3" i="20"/>
  <c r="EA3" i="20"/>
  <c r="DV3" i="20"/>
  <c r="DU3" i="20"/>
  <c r="DT3" i="20"/>
  <c r="DS3" i="20"/>
  <c r="DR3" i="20"/>
  <c r="DQ3" i="20"/>
  <c r="DP3" i="20"/>
  <c r="DO3" i="20"/>
  <c r="DN3" i="20"/>
  <c r="DK3" i="20"/>
  <c r="DJ3" i="20"/>
  <c r="DI3" i="20"/>
  <c r="DH3" i="20"/>
  <c r="DG3" i="20"/>
  <c r="DF3" i="20"/>
  <c r="DE3" i="20"/>
  <c r="DD3" i="20"/>
  <c r="DC3" i="20"/>
  <c r="DB3" i="20"/>
  <c r="DA3" i="20"/>
  <c r="CV3" i="20"/>
  <c r="CU3" i="20"/>
  <c r="CT3" i="20"/>
  <c r="CS3" i="20"/>
  <c r="GN3" i="20" s="1"/>
  <c r="CR3" i="20"/>
  <c r="GM3" i="20" s="1"/>
  <c r="CQ3" i="20"/>
  <c r="GL3" i="20" s="1"/>
  <c r="CP3" i="20"/>
  <c r="GJ3" i="20" s="1"/>
  <c r="GK3" i="20" s="1"/>
  <c r="CO3" i="20"/>
  <c r="DZ3" i="20" s="1"/>
  <c r="CN3" i="20"/>
  <c r="DY3" i="20" s="1"/>
  <c r="CM3" i="20"/>
  <c r="DX3" i="20" s="1"/>
  <c r="CL3" i="20"/>
  <c r="DW3" i="20" s="1"/>
  <c r="CG3" i="20" a="1"/>
  <c r="CG3" i="20" s="1"/>
  <c r="CK3" i="20" s="1"/>
  <c r="CZ3" i="20" s="1"/>
  <c r="AW3" i="20"/>
  <c r="AV3" i="20"/>
  <c r="J3" i="20"/>
  <c r="G3" i="20"/>
  <c r="HX4" i="20" a="1"/>
  <c r="HX4" i="20" s="1"/>
  <c r="IW4" i="20" s="1"/>
  <c r="HW4" i="20" a="1"/>
  <c r="HW4" i="20" s="1"/>
  <c r="IV4" i="20" s="1"/>
  <c r="HV4" i="20" a="1"/>
  <c r="HV4" i="20" s="1"/>
  <c r="IU4" i="20" s="1"/>
  <c r="HU4" i="20" a="1"/>
  <c r="HU4" i="20" s="1"/>
  <c r="IT4" i="20" s="1"/>
  <c r="HT4" i="20" a="1"/>
  <c r="HT4" i="20" s="1"/>
  <c r="IS4" i="20" s="1"/>
  <c r="HS4" i="20" a="1"/>
  <c r="HS4" i="20" s="1"/>
  <c r="IR4" i="20" s="1"/>
  <c r="HR4" i="20" a="1"/>
  <c r="HR4" i="20" s="1"/>
  <c r="IQ4" i="20" s="1"/>
  <c r="HQ4" i="20" a="1"/>
  <c r="HQ4" i="20" s="1"/>
  <c r="IP4" i="20" s="1"/>
  <c r="HP4" i="20" a="1"/>
  <c r="HP4" i="20" s="1"/>
  <c r="IO4" i="20" s="1"/>
  <c r="HL4" i="20"/>
  <c r="HJ4" i="20"/>
  <c r="HH4" i="20"/>
  <c r="HB4" i="20"/>
  <c r="HA4" i="20"/>
  <c r="GZ4" i="20"/>
  <c r="GY4" i="20"/>
  <c r="GX4" i="20"/>
  <c r="GW4" i="20"/>
  <c r="GV4" i="20"/>
  <c r="GU4" i="20"/>
  <c r="GT4" i="20"/>
  <c r="GP4" i="20"/>
  <c r="GJ4" i="20"/>
  <c r="GK4" i="20" s="1"/>
  <c r="GI4" i="20"/>
  <c r="GH4" i="20"/>
  <c r="GG4" i="20"/>
  <c r="GF4" i="20"/>
  <c r="GE4" i="20"/>
  <c r="GB4" i="20"/>
  <c r="GA4" i="20"/>
  <c r="FZ4" i="20"/>
  <c r="FY4" i="20"/>
  <c r="FW4" i="20"/>
  <c r="FV4" i="20"/>
  <c r="FU4" i="20"/>
  <c r="FT4" i="20"/>
  <c r="FS4" i="20"/>
  <c r="FR4" i="20"/>
  <c r="FQ4" i="20"/>
  <c r="FJ4" i="20"/>
  <c r="FI4" i="20"/>
  <c r="FH4" i="20"/>
  <c r="FG4" i="20"/>
  <c r="FF4" i="20"/>
  <c r="FM4" i="20" s="1"/>
  <c r="FE4" i="20"/>
  <c r="FO4" i="20" s="1"/>
  <c r="FD4" i="20"/>
  <c r="FB4" i="20"/>
  <c r="FA4" i="20"/>
  <c r="EZ4" i="20"/>
  <c r="EY4" i="20"/>
  <c r="EX4" i="20"/>
  <c r="EW4" i="20"/>
  <c r="EV4" i="20"/>
  <c r="EU4" i="20"/>
  <c r="ET4" i="20"/>
  <c r="ES4" i="20"/>
  <c r="ER4" i="20"/>
  <c r="EQ4" i="20"/>
  <c r="EP4" i="20"/>
  <c r="EO4" i="20"/>
  <c r="EN4" i="20"/>
  <c r="EM4" i="20"/>
  <c r="EL4" i="20"/>
  <c r="EK4" i="20"/>
  <c r="EJ4" i="20"/>
  <c r="EI4" i="20"/>
  <c r="EH4" i="20"/>
  <c r="EG4" i="20"/>
  <c r="EF4" i="20"/>
  <c r="EE4" i="20"/>
  <c r="ED4" i="20"/>
  <c r="EC4" i="20"/>
  <c r="EB4" i="20"/>
  <c r="EA4" i="20"/>
  <c r="DU4" i="20"/>
  <c r="DT4" i="20"/>
  <c r="DS4" i="20"/>
  <c r="DR4" i="20"/>
  <c r="DQ4" i="20"/>
  <c r="DP4" i="20"/>
  <c r="DO4" i="20"/>
  <c r="DN4" i="20"/>
  <c r="DK4" i="20"/>
  <c r="DJ4" i="20"/>
  <c r="DI4" i="20"/>
  <c r="DH4" i="20"/>
  <c r="DG4" i="20"/>
  <c r="DF4" i="20"/>
  <c r="DE4" i="20"/>
  <c r="DD4" i="20"/>
  <c r="DB4" i="20"/>
  <c r="DA4" i="20"/>
  <c r="CV4" i="20"/>
  <c r="CU4" i="20"/>
  <c r="CT4" i="20"/>
  <c r="CS4" i="20"/>
  <c r="GN4" i="20" s="1"/>
  <c r="CR4" i="20"/>
  <c r="GM4" i="20" s="1"/>
  <c r="CQ4" i="20"/>
  <c r="GL4" i="20" s="1"/>
  <c r="CP4" i="20"/>
  <c r="CO4" i="20"/>
  <c r="DZ4" i="20" s="1"/>
  <c r="CN4" i="20"/>
  <c r="DY4" i="20" s="1"/>
  <c r="CM4" i="20"/>
  <c r="DX4" i="20" s="1"/>
  <c r="CL4" i="20"/>
  <c r="DW4" i="20" s="1"/>
  <c r="CG4" i="20" a="1"/>
  <c r="CG4" i="20" s="1"/>
  <c r="AW4" i="20"/>
  <c r="AV4" i="20"/>
  <c r="J4" i="20"/>
  <c r="HI4" i="20" s="1"/>
  <c r="G4" i="20"/>
  <c r="IL2" i="20"/>
  <c r="HX2" i="20" a="1"/>
  <c r="HX2" i="20" s="1"/>
  <c r="IW2" i="20" s="1"/>
  <c r="HW2" i="20" a="1"/>
  <c r="HW2" i="20" s="1"/>
  <c r="IV2" i="20" s="1"/>
  <c r="HV2" i="20" a="1"/>
  <c r="HV2" i="20" s="1"/>
  <c r="IU2" i="20" s="1"/>
  <c r="HU2" i="20" a="1"/>
  <c r="HU2" i="20" s="1"/>
  <c r="IT2" i="20" s="1"/>
  <c r="HT2" i="20" a="1"/>
  <c r="HT2" i="20" s="1"/>
  <c r="IS2" i="20" s="1"/>
  <c r="HS2" i="20" a="1"/>
  <c r="HS2" i="20" s="1"/>
  <c r="IR2" i="20" s="1"/>
  <c r="HR2" i="20" a="1"/>
  <c r="HR2" i="20" s="1"/>
  <c r="IQ2" i="20" s="1"/>
  <c r="HQ2" i="20" a="1"/>
  <c r="HQ2" i="20" s="1"/>
  <c r="IP2" i="20" s="1"/>
  <c r="HP2" i="20" a="1"/>
  <c r="HP2" i="20" s="1"/>
  <c r="IO2" i="20" s="1"/>
  <c r="HL2" i="20"/>
  <c r="HJ2" i="20"/>
  <c r="HH2" i="20"/>
  <c r="HB2" i="20"/>
  <c r="HA2" i="20"/>
  <c r="GZ2" i="20"/>
  <c r="GY2" i="20"/>
  <c r="GX2" i="20"/>
  <c r="GW2" i="20"/>
  <c r="GV2" i="20"/>
  <c r="GU2" i="20"/>
  <c r="GT2" i="20"/>
  <c r="GP2" i="20"/>
  <c r="GI2" i="20"/>
  <c r="GH2" i="20"/>
  <c r="GG2" i="20"/>
  <c r="GF2" i="20"/>
  <c r="GE2" i="20"/>
  <c r="GD2" i="20"/>
  <c r="GC2" i="20"/>
  <c r="GB2" i="20"/>
  <c r="GA2" i="20"/>
  <c r="FZ2" i="20"/>
  <c r="FY2" i="20"/>
  <c r="FX2" i="20"/>
  <c r="FW2" i="20"/>
  <c r="FV2" i="20"/>
  <c r="FU2" i="20"/>
  <c r="FT2" i="20"/>
  <c r="FS2" i="20"/>
  <c r="FR2" i="20"/>
  <c r="FQ2" i="20"/>
  <c r="FP2" i="20"/>
  <c r="FO2" i="20"/>
  <c r="FN2" i="20"/>
  <c r="FJ2" i="20"/>
  <c r="FI2" i="20"/>
  <c r="FL2" i="20" s="1"/>
  <c r="FH2" i="20"/>
  <c r="FK2" i="20" s="1"/>
  <c r="FG2" i="20"/>
  <c r="FF2" i="20"/>
  <c r="FE2" i="20"/>
  <c r="FD2" i="20"/>
  <c r="FC2" i="20"/>
  <c r="FB2" i="20"/>
  <c r="FA2" i="20"/>
  <c r="EZ2" i="20"/>
  <c r="EY2" i="20"/>
  <c r="EX2" i="20"/>
  <c r="EW2" i="20"/>
  <c r="EV2" i="20"/>
  <c r="EU2" i="20"/>
  <c r="ET2" i="20"/>
  <c r="ES2" i="20"/>
  <c r="ER2" i="20"/>
  <c r="EQ2" i="20"/>
  <c r="EP2" i="20"/>
  <c r="EO2" i="20"/>
  <c r="EN2" i="20"/>
  <c r="EM2" i="20"/>
  <c r="EL2" i="20"/>
  <c r="EK2" i="20"/>
  <c r="EJ2" i="20"/>
  <c r="EI2" i="20"/>
  <c r="EH2" i="20"/>
  <c r="EG2" i="20"/>
  <c r="EF2" i="20"/>
  <c r="EE2" i="20"/>
  <c r="ED2" i="20"/>
  <c r="EC2" i="20"/>
  <c r="EB2" i="20"/>
  <c r="EA2" i="20"/>
  <c r="DW2" i="20"/>
  <c r="DV2" i="20"/>
  <c r="DU2" i="20"/>
  <c r="DT2" i="20"/>
  <c r="DS2" i="20"/>
  <c r="DR2" i="20"/>
  <c r="DQ2" i="20"/>
  <c r="DP2" i="20"/>
  <c r="DO2" i="20"/>
  <c r="DN2" i="20"/>
  <c r="DK2" i="20"/>
  <c r="DJ2" i="20"/>
  <c r="DI2" i="20"/>
  <c r="DH2" i="20"/>
  <c r="DG2" i="20"/>
  <c r="DF2" i="20"/>
  <c r="DE2" i="20"/>
  <c r="DD2" i="20"/>
  <c r="DC2" i="20"/>
  <c r="DB2" i="20"/>
  <c r="DA2" i="20"/>
  <c r="CV2" i="20"/>
  <c r="CU2" i="20"/>
  <c r="CT2" i="20"/>
  <c r="CS2" i="20"/>
  <c r="GN2" i="20" s="1"/>
  <c r="CR2" i="20"/>
  <c r="GM2" i="20" s="1"/>
  <c r="CQ2" i="20"/>
  <c r="GL2" i="20" s="1"/>
  <c r="CP2" i="20"/>
  <c r="GJ2" i="20" s="1"/>
  <c r="GK2" i="20" s="1"/>
  <c r="CO2" i="20"/>
  <c r="DZ2" i="20" s="1"/>
  <c r="CN2" i="20"/>
  <c r="DY2" i="20" s="1"/>
  <c r="CM2" i="20"/>
  <c r="DX2" i="20" s="1"/>
  <c r="CL2" i="20"/>
  <c r="CG2" i="20"/>
  <c r="DL2" i="20" s="1"/>
  <c r="CG2" i="20" a="1"/>
  <c r="AW2" i="20"/>
  <c r="AV2" i="20"/>
  <c r="AX2" i="20" s="1"/>
  <c r="J2" i="20"/>
  <c r="HI2" i="20" s="1"/>
  <c r="G2" i="20"/>
  <c r="IL2" i="23"/>
  <c r="HX2" i="23" a="1"/>
  <c r="HX2" i="23" s="1"/>
  <c r="IW2" i="23" s="1"/>
  <c r="HW2" i="23" a="1"/>
  <c r="HW2" i="23" s="1"/>
  <c r="IV2" i="23" s="1"/>
  <c r="HV2" i="23" a="1"/>
  <c r="HV2" i="23" s="1"/>
  <c r="IU2" i="23" s="1"/>
  <c r="HU2" i="23" a="1"/>
  <c r="HU2" i="23" s="1"/>
  <c r="IT2" i="23" s="1"/>
  <c r="HT2" i="23" a="1"/>
  <c r="HT2" i="23" s="1"/>
  <c r="IS2" i="23" s="1"/>
  <c r="HS2" i="23" a="1"/>
  <c r="HS2" i="23" s="1"/>
  <c r="IR2" i="23" s="1"/>
  <c r="HR2" i="23" a="1"/>
  <c r="HR2" i="23" s="1"/>
  <c r="IQ2" i="23" s="1"/>
  <c r="HQ2" i="23" a="1"/>
  <c r="HQ2" i="23" s="1"/>
  <c r="IP2" i="23" s="1"/>
  <c r="HP2" i="23" a="1"/>
  <c r="HP2" i="23" s="1"/>
  <c r="IO2" i="23" s="1"/>
  <c r="HL2" i="23"/>
  <c r="HJ2" i="23"/>
  <c r="HH2" i="23"/>
  <c r="HB2" i="23"/>
  <c r="HA2" i="23"/>
  <c r="GZ2" i="23"/>
  <c r="GY2" i="23"/>
  <c r="GX2" i="23"/>
  <c r="GW2" i="23"/>
  <c r="GV2" i="23"/>
  <c r="GU2" i="23"/>
  <c r="GT2" i="23"/>
  <c r="GP2" i="23"/>
  <c r="GI2" i="23"/>
  <c r="GH2" i="23"/>
  <c r="GG2" i="23"/>
  <c r="GF2" i="23"/>
  <c r="GE2" i="23"/>
  <c r="GD2" i="23"/>
  <c r="GC2" i="23"/>
  <c r="GB2" i="23"/>
  <c r="GA2" i="23"/>
  <c r="FZ2" i="23"/>
  <c r="FY2" i="23"/>
  <c r="FX2" i="23"/>
  <c r="FW2" i="23"/>
  <c r="FV2" i="23"/>
  <c r="FU2" i="23"/>
  <c r="FT2" i="23"/>
  <c r="FS2" i="23"/>
  <c r="FR2" i="23"/>
  <c r="FQ2" i="23"/>
  <c r="FO2" i="23"/>
  <c r="FJ2" i="23"/>
  <c r="FI2" i="23"/>
  <c r="FH2" i="23"/>
  <c r="FK2" i="23" s="1"/>
  <c r="FG2" i="23"/>
  <c r="FF2" i="23"/>
  <c r="FP2" i="23" s="1"/>
  <c r="FE2" i="23"/>
  <c r="FN2" i="23" s="1"/>
  <c r="FD2" i="23"/>
  <c r="FC2" i="23"/>
  <c r="FB2" i="23"/>
  <c r="FA2" i="23"/>
  <c r="EZ2" i="23"/>
  <c r="EY2" i="23"/>
  <c r="EX2" i="23"/>
  <c r="EW2" i="23"/>
  <c r="EV2" i="23"/>
  <c r="EU2" i="23"/>
  <c r="ET2" i="23"/>
  <c r="ES2" i="23"/>
  <c r="ER2" i="23"/>
  <c r="EQ2" i="23"/>
  <c r="EP2" i="23"/>
  <c r="EO2" i="23"/>
  <c r="EN2" i="23"/>
  <c r="EM2" i="23"/>
  <c r="EL2" i="23"/>
  <c r="EK2" i="23"/>
  <c r="EJ2" i="23"/>
  <c r="EI2" i="23"/>
  <c r="EH2" i="23"/>
  <c r="EG2" i="23"/>
  <c r="EF2" i="23"/>
  <c r="EE2" i="23"/>
  <c r="ED2" i="23"/>
  <c r="EC2" i="23"/>
  <c r="EB2" i="23"/>
  <c r="EA2" i="23"/>
  <c r="DX2" i="23"/>
  <c r="DV2" i="23"/>
  <c r="DU2" i="23"/>
  <c r="DT2" i="23"/>
  <c r="DS2" i="23"/>
  <c r="DR2" i="23"/>
  <c r="DQ2" i="23"/>
  <c r="DP2" i="23"/>
  <c r="DO2" i="23"/>
  <c r="DN2" i="23"/>
  <c r="DK2" i="23"/>
  <c r="DJ2" i="23"/>
  <c r="DI2" i="23"/>
  <c r="DH2" i="23"/>
  <c r="DG2" i="23"/>
  <c r="DF2" i="23"/>
  <c r="DE2" i="23"/>
  <c r="DD2" i="23"/>
  <c r="DC2" i="23"/>
  <c r="DB2" i="23"/>
  <c r="DA2" i="23"/>
  <c r="CV2" i="23"/>
  <c r="CU2" i="23"/>
  <c r="CT2" i="23"/>
  <c r="CS2" i="23"/>
  <c r="GN2" i="23" s="1"/>
  <c r="CR2" i="23"/>
  <c r="GM2" i="23" s="1"/>
  <c r="CQ2" i="23"/>
  <c r="GL2" i="23" s="1"/>
  <c r="CP2" i="23"/>
  <c r="GJ2" i="23" s="1"/>
  <c r="GK2" i="23" s="1"/>
  <c r="CO2" i="23"/>
  <c r="DZ2" i="23" s="1"/>
  <c r="CN2" i="23"/>
  <c r="DY2" i="23" s="1"/>
  <c r="CM2" i="23"/>
  <c r="CL2" i="23"/>
  <c r="DW2" i="23" s="1"/>
  <c r="CG2" i="23" a="1"/>
  <c r="CG2" i="23" s="1"/>
  <c r="AW2" i="23"/>
  <c r="AV2" i="23"/>
  <c r="J2" i="23"/>
  <c r="HI2" i="23" s="1"/>
  <c r="G2" i="23"/>
  <c r="HX3" i="23" a="1"/>
  <c r="HX3" i="23" s="1"/>
  <c r="IW3" i="23" s="1"/>
  <c r="HW3" i="23" a="1"/>
  <c r="HW3" i="23" s="1"/>
  <c r="IV3" i="23" s="1"/>
  <c r="HV3" i="23"/>
  <c r="IU3" i="23" s="1"/>
  <c r="HV3" i="23" a="1"/>
  <c r="HU3" i="23" a="1"/>
  <c r="HU3" i="23" s="1"/>
  <c r="IT3" i="23" s="1"/>
  <c r="HT3" i="23" a="1"/>
  <c r="HT3" i="23" s="1"/>
  <c r="IS3" i="23" s="1"/>
  <c r="HS3" i="23"/>
  <c r="IR3" i="23" s="1"/>
  <c r="HS3" i="23" a="1"/>
  <c r="HR3" i="23" a="1"/>
  <c r="HR3" i="23" s="1"/>
  <c r="IQ3" i="23" s="1"/>
  <c r="HQ3" i="23" a="1"/>
  <c r="HQ3" i="23" s="1"/>
  <c r="IP3" i="23" s="1"/>
  <c r="HP3" i="23"/>
  <c r="IO3" i="23" s="1"/>
  <c r="HP3" i="23" a="1"/>
  <c r="HL3" i="23"/>
  <c r="HJ3" i="23"/>
  <c r="HI3" i="23"/>
  <c r="HH3" i="23"/>
  <c r="HB3" i="23"/>
  <c r="HA3" i="23"/>
  <c r="GZ3" i="23"/>
  <c r="GY3" i="23"/>
  <c r="GX3" i="23"/>
  <c r="GW3" i="23"/>
  <c r="GV3" i="23"/>
  <c r="GU3" i="23"/>
  <c r="GT3" i="23"/>
  <c r="GP3" i="23"/>
  <c r="GI3" i="23"/>
  <c r="GH3" i="23"/>
  <c r="GG3" i="23"/>
  <c r="GF3" i="23"/>
  <c r="GE3" i="23"/>
  <c r="GB3" i="23"/>
  <c r="GA3" i="23"/>
  <c r="FZ3" i="23"/>
  <c r="FY3" i="23"/>
  <c r="FW3" i="23"/>
  <c r="FV3" i="23"/>
  <c r="FU3" i="23"/>
  <c r="FT3" i="23"/>
  <c r="FS3" i="23"/>
  <c r="FR3" i="23"/>
  <c r="FQ3" i="23"/>
  <c r="FJ3" i="23"/>
  <c r="FI3" i="23"/>
  <c r="FH3" i="23"/>
  <c r="FG3" i="23"/>
  <c r="FF3" i="23"/>
  <c r="FE3" i="23"/>
  <c r="FD3" i="23"/>
  <c r="FB3" i="23"/>
  <c r="FA3" i="23"/>
  <c r="EZ3" i="23"/>
  <c r="EY3" i="23"/>
  <c r="EX3" i="23"/>
  <c r="EW3" i="23"/>
  <c r="EV3" i="23"/>
  <c r="EU3" i="23"/>
  <c r="ET3" i="23"/>
  <c r="ES3" i="23"/>
  <c r="ER3" i="23"/>
  <c r="EQ3" i="23"/>
  <c r="EP3" i="23"/>
  <c r="EO3" i="23"/>
  <c r="EN3" i="23"/>
  <c r="EM3" i="23"/>
  <c r="EL3" i="23"/>
  <c r="EK3" i="23"/>
  <c r="EJ3" i="23"/>
  <c r="EI3" i="23"/>
  <c r="EH3" i="23"/>
  <c r="EG3" i="23"/>
  <c r="EF3" i="23"/>
  <c r="EE3" i="23"/>
  <c r="ED3" i="23"/>
  <c r="EC3" i="23"/>
  <c r="EB3" i="23"/>
  <c r="EA3" i="23"/>
  <c r="DU3" i="23"/>
  <c r="DT3" i="23"/>
  <c r="DS3" i="23"/>
  <c r="DR3" i="23"/>
  <c r="DQ3" i="23"/>
  <c r="DP3" i="23"/>
  <c r="DO3" i="23"/>
  <c r="DN3" i="23"/>
  <c r="DK3" i="23"/>
  <c r="DJ3" i="23"/>
  <c r="DI3" i="23"/>
  <c r="DH3" i="23"/>
  <c r="DG3" i="23"/>
  <c r="DF3" i="23"/>
  <c r="DE3" i="23"/>
  <c r="DD3" i="23"/>
  <c r="DB3" i="23"/>
  <c r="DA3" i="23"/>
  <c r="CV3" i="23"/>
  <c r="CU3" i="23"/>
  <c r="CT3" i="23"/>
  <c r="CS3" i="23"/>
  <c r="GN3" i="23" s="1"/>
  <c r="CR3" i="23"/>
  <c r="GM3" i="23" s="1"/>
  <c r="CQ3" i="23"/>
  <c r="GL3" i="23" s="1"/>
  <c r="CP3" i="23"/>
  <c r="GJ3" i="23" s="1"/>
  <c r="GK3" i="23" s="1"/>
  <c r="CO3" i="23"/>
  <c r="DZ3" i="23" s="1"/>
  <c r="CN3" i="23"/>
  <c r="DY3" i="23" s="1"/>
  <c r="CM3" i="23"/>
  <c r="DX3" i="23" s="1"/>
  <c r="CL3" i="23"/>
  <c r="DW3" i="23" s="1"/>
  <c r="CG3" i="23" a="1"/>
  <c r="CG3" i="23" s="1"/>
  <c r="AW3" i="23"/>
  <c r="AV3" i="23"/>
  <c r="J3" i="23"/>
  <c r="G3" i="23"/>
  <c r="IL2" i="6"/>
  <c r="HX2" i="6" a="1"/>
  <c r="HX2" i="6" s="1"/>
  <c r="IW2" i="6" s="1"/>
  <c r="HW2" i="6" a="1"/>
  <c r="HW2" i="6" s="1"/>
  <c r="IV2" i="6" s="1"/>
  <c r="HV2" i="6" a="1"/>
  <c r="HV2" i="6" s="1"/>
  <c r="IU2" i="6" s="1"/>
  <c r="HU2" i="6" a="1"/>
  <c r="HU2" i="6" s="1"/>
  <c r="IT2" i="6" s="1"/>
  <c r="HT2" i="6" a="1"/>
  <c r="HT2" i="6" s="1"/>
  <c r="IS2" i="6" s="1"/>
  <c r="HS2" i="6"/>
  <c r="IR2" i="6" s="1"/>
  <c r="HS2" i="6" a="1"/>
  <c r="HR2" i="6" a="1"/>
  <c r="HR2" i="6" s="1"/>
  <c r="IQ2" i="6" s="1"/>
  <c r="HQ2" i="6" a="1"/>
  <c r="HQ2" i="6" s="1"/>
  <c r="IP2" i="6" s="1"/>
  <c r="HP2" i="6" a="1"/>
  <c r="HP2" i="6" s="1"/>
  <c r="IO2" i="6" s="1"/>
  <c r="HL2" i="6"/>
  <c r="HJ2" i="6"/>
  <c r="HI2" i="6"/>
  <c r="HH2" i="6"/>
  <c r="HB2" i="6"/>
  <c r="HA2" i="6"/>
  <c r="GZ2" i="6"/>
  <c r="GY2" i="6"/>
  <c r="GX2" i="6"/>
  <c r="GW2" i="6"/>
  <c r="GV2" i="6"/>
  <c r="GU2" i="6"/>
  <c r="HC2" i="6" s="1"/>
  <c r="GT2" i="6"/>
  <c r="GP2" i="6"/>
  <c r="GI2" i="6"/>
  <c r="GH2" i="6"/>
  <c r="GG2" i="6"/>
  <c r="GF2" i="6"/>
  <c r="GE2" i="6"/>
  <c r="GD2" i="6"/>
  <c r="GC2" i="6"/>
  <c r="GB2" i="6"/>
  <c r="GA2" i="6"/>
  <c r="FZ2" i="6"/>
  <c r="FY2" i="6"/>
  <c r="FX2" i="6"/>
  <c r="FW2" i="6"/>
  <c r="FV2" i="6"/>
  <c r="FU2" i="6"/>
  <c r="FT2" i="6"/>
  <c r="FS2" i="6"/>
  <c r="FR2" i="6"/>
  <c r="FQ2" i="6"/>
  <c r="FP2" i="6"/>
  <c r="FO2" i="6"/>
  <c r="FN2" i="6"/>
  <c r="FJ2" i="6"/>
  <c r="FM2" i="6" s="1"/>
  <c r="FI2" i="6"/>
  <c r="FL2" i="6" s="1"/>
  <c r="FH2" i="6"/>
  <c r="FK2" i="6" s="1"/>
  <c r="FG2" i="6"/>
  <c r="FF2" i="6"/>
  <c r="FE2" i="6"/>
  <c r="FD2" i="6"/>
  <c r="FC2" i="6"/>
  <c r="FB2" i="6"/>
  <c r="FA2" i="6"/>
  <c r="EZ2" i="6"/>
  <c r="EY2" i="6"/>
  <c r="EX2" i="6"/>
  <c r="EW2" i="6"/>
  <c r="EV2" i="6"/>
  <c r="EU2" i="6"/>
  <c r="ET2" i="6"/>
  <c r="ES2" i="6"/>
  <c r="ER2" i="6"/>
  <c r="EQ2" i="6"/>
  <c r="EP2" i="6"/>
  <c r="EO2" i="6"/>
  <c r="EN2" i="6"/>
  <c r="EM2" i="6"/>
  <c r="EL2" i="6"/>
  <c r="EK2" i="6"/>
  <c r="EJ2" i="6"/>
  <c r="EI2" i="6"/>
  <c r="EH2" i="6"/>
  <c r="EG2" i="6"/>
  <c r="EF2" i="6"/>
  <c r="EE2" i="6"/>
  <c r="ED2" i="6"/>
  <c r="EC2" i="6"/>
  <c r="EB2" i="6"/>
  <c r="EA2" i="6"/>
  <c r="DY2" i="6"/>
  <c r="DX2" i="6"/>
  <c r="DV2" i="6"/>
  <c r="DU2" i="6"/>
  <c r="DT2" i="6"/>
  <c r="DS2" i="6"/>
  <c r="DR2" i="6"/>
  <c r="DQ2" i="6"/>
  <c r="DP2" i="6"/>
  <c r="DO2" i="6"/>
  <c r="DN2" i="6"/>
  <c r="DK2" i="6"/>
  <c r="DJ2" i="6"/>
  <c r="DI2" i="6"/>
  <c r="DH2" i="6"/>
  <c r="DG2" i="6"/>
  <c r="DF2" i="6"/>
  <c r="DE2" i="6"/>
  <c r="DD2" i="6"/>
  <c r="DC2" i="6"/>
  <c r="DB2" i="6"/>
  <c r="DA2" i="6"/>
  <c r="CV2" i="6"/>
  <c r="CU2" i="6"/>
  <c r="CT2" i="6"/>
  <c r="CS2" i="6"/>
  <c r="GN2" i="6" s="1"/>
  <c r="CR2" i="6"/>
  <c r="GM2" i="6" s="1"/>
  <c r="CQ2" i="6"/>
  <c r="GL2" i="6" s="1"/>
  <c r="CP2" i="6"/>
  <c r="GJ2" i="6" s="1"/>
  <c r="GK2" i="6" s="1"/>
  <c r="CO2" i="6"/>
  <c r="DZ2" i="6" s="1"/>
  <c r="CN2" i="6"/>
  <c r="CM2" i="6"/>
  <c r="CL2" i="6"/>
  <c r="DW2" i="6" s="1"/>
  <c r="CG2" i="6" a="1"/>
  <c r="CG2" i="6" s="1"/>
  <c r="AW2" i="6"/>
  <c r="AV2" i="6"/>
  <c r="AX2" i="6" s="1"/>
  <c r="J2" i="6"/>
  <c r="G2" i="6"/>
  <c r="HX5" i="6" a="1"/>
  <c r="HX5" i="6" s="1"/>
  <c r="IW5" i="6" s="1"/>
  <c r="HW5" i="6" a="1"/>
  <c r="HW5" i="6" s="1"/>
  <c r="IV5" i="6" s="1"/>
  <c r="HV5" i="6" a="1"/>
  <c r="HV5" i="6" s="1"/>
  <c r="IU5" i="6" s="1"/>
  <c r="HU5" i="6"/>
  <c r="IT5" i="6" s="1"/>
  <c r="HU5" i="6" a="1"/>
  <c r="HT5" i="6" a="1"/>
  <c r="HT5" i="6" s="1"/>
  <c r="IS5" i="6" s="1"/>
  <c r="HS5" i="6" a="1"/>
  <c r="HS5" i="6" s="1"/>
  <c r="IR5" i="6" s="1"/>
  <c r="HR5" i="6" a="1"/>
  <c r="HR5" i="6" s="1"/>
  <c r="IQ5" i="6" s="1"/>
  <c r="HQ5" i="6" a="1"/>
  <c r="HQ5" i="6" s="1"/>
  <c r="IP5" i="6" s="1"/>
  <c r="HP5" i="6" a="1"/>
  <c r="HP5" i="6" s="1"/>
  <c r="IO5" i="6" s="1"/>
  <c r="HL5" i="6"/>
  <c r="HJ5" i="6"/>
  <c r="HH5" i="6"/>
  <c r="HI5" i="6" s="1"/>
  <c r="HB5" i="6"/>
  <c r="HA5" i="6"/>
  <c r="GZ5" i="6"/>
  <c r="GY5" i="6"/>
  <c r="GX5" i="6"/>
  <c r="GW5" i="6"/>
  <c r="GV5" i="6"/>
  <c r="GU5" i="6"/>
  <c r="GT5" i="6"/>
  <c r="HC5" i="6" s="1"/>
  <c r="GP5" i="6"/>
  <c r="GM5" i="6"/>
  <c r="GL5" i="6"/>
  <c r="GJ5" i="6"/>
  <c r="GK5" i="6" s="1"/>
  <c r="GI5" i="6"/>
  <c r="GH5" i="6"/>
  <c r="GG5" i="6"/>
  <c r="GF5" i="6"/>
  <c r="GE5" i="6"/>
  <c r="GB5" i="6"/>
  <c r="GA5" i="6"/>
  <c r="FZ5" i="6"/>
  <c r="FY5" i="6"/>
  <c r="FW5" i="6"/>
  <c r="FV5" i="6"/>
  <c r="FU5" i="6"/>
  <c r="FT5" i="6"/>
  <c r="FS5" i="6"/>
  <c r="FR5" i="6"/>
  <c r="FQ5" i="6"/>
  <c r="FP5" i="6"/>
  <c r="FJ5" i="6"/>
  <c r="FM5" i="6" s="1"/>
  <c r="FI5" i="6"/>
  <c r="FL5" i="6" s="1"/>
  <c r="FH5" i="6"/>
  <c r="FG5" i="6"/>
  <c r="FF5" i="6"/>
  <c r="FK5" i="6" s="1"/>
  <c r="FE5" i="6"/>
  <c r="FO5" i="6" s="1"/>
  <c r="FD5" i="6"/>
  <c r="FB5" i="6"/>
  <c r="FA5" i="6"/>
  <c r="EZ5" i="6"/>
  <c r="EY5" i="6"/>
  <c r="EX5" i="6"/>
  <c r="EW5" i="6"/>
  <c r="EV5" i="6"/>
  <c r="EU5" i="6"/>
  <c r="ET5" i="6"/>
  <c r="ES5" i="6"/>
  <c r="ER5" i="6"/>
  <c r="EQ5" i="6"/>
  <c r="EP5" i="6"/>
  <c r="EO5" i="6"/>
  <c r="EN5" i="6"/>
  <c r="EM5" i="6"/>
  <c r="EL5" i="6"/>
  <c r="EK5" i="6"/>
  <c r="EJ5" i="6"/>
  <c r="EI5" i="6"/>
  <c r="EH5" i="6"/>
  <c r="EG5" i="6"/>
  <c r="EF5" i="6"/>
  <c r="EE5" i="6"/>
  <c r="ED5" i="6"/>
  <c r="EC5" i="6"/>
  <c r="EB5" i="6"/>
  <c r="EA5" i="6"/>
  <c r="DU5" i="6"/>
  <c r="DT5" i="6"/>
  <c r="DS5" i="6"/>
  <c r="DR5" i="6"/>
  <c r="DQ5" i="6"/>
  <c r="DP5" i="6"/>
  <c r="DO5" i="6"/>
  <c r="DN5" i="6"/>
  <c r="DK5" i="6"/>
  <c r="DJ5" i="6"/>
  <c r="DI5" i="6"/>
  <c r="DH5" i="6"/>
  <c r="DG5" i="6"/>
  <c r="DF5" i="6"/>
  <c r="DE5" i="6"/>
  <c r="DD5" i="6"/>
  <c r="DB5" i="6"/>
  <c r="DA5" i="6"/>
  <c r="CV5" i="6"/>
  <c r="CU5" i="6"/>
  <c r="CT5" i="6"/>
  <c r="CS5" i="6"/>
  <c r="GN5" i="6" s="1"/>
  <c r="CR5" i="6"/>
  <c r="CQ5" i="6"/>
  <c r="CP5" i="6"/>
  <c r="CO5" i="6"/>
  <c r="DZ5" i="6" s="1"/>
  <c r="CN5" i="6"/>
  <c r="DY5" i="6" s="1"/>
  <c r="CM5" i="6"/>
  <c r="DX5" i="6" s="1"/>
  <c r="CL5" i="6"/>
  <c r="DW5" i="6" s="1"/>
  <c r="CG5" i="6" a="1"/>
  <c r="CG5" i="6" s="1"/>
  <c r="AW5" i="6"/>
  <c r="AV5" i="6"/>
  <c r="J5" i="6"/>
  <c r="G5" i="6"/>
  <c r="HX4" i="6"/>
  <c r="IW4" i="6" s="1"/>
  <c r="HX4" i="6" a="1"/>
  <c r="HW4" i="6" a="1"/>
  <c r="HW4" i="6" s="1"/>
  <c r="IV4" i="6" s="1"/>
  <c r="HV4" i="6" a="1"/>
  <c r="HV4" i="6" s="1"/>
  <c r="IU4" i="6" s="1"/>
  <c r="HU4" i="6" a="1"/>
  <c r="HU4" i="6" s="1"/>
  <c r="IT4" i="6" s="1"/>
  <c r="HT4" i="6" a="1"/>
  <c r="HT4" i="6" s="1"/>
  <c r="IS4" i="6" s="1"/>
  <c r="HS4" i="6" a="1"/>
  <c r="HS4" i="6" s="1"/>
  <c r="IR4" i="6" s="1"/>
  <c r="HR4" i="6"/>
  <c r="IQ4" i="6" s="1"/>
  <c r="HR4" i="6" a="1"/>
  <c r="HQ4" i="6" a="1"/>
  <c r="HQ4" i="6" s="1"/>
  <c r="IP4" i="6" s="1"/>
  <c r="HP4" i="6" a="1"/>
  <c r="HP4" i="6" s="1"/>
  <c r="HL4" i="6"/>
  <c r="HJ4" i="6"/>
  <c r="HH4" i="6"/>
  <c r="HB4" i="6"/>
  <c r="HA4" i="6"/>
  <c r="GZ4" i="6"/>
  <c r="GY4" i="6"/>
  <c r="GX4" i="6"/>
  <c r="GW4" i="6"/>
  <c r="GV4" i="6"/>
  <c r="GU4" i="6"/>
  <c r="GT4" i="6"/>
  <c r="HC4" i="6" s="1"/>
  <c r="GP4" i="6"/>
  <c r="GM4" i="6"/>
  <c r="GL4" i="6"/>
  <c r="GI4" i="6"/>
  <c r="GH4" i="6"/>
  <c r="GG4" i="6"/>
  <c r="GF4" i="6"/>
  <c r="GE4" i="6"/>
  <c r="GB4" i="6"/>
  <c r="GA4" i="6"/>
  <c r="FZ4" i="6"/>
  <c r="FY4" i="6"/>
  <c r="FW4" i="6"/>
  <c r="FV4" i="6"/>
  <c r="FU4" i="6"/>
  <c r="FT4" i="6"/>
  <c r="FS4" i="6"/>
  <c r="FR4" i="6"/>
  <c r="FQ4" i="6"/>
  <c r="FP4" i="6"/>
  <c r="FO4" i="6"/>
  <c r="FL4" i="6"/>
  <c r="FK4" i="6"/>
  <c r="FJ4" i="6"/>
  <c r="FM4" i="6" s="1"/>
  <c r="FI4" i="6"/>
  <c r="FH4" i="6"/>
  <c r="FG4" i="6"/>
  <c r="FF4" i="6"/>
  <c r="FE4" i="6"/>
  <c r="FN4" i="6" s="1"/>
  <c r="FD4" i="6"/>
  <c r="FB4" i="6"/>
  <c r="FA4" i="6"/>
  <c r="EZ4" i="6"/>
  <c r="EY4" i="6"/>
  <c r="EX4" i="6"/>
  <c r="EW4" i="6"/>
  <c r="EV4" i="6"/>
  <c r="EU4" i="6"/>
  <c r="ET4" i="6"/>
  <c r="ES4" i="6"/>
  <c r="ER4" i="6"/>
  <c r="EQ4" i="6"/>
  <c r="EP4" i="6"/>
  <c r="EO4" i="6"/>
  <c r="EN4" i="6"/>
  <c r="EM4" i="6"/>
  <c r="EL4" i="6"/>
  <c r="EK4" i="6"/>
  <c r="EJ4" i="6"/>
  <c r="EI4" i="6"/>
  <c r="EH4" i="6"/>
  <c r="EG4" i="6"/>
  <c r="EF4" i="6"/>
  <c r="EE4" i="6"/>
  <c r="ED4" i="6"/>
  <c r="EC4" i="6"/>
  <c r="EB4" i="6"/>
  <c r="EA4" i="6"/>
  <c r="DU4" i="6"/>
  <c r="DT4" i="6"/>
  <c r="DS4" i="6"/>
  <c r="DR4" i="6"/>
  <c r="DQ4" i="6"/>
  <c r="DP4" i="6"/>
  <c r="DO4" i="6"/>
  <c r="DN4" i="6"/>
  <c r="DK4" i="6"/>
  <c r="DJ4" i="6"/>
  <c r="DI4" i="6"/>
  <c r="DH4" i="6"/>
  <c r="DG4" i="6"/>
  <c r="DF4" i="6"/>
  <c r="DE4" i="6"/>
  <c r="DD4" i="6"/>
  <c r="DB4" i="6"/>
  <c r="DA4" i="6"/>
  <c r="CV4" i="6"/>
  <c r="CU4" i="6"/>
  <c r="CT4" i="6"/>
  <c r="CS4" i="6"/>
  <c r="GN4" i="6" s="1"/>
  <c r="CR4" i="6"/>
  <c r="CQ4" i="6"/>
  <c r="CP4" i="6"/>
  <c r="GJ4" i="6" s="1"/>
  <c r="GK4" i="6" s="1"/>
  <c r="CO4" i="6"/>
  <c r="DZ4" i="6" s="1"/>
  <c r="CN4" i="6"/>
  <c r="DY4" i="6" s="1"/>
  <c r="CM4" i="6"/>
  <c r="DX4" i="6" s="1"/>
  <c r="CL4" i="6"/>
  <c r="DW4" i="6" s="1"/>
  <c r="CG4" i="6"/>
  <c r="DL4" i="6" s="1"/>
  <c r="CG4" i="6" a="1"/>
  <c r="AW4" i="6"/>
  <c r="AV4" i="6"/>
  <c r="J4" i="6"/>
  <c r="HI4" i="6" s="1"/>
  <c r="G4" i="6"/>
  <c r="HX3" i="6" a="1"/>
  <c r="HX3" i="6" s="1"/>
  <c r="IW3" i="6" s="1"/>
  <c r="HW3" i="6" a="1"/>
  <c r="HW3" i="6" s="1"/>
  <c r="IV3" i="6" s="1"/>
  <c r="HV3" i="6" a="1"/>
  <c r="HV3" i="6" s="1"/>
  <c r="IU3" i="6" s="1"/>
  <c r="HU3" i="6"/>
  <c r="IT3" i="6" s="1"/>
  <c r="HU3" i="6" a="1"/>
  <c r="HT3" i="6" a="1"/>
  <c r="HT3" i="6" s="1"/>
  <c r="IS3" i="6" s="1"/>
  <c r="HS3" i="6" a="1"/>
  <c r="HS3" i="6" s="1"/>
  <c r="IR3" i="6" s="1"/>
  <c r="HR3" i="6" a="1"/>
  <c r="HR3" i="6" s="1"/>
  <c r="IQ3" i="6" s="1"/>
  <c r="HQ3" i="6" a="1"/>
  <c r="HQ3" i="6" s="1"/>
  <c r="IP3" i="6" s="1"/>
  <c r="HP3" i="6" a="1"/>
  <c r="HP3" i="6" s="1"/>
  <c r="IO3" i="6" s="1"/>
  <c r="HL3" i="6"/>
  <c r="HJ3" i="6"/>
  <c r="HH3" i="6"/>
  <c r="HI3" i="6" s="1"/>
  <c r="HB3" i="6"/>
  <c r="HA3" i="6"/>
  <c r="GZ3" i="6"/>
  <c r="GY3" i="6"/>
  <c r="GX3" i="6"/>
  <c r="GW3" i="6"/>
  <c r="GV3" i="6"/>
  <c r="GU3" i="6"/>
  <c r="GT3" i="6"/>
  <c r="HC3" i="6" s="1"/>
  <c r="GP3" i="6"/>
  <c r="GM3" i="6"/>
  <c r="GL3" i="6"/>
  <c r="GJ3" i="6"/>
  <c r="GK3" i="6" s="1"/>
  <c r="GI3" i="6"/>
  <c r="GH3" i="6"/>
  <c r="GG3" i="6"/>
  <c r="GF3" i="6"/>
  <c r="GE3" i="6"/>
  <c r="GB3" i="6"/>
  <c r="GA3" i="6"/>
  <c r="FZ3" i="6"/>
  <c r="FY3" i="6"/>
  <c r="FW3" i="6"/>
  <c r="FV3" i="6"/>
  <c r="FU3" i="6"/>
  <c r="FT3" i="6"/>
  <c r="FS3" i="6"/>
  <c r="FR3" i="6"/>
  <c r="FQ3" i="6"/>
  <c r="FP3" i="6"/>
  <c r="FJ3" i="6"/>
  <c r="FM3" i="6" s="1"/>
  <c r="FI3" i="6"/>
  <c r="FL3" i="6" s="1"/>
  <c r="FH3" i="6"/>
  <c r="FG3" i="6"/>
  <c r="FF3" i="6"/>
  <c r="FK3" i="6" s="1"/>
  <c r="FE3" i="6"/>
  <c r="FO3" i="6" s="1"/>
  <c r="FD3" i="6"/>
  <c r="FB3" i="6"/>
  <c r="FA3" i="6"/>
  <c r="EZ3" i="6"/>
  <c r="EY3" i="6"/>
  <c r="EX3" i="6"/>
  <c r="EW3" i="6"/>
  <c r="EV3" i="6"/>
  <c r="EU3" i="6"/>
  <c r="ET3" i="6"/>
  <c r="ES3" i="6"/>
  <c r="ER3" i="6"/>
  <c r="EQ3" i="6"/>
  <c r="EP3" i="6"/>
  <c r="EO3" i="6"/>
  <c r="EN3" i="6"/>
  <c r="EM3" i="6"/>
  <c r="EL3" i="6"/>
  <c r="EK3" i="6"/>
  <c r="EJ3" i="6"/>
  <c r="EI3" i="6"/>
  <c r="EH3" i="6"/>
  <c r="EG3" i="6"/>
  <c r="EF3" i="6"/>
  <c r="EE3" i="6"/>
  <c r="ED3" i="6"/>
  <c r="EC3" i="6"/>
  <c r="EB3" i="6"/>
  <c r="EA3" i="6"/>
  <c r="DU3" i="6"/>
  <c r="DT3" i="6"/>
  <c r="DS3" i="6"/>
  <c r="DR3" i="6"/>
  <c r="DQ3" i="6"/>
  <c r="DP3" i="6"/>
  <c r="DO3" i="6"/>
  <c r="DN3" i="6"/>
  <c r="DK3" i="6"/>
  <c r="DJ3" i="6"/>
  <c r="DI3" i="6"/>
  <c r="DH3" i="6"/>
  <c r="DG3" i="6"/>
  <c r="DF3" i="6"/>
  <c r="DE3" i="6"/>
  <c r="DD3" i="6"/>
  <c r="DB3" i="6"/>
  <c r="DA3" i="6"/>
  <c r="CV3" i="6"/>
  <c r="CU3" i="6"/>
  <c r="CT3" i="6"/>
  <c r="CS3" i="6"/>
  <c r="GN3" i="6" s="1"/>
  <c r="CR3" i="6"/>
  <c r="CQ3" i="6"/>
  <c r="CP3" i="6"/>
  <c r="CO3" i="6"/>
  <c r="DZ3" i="6" s="1"/>
  <c r="CN3" i="6"/>
  <c r="DY3" i="6" s="1"/>
  <c r="CM3" i="6"/>
  <c r="DX3" i="6" s="1"/>
  <c r="CL3" i="6"/>
  <c r="DW3" i="6" s="1"/>
  <c r="CG3" i="6" a="1"/>
  <c r="CG3" i="6" s="1"/>
  <c r="AW3" i="6"/>
  <c r="AV3" i="6"/>
  <c r="J3" i="6"/>
  <c r="G3" i="6"/>
  <c r="HX3" i="5" a="1"/>
  <c r="HX3" i="5" s="1"/>
  <c r="IW3" i="5" s="1"/>
  <c r="HW3" i="5" a="1"/>
  <c r="HW3" i="5" s="1"/>
  <c r="IV3" i="5" s="1"/>
  <c r="HV3" i="5" a="1"/>
  <c r="HV3" i="5" s="1"/>
  <c r="IU3" i="5" s="1"/>
  <c r="HU3" i="5" a="1"/>
  <c r="HU3" i="5" s="1"/>
  <c r="IT3" i="5" s="1"/>
  <c r="HT3" i="5" a="1"/>
  <c r="HT3" i="5" s="1"/>
  <c r="IS3" i="5" s="1"/>
  <c r="HS3" i="5" a="1"/>
  <c r="HS3" i="5" s="1"/>
  <c r="IR3" i="5" s="1"/>
  <c r="HR3" i="5" a="1"/>
  <c r="HR3" i="5" s="1"/>
  <c r="IQ3" i="5" s="1"/>
  <c r="HQ3" i="5" a="1"/>
  <c r="HQ3" i="5" s="1"/>
  <c r="IP3" i="5" s="1"/>
  <c r="HP3" i="5" a="1"/>
  <c r="HP3" i="5" s="1"/>
  <c r="IO3" i="5" s="1"/>
  <c r="HL3" i="5"/>
  <c r="HJ3" i="5"/>
  <c r="HH3" i="5"/>
  <c r="HI3" i="5" s="1"/>
  <c r="HB3" i="5"/>
  <c r="HA3" i="5"/>
  <c r="GZ3" i="5"/>
  <c r="GY3" i="5"/>
  <c r="GX3" i="5"/>
  <c r="GW3" i="5"/>
  <c r="GV3" i="5"/>
  <c r="GU3" i="5"/>
  <c r="GT3" i="5"/>
  <c r="HC3" i="5" s="1"/>
  <c r="GP3" i="5"/>
  <c r="GM3" i="5"/>
  <c r="GL3" i="5"/>
  <c r="GJ3" i="5"/>
  <c r="GK3" i="5" s="1"/>
  <c r="GI3" i="5"/>
  <c r="GH3" i="5"/>
  <c r="GG3" i="5"/>
  <c r="GF3" i="5"/>
  <c r="GE3" i="5"/>
  <c r="GB3" i="5"/>
  <c r="GA3" i="5"/>
  <c r="FZ3" i="5"/>
  <c r="FY3" i="5"/>
  <c r="FW3" i="5"/>
  <c r="FV3" i="5"/>
  <c r="FU3" i="5"/>
  <c r="FT3" i="5"/>
  <c r="FS3" i="5"/>
  <c r="FR3" i="5"/>
  <c r="FQ3" i="5"/>
  <c r="FP3" i="5"/>
  <c r="FJ3" i="5"/>
  <c r="FM3" i="5" s="1"/>
  <c r="FI3" i="5"/>
  <c r="FL3" i="5" s="1"/>
  <c r="FH3" i="5"/>
  <c r="FK3" i="5" s="1"/>
  <c r="FG3" i="5"/>
  <c r="FF3" i="5"/>
  <c r="FE3" i="5"/>
  <c r="FO3" i="5" s="1"/>
  <c r="FD3" i="5"/>
  <c r="FB3" i="5"/>
  <c r="FA3" i="5"/>
  <c r="EZ3" i="5"/>
  <c r="EY3" i="5"/>
  <c r="EX3" i="5"/>
  <c r="EW3" i="5"/>
  <c r="EV3" i="5"/>
  <c r="EU3" i="5"/>
  <c r="ET3" i="5"/>
  <c r="ES3" i="5"/>
  <c r="ER3" i="5"/>
  <c r="EQ3" i="5"/>
  <c r="EP3" i="5"/>
  <c r="EO3" i="5"/>
  <c r="EN3" i="5"/>
  <c r="EM3" i="5"/>
  <c r="EL3" i="5"/>
  <c r="EK3" i="5"/>
  <c r="EJ3" i="5"/>
  <c r="EI3" i="5"/>
  <c r="EH3" i="5"/>
  <c r="EG3" i="5"/>
  <c r="EF3" i="5"/>
  <c r="EE3" i="5"/>
  <c r="ED3" i="5"/>
  <c r="EC3" i="5"/>
  <c r="EB3" i="5"/>
  <c r="EA3" i="5"/>
  <c r="DU3" i="5"/>
  <c r="DT3" i="5"/>
  <c r="DS3" i="5"/>
  <c r="DR3" i="5"/>
  <c r="DQ3" i="5"/>
  <c r="DP3" i="5"/>
  <c r="DO3" i="5"/>
  <c r="DN3" i="5"/>
  <c r="DK3" i="5"/>
  <c r="DJ3" i="5"/>
  <c r="DI3" i="5"/>
  <c r="DH3" i="5"/>
  <c r="DG3" i="5"/>
  <c r="DF3" i="5"/>
  <c r="DE3" i="5"/>
  <c r="DD3" i="5"/>
  <c r="DB3" i="5"/>
  <c r="DA3" i="5"/>
  <c r="CV3" i="5"/>
  <c r="CU3" i="5"/>
  <c r="CT3" i="5"/>
  <c r="CS3" i="5"/>
  <c r="GN3" i="5" s="1"/>
  <c r="CR3" i="5"/>
  <c r="CQ3" i="5"/>
  <c r="CP3" i="5"/>
  <c r="CO3" i="5"/>
  <c r="DZ3" i="5" s="1"/>
  <c r="CN3" i="5"/>
  <c r="DY3" i="5" s="1"/>
  <c r="CM3" i="5"/>
  <c r="DX3" i="5" s="1"/>
  <c r="CL3" i="5"/>
  <c r="DW3" i="5" s="1"/>
  <c r="CG3" i="5" a="1"/>
  <c r="CG3" i="5" s="1"/>
  <c r="AW3" i="5"/>
  <c r="AV3" i="5"/>
  <c r="J3" i="5"/>
  <c r="G3" i="5"/>
  <c r="IL2" i="5"/>
  <c r="HX2" i="5"/>
  <c r="IW2" i="5" s="1"/>
  <c r="HX2" i="5" a="1"/>
  <c r="HW2" i="5" a="1"/>
  <c r="HW2" i="5" s="1"/>
  <c r="IV2" i="5" s="1"/>
  <c r="HV2" i="5" a="1"/>
  <c r="HV2" i="5" s="1"/>
  <c r="IU2" i="5" s="1"/>
  <c r="HU2" i="5" a="1"/>
  <c r="HU2" i="5" s="1"/>
  <c r="IT2" i="5" s="1"/>
  <c r="HT2" i="5" a="1"/>
  <c r="HT2" i="5" s="1"/>
  <c r="IS2" i="5" s="1"/>
  <c r="HS2" i="5" a="1"/>
  <c r="HS2" i="5" s="1"/>
  <c r="IR2" i="5" s="1"/>
  <c r="HR2" i="5"/>
  <c r="IQ2" i="5" s="1"/>
  <c r="HR2" i="5" a="1"/>
  <c r="HQ2" i="5" a="1"/>
  <c r="HQ2" i="5" s="1"/>
  <c r="IP2" i="5" s="1"/>
  <c r="HP2" i="5" a="1"/>
  <c r="HP2" i="5" s="1"/>
  <c r="IO2" i="5" s="1"/>
  <c r="HL2" i="5"/>
  <c r="HJ2" i="5"/>
  <c r="HH2" i="5"/>
  <c r="HB2" i="5"/>
  <c r="HA2" i="5"/>
  <c r="GZ2" i="5"/>
  <c r="GY2" i="5"/>
  <c r="GX2" i="5"/>
  <c r="GW2" i="5"/>
  <c r="GV2" i="5"/>
  <c r="GU2" i="5"/>
  <c r="GT2" i="5"/>
  <c r="HC2" i="5" s="1"/>
  <c r="GP2" i="5"/>
  <c r="GI2" i="5"/>
  <c r="GH2" i="5"/>
  <c r="GG2" i="5"/>
  <c r="GF2" i="5"/>
  <c r="GE2" i="5"/>
  <c r="GD2" i="5"/>
  <c r="GC2" i="5"/>
  <c r="GB2" i="5"/>
  <c r="GA2" i="5"/>
  <c r="FZ2" i="5"/>
  <c r="FY2" i="5"/>
  <c r="FX2" i="5"/>
  <c r="FW2" i="5"/>
  <c r="FV2" i="5"/>
  <c r="FU2" i="5"/>
  <c r="FT2" i="5"/>
  <c r="FS2" i="5"/>
  <c r="FR2" i="5"/>
  <c r="FQ2" i="5"/>
  <c r="FJ2" i="5"/>
  <c r="FM2" i="5" s="1"/>
  <c r="FI2" i="5"/>
  <c r="FL2" i="5" s="1"/>
  <c r="FH2" i="5"/>
  <c r="FK2" i="5" s="1"/>
  <c r="FG2" i="5"/>
  <c r="FO2" i="5" s="1"/>
  <c r="FF2" i="5"/>
  <c r="FN2" i="5" s="1"/>
  <c r="FE2" i="5"/>
  <c r="FD2" i="5"/>
  <c r="FC2" i="5"/>
  <c r="FB2" i="5"/>
  <c r="FA2" i="5"/>
  <c r="EZ2" i="5"/>
  <c r="EY2" i="5"/>
  <c r="EX2" i="5"/>
  <c r="EW2" i="5"/>
  <c r="EV2" i="5"/>
  <c r="EU2" i="5"/>
  <c r="ET2" i="5"/>
  <c r="ES2" i="5"/>
  <c r="ER2" i="5"/>
  <c r="EQ2" i="5"/>
  <c r="EP2" i="5"/>
  <c r="EO2" i="5"/>
  <c r="EN2" i="5"/>
  <c r="EM2" i="5"/>
  <c r="EL2" i="5"/>
  <c r="EK2" i="5"/>
  <c r="EJ2" i="5"/>
  <c r="EI2" i="5"/>
  <c r="EH2" i="5"/>
  <c r="EG2" i="5"/>
  <c r="EF2" i="5"/>
  <c r="EE2" i="5"/>
  <c r="ED2" i="5"/>
  <c r="EC2" i="5"/>
  <c r="EB2" i="5"/>
  <c r="EA2" i="5"/>
  <c r="DW2" i="5"/>
  <c r="DV2" i="5"/>
  <c r="DU2" i="5"/>
  <c r="DT2" i="5"/>
  <c r="DS2" i="5"/>
  <c r="DR2" i="5"/>
  <c r="DQ2" i="5"/>
  <c r="DP2" i="5"/>
  <c r="DO2" i="5"/>
  <c r="DN2" i="5"/>
  <c r="DK2" i="5"/>
  <c r="DJ2" i="5"/>
  <c r="DI2" i="5"/>
  <c r="DH2" i="5"/>
  <c r="DG2" i="5"/>
  <c r="DF2" i="5"/>
  <c r="DE2" i="5"/>
  <c r="DD2" i="5"/>
  <c r="DC2" i="5"/>
  <c r="DB2" i="5"/>
  <c r="DA2" i="5"/>
  <c r="CV2" i="5"/>
  <c r="CU2" i="5"/>
  <c r="CT2" i="5"/>
  <c r="CS2" i="5"/>
  <c r="GN2" i="5" s="1"/>
  <c r="CR2" i="5"/>
  <c r="GM2" i="5" s="1"/>
  <c r="CQ2" i="5"/>
  <c r="GL2" i="5" s="1"/>
  <c r="CP2" i="5"/>
  <c r="GJ2" i="5" s="1"/>
  <c r="GK2" i="5" s="1"/>
  <c r="CO2" i="5"/>
  <c r="DZ2" i="5" s="1"/>
  <c r="CN2" i="5"/>
  <c r="DY2" i="5" s="1"/>
  <c r="CM2" i="5"/>
  <c r="DX2" i="5" s="1"/>
  <c r="CL2" i="5"/>
  <c r="CG2" i="5" a="1"/>
  <c r="CG2" i="5" s="1"/>
  <c r="AW2" i="5"/>
  <c r="AV2" i="5"/>
  <c r="AX2" i="5" s="1"/>
  <c r="J2" i="5"/>
  <c r="HI2" i="5" s="1"/>
  <c r="G2" i="5"/>
  <c r="AW4" i="4"/>
  <c r="AW3" i="4"/>
  <c r="IL2" i="4"/>
  <c r="HX2" i="4" a="1"/>
  <c r="HX2" i="4" s="1"/>
  <c r="IW2" i="4" s="1"/>
  <c r="HW2" i="4" a="1"/>
  <c r="HW2" i="4" s="1"/>
  <c r="IV2" i="4" s="1"/>
  <c r="HV2" i="4" a="1"/>
  <c r="HV2" i="4" s="1"/>
  <c r="IU2" i="4" s="1"/>
  <c r="HU2" i="4" a="1"/>
  <c r="HU2" i="4" s="1"/>
  <c r="IT2" i="4" s="1"/>
  <c r="HT2" i="4" a="1"/>
  <c r="HT2" i="4" s="1"/>
  <c r="IS2" i="4" s="1"/>
  <c r="HS2" i="4" a="1"/>
  <c r="HS2" i="4" s="1"/>
  <c r="IR2" i="4" s="1"/>
  <c r="HR2" i="4" a="1"/>
  <c r="HR2" i="4" s="1"/>
  <c r="IQ2" i="4" s="1"/>
  <c r="HQ2" i="4" a="1"/>
  <c r="HQ2" i="4" s="1"/>
  <c r="IP2" i="4" s="1"/>
  <c r="HP2" i="4" a="1"/>
  <c r="HP2" i="4" s="1"/>
  <c r="IO2" i="4" s="1"/>
  <c r="HL2" i="4"/>
  <c r="HJ2" i="4"/>
  <c r="HH2" i="4"/>
  <c r="HI2" i="4" s="1"/>
  <c r="HB2" i="4"/>
  <c r="HA2" i="4"/>
  <c r="GZ2" i="4"/>
  <c r="GY2" i="4"/>
  <c r="GX2" i="4"/>
  <c r="GW2" i="4"/>
  <c r="GV2" i="4"/>
  <c r="GU2" i="4"/>
  <c r="GT2" i="4"/>
  <c r="GP2" i="4"/>
  <c r="GI2" i="4"/>
  <c r="GH2" i="4"/>
  <c r="GG2" i="4"/>
  <c r="GF2" i="4"/>
  <c r="GE2" i="4"/>
  <c r="GD2" i="4"/>
  <c r="GC2" i="4"/>
  <c r="GB2" i="4"/>
  <c r="GA2" i="4"/>
  <c r="FZ2" i="4"/>
  <c r="FY2" i="4"/>
  <c r="FX2" i="4"/>
  <c r="FW2" i="4"/>
  <c r="FV2" i="4"/>
  <c r="FU2" i="4"/>
  <c r="FT2" i="4"/>
  <c r="FS2" i="4"/>
  <c r="FR2" i="4"/>
  <c r="FQ2" i="4"/>
  <c r="FP2" i="4"/>
  <c r="FO2" i="4"/>
  <c r="FJ2" i="4"/>
  <c r="FI2" i="4"/>
  <c r="FH2" i="4"/>
  <c r="FG2" i="4"/>
  <c r="FF2" i="4"/>
  <c r="FE2" i="4"/>
  <c r="FN2" i="4" s="1"/>
  <c r="FD2" i="4"/>
  <c r="FC2" i="4"/>
  <c r="FB2" i="4"/>
  <c r="FA2" i="4"/>
  <c r="EZ2" i="4"/>
  <c r="EY2" i="4"/>
  <c r="EX2" i="4"/>
  <c r="EW2" i="4"/>
  <c r="EV2" i="4"/>
  <c r="EU2" i="4"/>
  <c r="ET2" i="4"/>
  <c r="ES2" i="4"/>
  <c r="ER2" i="4"/>
  <c r="EQ2" i="4"/>
  <c r="EP2" i="4"/>
  <c r="EO2" i="4"/>
  <c r="EN2" i="4"/>
  <c r="EM2" i="4"/>
  <c r="EL2" i="4"/>
  <c r="EK2" i="4"/>
  <c r="EJ2" i="4"/>
  <c r="EI2" i="4"/>
  <c r="EH2" i="4"/>
  <c r="EG2" i="4"/>
  <c r="EF2" i="4"/>
  <c r="EE2" i="4"/>
  <c r="ED2" i="4"/>
  <c r="EC2" i="4"/>
  <c r="EB2" i="4"/>
  <c r="EA2" i="4"/>
  <c r="DV2" i="4"/>
  <c r="DU2" i="4"/>
  <c r="DT2" i="4"/>
  <c r="DS2" i="4"/>
  <c r="DR2" i="4"/>
  <c r="DQ2" i="4"/>
  <c r="DP2" i="4"/>
  <c r="DO2" i="4"/>
  <c r="DN2" i="4"/>
  <c r="DK2" i="4"/>
  <c r="DJ2" i="4"/>
  <c r="DI2" i="4"/>
  <c r="DH2" i="4"/>
  <c r="DG2" i="4"/>
  <c r="DF2" i="4"/>
  <c r="DE2" i="4"/>
  <c r="DD2" i="4"/>
  <c r="DC2" i="4"/>
  <c r="DB2" i="4"/>
  <c r="DA2" i="4"/>
  <c r="CV2" i="4"/>
  <c r="CU2" i="4"/>
  <c r="CT2" i="4"/>
  <c r="CS2" i="4"/>
  <c r="GN2" i="4" s="1"/>
  <c r="CR2" i="4"/>
  <c r="GM2" i="4" s="1"/>
  <c r="CQ2" i="4"/>
  <c r="GL2" i="4" s="1"/>
  <c r="CP2" i="4"/>
  <c r="GJ2" i="4" s="1"/>
  <c r="GK2" i="4" s="1"/>
  <c r="CO2" i="4"/>
  <c r="DZ2" i="4" s="1"/>
  <c r="CN2" i="4"/>
  <c r="DY2" i="4" s="1"/>
  <c r="CM2" i="4"/>
  <c r="DX2" i="4" s="1"/>
  <c r="CL2" i="4"/>
  <c r="DW2" i="4" s="1"/>
  <c r="CG2" i="4" a="1"/>
  <c r="CG2" i="4" s="1"/>
  <c r="AW2" i="4"/>
  <c r="AV2" i="4"/>
  <c r="J2" i="4"/>
  <c r="G2" i="4"/>
  <c r="AW3" i="3"/>
  <c r="AW2" i="3"/>
  <c r="G3" i="3"/>
  <c r="J3" i="3"/>
  <c r="HI3" i="3" s="1"/>
  <c r="AV3" i="3"/>
  <c r="CG3" i="3" a="1"/>
  <c r="CG3" i="3"/>
  <c r="CI3" i="3" s="1"/>
  <c r="CX3" i="3" s="1"/>
  <c r="CH3" i="3"/>
  <c r="CJ3" i="3"/>
  <c r="CY3" i="3" s="1"/>
  <c r="CK3" i="3"/>
  <c r="CL3" i="3"/>
  <c r="CM3" i="3"/>
  <c r="CN3" i="3"/>
  <c r="CO3" i="3"/>
  <c r="CP3" i="3"/>
  <c r="CQ3" i="3"/>
  <c r="GL3" i="3" s="1"/>
  <c r="CR3" i="3"/>
  <c r="CS3" i="3"/>
  <c r="CT3" i="3"/>
  <c r="CU3" i="3"/>
  <c r="CV3" i="3"/>
  <c r="CW3" i="3"/>
  <c r="CZ3" i="3"/>
  <c r="DA3" i="3"/>
  <c r="DB3" i="3"/>
  <c r="DD3" i="3"/>
  <c r="DE3" i="3"/>
  <c r="DF3" i="3"/>
  <c r="DG3" i="3"/>
  <c r="DH3" i="3"/>
  <c r="DI3" i="3"/>
  <c r="DJ3" i="3"/>
  <c r="DK3" i="3"/>
  <c r="DL3" i="3"/>
  <c r="DM3" i="3" a="1"/>
  <c r="DM3" i="3" s="1"/>
  <c r="DN3" i="3"/>
  <c r="DO3" i="3"/>
  <c r="DP3" i="3"/>
  <c r="DQ3" i="3"/>
  <c r="DR3" i="3"/>
  <c r="DS3" i="3"/>
  <c r="DT3" i="3"/>
  <c r="DU3" i="3"/>
  <c r="DW3" i="3"/>
  <c r="DX3" i="3"/>
  <c r="DY3" i="3"/>
  <c r="DZ3" i="3"/>
  <c r="EA3" i="3"/>
  <c r="EB3" i="3"/>
  <c r="EC3" i="3"/>
  <c r="ED3" i="3"/>
  <c r="EE3" i="3"/>
  <c r="EF3" i="3"/>
  <c r="EG3" i="3"/>
  <c r="EH3" i="3"/>
  <c r="EI3" i="3"/>
  <c r="EJ3" i="3"/>
  <c r="EK3" i="3"/>
  <c r="EL3" i="3"/>
  <c r="EM3" i="3"/>
  <c r="EN3" i="3"/>
  <c r="EO3" i="3"/>
  <c r="EP3" i="3"/>
  <c r="EQ3" i="3"/>
  <c r="ER3" i="3"/>
  <c r="ES3" i="3"/>
  <c r="ET3" i="3"/>
  <c r="EU3" i="3"/>
  <c r="EV3" i="3"/>
  <c r="EW3" i="3"/>
  <c r="EX3" i="3"/>
  <c r="EY3" i="3"/>
  <c r="EZ3" i="3"/>
  <c r="FA3" i="3"/>
  <c r="FB3" i="3"/>
  <c r="FD3" i="3"/>
  <c r="FE3" i="3"/>
  <c r="FN3" i="3" s="1"/>
  <c r="FF3" i="3"/>
  <c r="FP3" i="3" s="1"/>
  <c r="FG3" i="3"/>
  <c r="FO3" i="3" s="1"/>
  <c r="FH3" i="3"/>
  <c r="FK3" i="3" s="1"/>
  <c r="FI3" i="3"/>
  <c r="FL3" i="3" s="1"/>
  <c r="FJ3" i="3"/>
  <c r="FM3" i="3" s="1"/>
  <c r="FQ3" i="3"/>
  <c r="FR3" i="3"/>
  <c r="FS3" i="3"/>
  <c r="FT3" i="3"/>
  <c r="FU3" i="3"/>
  <c r="FV3" i="3"/>
  <c r="FW3" i="3"/>
  <c r="FY3" i="3"/>
  <c r="FZ3" i="3"/>
  <c r="GA3" i="3"/>
  <c r="GB3" i="3"/>
  <c r="GE3" i="3"/>
  <c r="GF3" i="3"/>
  <c r="GG3" i="3"/>
  <c r="GH3" i="3"/>
  <c r="GI3" i="3"/>
  <c r="GJ3" i="3"/>
  <c r="GK3" i="3"/>
  <c r="GM3" i="3"/>
  <c r="GN3" i="3"/>
  <c r="GP3" i="3"/>
  <c r="GT3" i="3"/>
  <c r="HC3" i="3" s="1"/>
  <c r="GU3" i="3"/>
  <c r="GV3" i="3"/>
  <c r="GW3" i="3"/>
  <c r="GX3" i="3"/>
  <c r="GY3" i="3"/>
  <c r="GZ3" i="3"/>
  <c r="HA3" i="3"/>
  <c r="HB3" i="3"/>
  <c r="HH3" i="3"/>
  <c r="HJ3" i="3"/>
  <c r="HL3" i="3"/>
  <c r="HP3" i="3" a="1"/>
  <c r="HP3" i="3" s="1"/>
  <c r="IO3" i="3" s="1"/>
  <c r="HQ3" i="3" a="1"/>
  <c r="HQ3" i="3"/>
  <c r="HR3" i="3" a="1"/>
  <c r="HR3" i="3"/>
  <c r="HS3" i="3" a="1"/>
  <c r="HS3" i="3" s="1"/>
  <c r="IR3" i="3" s="1"/>
  <c r="HT3" i="3" a="1"/>
  <c r="HT3" i="3"/>
  <c r="HU3" i="3" a="1"/>
  <c r="HU3" i="3"/>
  <c r="IT3" i="3" s="1"/>
  <c r="HV3" i="3" a="1"/>
  <c r="HV3" i="3" s="1"/>
  <c r="IU3" i="3" s="1"/>
  <c r="HW3" i="3" a="1"/>
  <c r="HW3" i="3"/>
  <c r="HX3" i="3" a="1"/>
  <c r="HX3" i="3"/>
  <c r="IW3" i="3" s="1"/>
  <c r="IM3" i="3"/>
  <c r="IP3" i="3"/>
  <c r="IQ3" i="3"/>
  <c r="IS3" i="3"/>
  <c r="IV3" i="3"/>
  <c r="IQ2" i="3"/>
  <c r="IL2" i="3"/>
  <c r="HX2" i="3"/>
  <c r="IW2" i="3" s="1"/>
  <c r="HX2" i="3" a="1"/>
  <c r="HW2" i="3" a="1"/>
  <c r="HW2" i="3" s="1"/>
  <c r="IV2" i="3" s="1"/>
  <c r="HV2" i="3" a="1"/>
  <c r="HV2" i="3" s="1"/>
  <c r="IU2" i="3" s="1"/>
  <c r="HU2" i="3" a="1"/>
  <c r="HU2" i="3" s="1"/>
  <c r="IT2" i="3" s="1"/>
  <c r="HT2" i="3" a="1"/>
  <c r="HT2" i="3" s="1"/>
  <c r="IS2" i="3" s="1"/>
  <c r="HS2" i="3"/>
  <c r="IR2" i="3" s="1"/>
  <c r="HS2" i="3" a="1"/>
  <c r="HR2" i="3"/>
  <c r="HR2" i="3" a="1"/>
  <c r="HQ2" i="3" a="1"/>
  <c r="HQ2" i="3" s="1"/>
  <c r="IP2" i="3" s="1"/>
  <c r="HP2" i="3" a="1"/>
  <c r="HP2" i="3" s="1"/>
  <c r="IO2" i="3" s="1"/>
  <c r="HL2" i="3"/>
  <c r="HJ2" i="3"/>
  <c r="HH2" i="3"/>
  <c r="HB2" i="3"/>
  <c r="HA2" i="3"/>
  <c r="GZ2" i="3"/>
  <c r="GY2" i="3"/>
  <c r="GX2" i="3"/>
  <c r="GW2" i="3"/>
  <c r="GV2" i="3"/>
  <c r="GU2" i="3"/>
  <c r="GT2" i="3"/>
  <c r="HC2" i="3" s="1"/>
  <c r="GP2" i="3"/>
  <c r="GI2" i="3"/>
  <c r="GH2" i="3"/>
  <c r="GG2" i="3"/>
  <c r="GF2" i="3"/>
  <c r="GE2" i="3"/>
  <c r="GD2" i="3"/>
  <c r="GC2" i="3"/>
  <c r="GB2" i="3"/>
  <c r="GA2" i="3"/>
  <c r="FZ2" i="3"/>
  <c r="FY2" i="3"/>
  <c r="FX2" i="3"/>
  <c r="FW2" i="3"/>
  <c r="FV2" i="3"/>
  <c r="FU2" i="3"/>
  <c r="FT2" i="3"/>
  <c r="FS2" i="3"/>
  <c r="FR2" i="3"/>
  <c r="FQ2" i="3"/>
  <c r="FP2" i="3"/>
  <c r="FN2" i="3"/>
  <c r="FJ2" i="3"/>
  <c r="FM2" i="3" s="1"/>
  <c r="FI2" i="3"/>
  <c r="FL2" i="3" s="1"/>
  <c r="FH2" i="3"/>
  <c r="FK2" i="3" s="1"/>
  <c r="FG2" i="3"/>
  <c r="FO2" i="3" s="1"/>
  <c r="FF2" i="3"/>
  <c r="FE2" i="3"/>
  <c r="FD2" i="3"/>
  <c r="FC2" i="3"/>
  <c r="FB2" i="3"/>
  <c r="FA2" i="3"/>
  <c r="EZ2" i="3"/>
  <c r="EY2" i="3"/>
  <c r="EX2" i="3"/>
  <c r="EW2" i="3"/>
  <c r="EV2" i="3"/>
  <c r="EU2" i="3"/>
  <c r="ET2" i="3"/>
  <c r="ES2" i="3"/>
  <c r="ER2" i="3"/>
  <c r="EQ2" i="3"/>
  <c r="EP2" i="3"/>
  <c r="EO2" i="3"/>
  <c r="EN2" i="3"/>
  <c r="EM2" i="3"/>
  <c r="EL2" i="3"/>
  <c r="EK2" i="3"/>
  <c r="EJ2" i="3"/>
  <c r="EI2" i="3"/>
  <c r="EH2" i="3"/>
  <c r="EG2" i="3"/>
  <c r="EF2" i="3"/>
  <c r="EE2" i="3"/>
  <c r="ED2" i="3"/>
  <c r="EC2" i="3"/>
  <c r="EB2" i="3"/>
  <c r="EA2" i="3"/>
  <c r="DY2" i="3"/>
  <c r="DX2" i="3"/>
  <c r="DW2" i="3"/>
  <c r="DV2" i="3"/>
  <c r="DU2" i="3"/>
  <c r="DT2" i="3"/>
  <c r="DS2" i="3"/>
  <c r="DR2" i="3"/>
  <c r="DQ2" i="3"/>
  <c r="DP2" i="3"/>
  <c r="DO2" i="3"/>
  <c r="DN2" i="3"/>
  <c r="DK2" i="3"/>
  <c r="DJ2" i="3"/>
  <c r="DI2" i="3"/>
  <c r="DH2" i="3"/>
  <c r="DG2" i="3"/>
  <c r="DF2" i="3"/>
  <c r="DE2" i="3"/>
  <c r="DD2" i="3"/>
  <c r="DC2" i="3"/>
  <c r="DB2" i="3"/>
  <c r="DA2" i="3"/>
  <c r="CV2" i="3"/>
  <c r="CU2" i="3"/>
  <c r="CT2" i="3"/>
  <c r="CS2" i="3"/>
  <c r="GN2" i="3" s="1"/>
  <c r="CR2" i="3"/>
  <c r="GM2" i="3" s="1"/>
  <c r="CQ2" i="3"/>
  <c r="GL2" i="3" s="1"/>
  <c r="CP2" i="3"/>
  <c r="GJ2" i="3" s="1"/>
  <c r="GK2" i="3" s="1"/>
  <c r="CO2" i="3"/>
  <c r="DZ2" i="3" s="1"/>
  <c r="CN2" i="3"/>
  <c r="CM2" i="3"/>
  <c r="CL2" i="3"/>
  <c r="CG2" i="3" a="1"/>
  <c r="CG2" i="3" s="1"/>
  <c r="AV2" i="3"/>
  <c r="AX2" i="3" s="1"/>
  <c r="J2" i="3"/>
  <c r="HI2" i="3" s="1"/>
  <c r="G2" i="3"/>
  <c r="DL2" i="59" l="1"/>
  <c r="CK2" i="59"/>
  <c r="CZ2" i="59" s="1"/>
  <c r="CJ2" i="59"/>
  <c r="CY2" i="59" s="1"/>
  <c r="CI2" i="59"/>
  <c r="CX2" i="59" s="1"/>
  <c r="CH2" i="59"/>
  <c r="CW2" i="59" s="1"/>
  <c r="IN2" i="59"/>
  <c r="IX2" i="59" s="1"/>
  <c r="IM2" i="59"/>
  <c r="DM2" i="59" a="1"/>
  <c r="DM2" i="59" s="1"/>
  <c r="DL2" i="57"/>
  <c r="CH2" i="57"/>
  <c r="CW2" i="57" s="1"/>
  <c r="CK2" i="57"/>
  <c r="CZ2" i="57" s="1"/>
  <c r="CI2" i="57"/>
  <c r="CX2" i="57" s="1"/>
  <c r="CJ2" i="57"/>
  <c r="CY2" i="57" s="1"/>
  <c r="IM2" i="57"/>
  <c r="DM2" i="57" a="1"/>
  <c r="DM2" i="57" s="1"/>
  <c r="IN2" i="57"/>
  <c r="IX2" i="57" s="1"/>
  <c r="CK3" i="57"/>
  <c r="CZ3" i="57" s="1"/>
  <c r="CJ3" i="57"/>
  <c r="CY3" i="57" s="1"/>
  <c r="CH3" i="57"/>
  <c r="CW3" i="57" s="1"/>
  <c r="DM3" i="57" a="1"/>
  <c r="DM3" i="57" s="1"/>
  <c r="DL3" i="57"/>
  <c r="IN3" i="57"/>
  <c r="IX3" i="57" s="1"/>
  <c r="CI3" i="57"/>
  <c r="CX3" i="57" s="1"/>
  <c r="IM3" i="57"/>
  <c r="FN3" i="57"/>
  <c r="FM3" i="11"/>
  <c r="HC5" i="11"/>
  <c r="FM5" i="11"/>
  <c r="FN3" i="11"/>
  <c r="HC3" i="11"/>
  <c r="FO6" i="11"/>
  <c r="AX2" i="11"/>
  <c r="FM2" i="11"/>
  <c r="FN5" i="11"/>
  <c r="HI3" i="11"/>
  <c r="FK4" i="11"/>
  <c r="HC4" i="11"/>
  <c r="FN2" i="11"/>
  <c r="HC2" i="11"/>
  <c r="FL4" i="11"/>
  <c r="DL2" i="11"/>
  <c r="CK2" i="11"/>
  <c r="CZ2" i="11" s="1"/>
  <c r="CJ2" i="11"/>
  <c r="CY2" i="11" s="1"/>
  <c r="CI2" i="11"/>
  <c r="CX2" i="11" s="1"/>
  <c r="CH2" i="11"/>
  <c r="CW2" i="11" s="1"/>
  <c r="IN2" i="11"/>
  <c r="IX2" i="11" s="1"/>
  <c r="IM2" i="11"/>
  <c r="DM2" i="11" a="1"/>
  <c r="DM2" i="11" s="1"/>
  <c r="IN6" i="11"/>
  <c r="IX6" i="11" s="1"/>
  <c r="IM6" i="11"/>
  <c r="CK6" i="11"/>
  <c r="CZ6" i="11" s="1"/>
  <c r="CJ6" i="11"/>
  <c r="CY6" i="11" s="1"/>
  <c r="DM6" i="11" a="1"/>
  <c r="DM6" i="11" s="1"/>
  <c r="DL6" i="11"/>
  <c r="CH6" i="11"/>
  <c r="CW6" i="11" s="1"/>
  <c r="CI6" i="11"/>
  <c r="CX6" i="11" s="1"/>
  <c r="DL5" i="11"/>
  <c r="CH5" i="11"/>
  <c r="CW5" i="11" s="1"/>
  <c r="DM5" i="11" a="1"/>
  <c r="DM5" i="11" s="1"/>
  <c r="CJ5" i="11"/>
  <c r="CY5" i="11" s="1"/>
  <c r="IM5" i="11"/>
  <c r="CK5" i="11"/>
  <c r="CZ5" i="11" s="1"/>
  <c r="IN5" i="11"/>
  <c r="IX5" i="11" s="1"/>
  <c r="CI5" i="11"/>
  <c r="CX5" i="11" s="1"/>
  <c r="DL3" i="11"/>
  <c r="IN3" i="11"/>
  <c r="IX3" i="11" s="1"/>
  <c r="DM3" i="11" a="1"/>
  <c r="DM3" i="11" s="1"/>
  <c r="CK3" i="11"/>
  <c r="CZ3" i="11" s="1"/>
  <c r="CJ3" i="11"/>
  <c r="CY3" i="11" s="1"/>
  <c r="CI3" i="11"/>
  <c r="CX3" i="11" s="1"/>
  <c r="IM3" i="11"/>
  <c r="CH3" i="11"/>
  <c r="CW3" i="11" s="1"/>
  <c r="CJ4" i="11"/>
  <c r="CY4" i="11" s="1"/>
  <c r="CI4" i="11"/>
  <c r="CX4" i="11" s="1"/>
  <c r="CK4" i="11"/>
  <c r="CZ4" i="11" s="1"/>
  <c r="IN4" i="11"/>
  <c r="IX4" i="11" s="1"/>
  <c r="IM4" i="11"/>
  <c r="CH4" i="11"/>
  <c r="CW4" i="11" s="1"/>
  <c r="DM4" i="11" a="1"/>
  <c r="DM4" i="11" s="1"/>
  <c r="DL4" i="11"/>
  <c r="FN6" i="11"/>
  <c r="FN4" i="11"/>
  <c r="IN3" i="10"/>
  <c r="IX3" i="10" s="1"/>
  <c r="CI3" i="10"/>
  <c r="CX3" i="10" s="1"/>
  <c r="IM3" i="10"/>
  <c r="CH3" i="10"/>
  <c r="CW3" i="10" s="1"/>
  <c r="DM3" i="10" a="1"/>
  <c r="DM3" i="10" s="1"/>
  <c r="DL3" i="10"/>
  <c r="CK3" i="10"/>
  <c r="CZ3" i="10" s="1"/>
  <c r="CJ3" i="10"/>
  <c r="CY3" i="10" s="1"/>
  <c r="FN3" i="10"/>
  <c r="DL2" i="10"/>
  <c r="CJ2" i="10"/>
  <c r="CY2" i="10" s="1"/>
  <c r="IN2" i="10"/>
  <c r="IX2" i="10" s="1"/>
  <c r="IM2" i="10"/>
  <c r="CI2" i="10"/>
  <c r="CX2" i="10" s="1"/>
  <c r="CK2" i="10"/>
  <c r="CZ2" i="10" s="1"/>
  <c r="CH2" i="10"/>
  <c r="CW2" i="10" s="1"/>
  <c r="GS2" i="10" s="1"/>
  <c r="HG2" i="10" s="1"/>
  <c r="DM2" i="10" a="1"/>
  <c r="DM2" i="10" s="1"/>
  <c r="DL2" i="7"/>
  <c r="CJ2" i="7"/>
  <c r="CY2" i="7" s="1"/>
  <c r="CI2" i="7"/>
  <c r="CX2" i="7" s="1"/>
  <c r="IN2" i="7"/>
  <c r="IX2" i="7" s="1"/>
  <c r="IM2" i="7"/>
  <c r="CK2" i="7"/>
  <c r="CZ2" i="7" s="1"/>
  <c r="CH2" i="7"/>
  <c r="CW2" i="7" s="1"/>
  <c r="DM2" i="7" a="1"/>
  <c r="DM2" i="7" s="1"/>
  <c r="GS3" i="7"/>
  <c r="HG3" i="7" s="1"/>
  <c r="FN3" i="7"/>
  <c r="DL3" i="58"/>
  <c r="CK3" i="58"/>
  <c r="CZ3" i="58" s="1"/>
  <c r="CJ3" i="58"/>
  <c r="CY3" i="58" s="1"/>
  <c r="CI3" i="58"/>
  <c r="CX3" i="58" s="1"/>
  <c r="IN3" i="58"/>
  <c r="IX3" i="58" s="1"/>
  <c r="IM3" i="58"/>
  <c r="DM3" i="58" a="1"/>
  <c r="DM3" i="58" s="1"/>
  <c r="CH3" i="58"/>
  <c r="CW3" i="58" s="1"/>
  <c r="GS3" i="58" s="1"/>
  <c r="HG3" i="58" s="1"/>
  <c r="HN3" i="58"/>
  <c r="HM3" i="58"/>
  <c r="HF3" i="58"/>
  <c r="DL2" i="58"/>
  <c r="CH2" i="58"/>
  <c r="CW2" i="58" s="1"/>
  <c r="CK2" i="58"/>
  <c r="CZ2" i="58" s="1"/>
  <c r="CJ2" i="58"/>
  <c r="CY2" i="58" s="1"/>
  <c r="CI2" i="58"/>
  <c r="CX2" i="58" s="1"/>
  <c r="IN2" i="58"/>
  <c r="IX2" i="58" s="1"/>
  <c r="IM2" i="58"/>
  <c r="DM2" i="58" a="1"/>
  <c r="DM2" i="58" s="1"/>
  <c r="DL2" i="26"/>
  <c r="CJ2" i="26"/>
  <c r="CY2" i="26" s="1"/>
  <c r="IN2" i="26"/>
  <c r="IX2" i="26" s="1"/>
  <c r="IM2" i="26"/>
  <c r="CK2" i="26"/>
  <c r="CZ2" i="26" s="1"/>
  <c r="CI2" i="26"/>
  <c r="CX2" i="26" s="1"/>
  <c r="CH2" i="26"/>
  <c r="CW2" i="26" s="1"/>
  <c r="DM2" i="26" a="1"/>
  <c r="DM2" i="26" s="1"/>
  <c r="DL3" i="26"/>
  <c r="CI3" i="26"/>
  <c r="CX3" i="26" s="1"/>
  <c r="IM3" i="26"/>
  <c r="CH3" i="26"/>
  <c r="CW3" i="26" s="1"/>
  <c r="CK3" i="26"/>
  <c r="CZ3" i="26" s="1"/>
  <c r="IN3" i="26"/>
  <c r="IX3" i="26" s="1"/>
  <c r="CJ3" i="26"/>
  <c r="CY3" i="26" s="1"/>
  <c r="DM3" i="26" a="1"/>
  <c r="DM3" i="26" s="1"/>
  <c r="FN4" i="26"/>
  <c r="GS4" i="26" s="1"/>
  <c r="IO3" i="54"/>
  <c r="DM3" i="54" a="1"/>
  <c r="DM3" i="54" s="1"/>
  <c r="FN3" i="54"/>
  <c r="GS3" i="54" s="1"/>
  <c r="DL2" i="54"/>
  <c r="CK2" i="54"/>
  <c r="CZ2" i="54" s="1"/>
  <c r="CH2" i="54"/>
  <c r="CW2" i="54" s="1"/>
  <c r="DM2" i="54" a="1"/>
  <c r="DM2" i="54" s="1"/>
  <c r="CI2" i="54"/>
  <c r="CX2" i="54" s="1"/>
  <c r="IN2" i="54"/>
  <c r="IX2" i="54" s="1"/>
  <c r="IM2" i="54"/>
  <c r="CJ2" i="54"/>
  <c r="CY2" i="54" s="1"/>
  <c r="CJ2" i="56"/>
  <c r="CY2" i="56" s="1"/>
  <c r="IN2" i="56"/>
  <c r="IX2" i="56" s="1"/>
  <c r="IM2" i="56"/>
  <c r="CI2" i="56"/>
  <c r="CX2" i="56" s="1"/>
  <c r="CH2" i="56"/>
  <c r="CW2" i="56" s="1"/>
  <c r="DM2" i="56" a="1"/>
  <c r="DM2" i="56" s="1"/>
  <c r="DL2" i="56"/>
  <c r="CK2" i="56"/>
  <c r="CZ2" i="56" s="1"/>
  <c r="CJ3" i="56"/>
  <c r="CY3" i="56" s="1"/>
  <c r="IN3" i="56"/>
  <c r="IX3" i="56" s="1"/>
  <c r="IM3" i="56"/>
  <c r="CH3" i="56"/>
  <c r="CW3" i="56" s="1"/>
  <c r="DL3" i="56"/>
  <c r="DM3" i="56" a="1"/>
  <c r="DM3" i="56" s="1"/>
  <c r="CK3" i="56"/>
  <c r="CZ3" i="56" s="1"/>
  <c r="CI3" i="56"/>
  <c r="CX3" i="56" s="1"/>
  <c r="DA3" i="56"/>
  <c r="FN3" i="56"/>
  <c r="DL2" i="53"/>
  <c r="CJ2" i="53"/>
  <c r="CY2" i="53" s="1"/>
  <c r="CI2" i="53"/>
  <c r="CX2" i="53" s="1"/>
  <c r="IN2" i="53"/>
  <c r="IX2" i="53" s="1"/>
  <c r="IM2" i="53"/>
  <c r="DM2" i="53" a="1"/>
  <c r="DM2" i="53" s="1"/>
  <c r="CK2" i="53"/>
  <c r="CZ2" i="53" s="1"/>
  <c r="CH2" i="53"/>
  <c r="CW2" i="53" s="1"/>
  <c r="GS2" i="53" s="1"/>
  <c r="HN2" i="53" s="1"/>
  <c r="HF2" i="53"/>
  <c r="HM2" i="53"/>
  <c r="IM5" i="53"/>
  <c r="DM5" i="53" a="1"/>
  <c r="DM5" i="53" s="1"/>
  <c r="DL5" i="53"/>
  <c r="CH5" i="53"/>
  <c r="CW5" i="53" s="1"/>
  <c r="CK5" i="53"/>
  <c r="CZ5" i="53" s="1"/>
  <c r="CJ5" i="53"/>
  <c r="CY5" i="53" s="1"/>
  <c r="IN5" i="53"/>
  <c r="IX5" i="53" s="1"/>
  <c r="CI5" i="53"/>
  <c r="CX5" i="53" s="1"/>
  <c r="DL6" i="53"/>
  <c r="IN6" i="53"/>
  <c r="IX6" i="53" s="1"/>
  <c r="CJ6" i="53"/>
  <c r="CY6" i="53" s="1"/>
  <c r="CH6" i="53"/>
  <c r="CW6" i="53" s="1"/>
  <c r="CK6" i="53"/>
  <c r="CZ6" i="53" s="1"/>
  <c r="CI6" i="53"/>
  <c r="CX6" i="53" s="1"/>
  <c r="IM6" i="53"/>
  <c r="DM6" i="53" a="1"/>
  <c r="DM6" i="53" s="1"/>
  <c r="CJ3" i="53"/>
  <c r="CY3" i="53" s="1"/>
  <c r="CI3" i="53"/>
  <c r="CX3" i="53" s="1"/>
  <c r="IN3" i="53"/>
  <c r="IX3" i="53" s="1"/>
  <c r="CH3" i="53"/>
  <c r="CW3" i="53" s="1"/>
  <c r="GS3" i="53" s="1"/>
  <c r="HN3" i="53" s="1"/>
  <c r="IM3" i="53"/>
  <c r="DM3" i="53" a="1"/>
  <c r="DM3" i="53" s="1"/>
  <c r="DL3" i="53"/>
  <c r="CK3" i="53"/>
  <c r="CZ3" i="53" s="1"/>
  <c r="IN4" i="53"/>
  <c r="IX4" i="53" s="1"/>
  <c r="IM4" i="53"/>
  <c r="DM4" i="53" a="1"/>
  <c r="DM4" i="53" s="1"/>
  <c r="DL4" i="53"/>
  <c r="CI4" i="53"/>
  <c r="CX4" i="53" s="1"/>
  <c r="CK4" i="53"/>
  <c r="CZ4" i="53" s="1"/>
  <c r="CJ4" i="53"/>
  <c r="CY4" i="53" s="1"/>
  <c r="CH4" i="53"/>
  <c r="CW4" i="53" s="1"/>
  <c r="DL3" i="52"/>
  <c r="CK3" i="52"/>
  <c r="CZ3" i="52" s="1"/>
  <c r="IM3" i="52"/>
  <c r="DM3" i="52" a="1"/>
  <c r="DM3" i="52" s="1"/>
  <c r="CJ3" i="52"/>
  <c r="CY3" i="52" s="1"/>
  <c r="IN3" i="52"/>
  <c r="IX3" i="52" s="1"/>
  <c r="CI3" i="52"/>
  <c r="CX3" i="52" s="1"/>
  <c r="CH3" i="52"/>
  <c r="CW3" i="52" s="1"/>
  <c r="GS3" i="52" s="1"/>
  <c r="HF3" i="52" s="1"/>
  <c r="FN3" i="52"/>
  <c r="FM2" i="52"/>
  <c r="FN2" i="52"/>
  <c r="HC2" i="52"/>
  <c r="FK2" i="52"/>
  <c r="FL2" i="52"/>
  <c r="DL2" i="52"/>
  <c r="IN2" i="52"/>
  <c r="IX2" i="52" s="1"/>
  <c r="IM2" i="52"/>
  <c r="DM2" i="52" a="1"/>
  <c r="DM2" i="52" s="1"/>
  <c r="CK2" i="52"/>
  <c r="CZ2" i="52" s="1"/>
  <c r="CJ2" i="52"/>
  <c r="CY2" i="52" s="1"/>
  <c r="CI2" i="52"/>
  <c r="CX2" i="52" s="1"/>
  <c r="CH2" i="52"/>
  <c r="CW2" i="52" s="1"/>
  <c r="DM2" i="55" a="1"/>
  <c r="DM2" i="55" s="1"/>
  <c r="IM2" i="55"/>
  <c r="IN2" i="55"/>
  <c r="IX2" i="55" s="1"/>
  <c r="CH2" i="55"/>
  <c r="CW2" i="55" s="1"/>
  <c r="GS2" i="55" s="1"/>
  <c r="HG2" i="55" s="1"/>
  <c r="CI2" i="55"/>
  <c r="CX2" i="55" s="1"/>
  <c r="CJ2" i="55"/>
  <c r="CY2" i="55" s="1"/>
  <c r="CK2" i="55"/>
  <c r="CZ2" i="55" s="1"/>
  <c r="DM3" i="55" a="1"/>
  <c r="DM3" i="55" s="1"/>
  <c r="DL3" i="55"/>
  <c r="CK3" i="55"/>
  <c r="CZ3" i="55" s="1"/>
  <c r="CJ3" i="55"/>
  <c r="CY3" i="55" s="1"/>
  <c r="IN3" i="55"/>
  <c r="IX3" i="55" s="1"/>
  <c r="IM3" i="55"/>
  <c r="CI3" i="55"/>
  <c r="CX3" i="55" s="1"/>
  <c r="CH3" i="55"/>
  <c r="CW3" i="55" s="1"/>
  <c r="FN3" i="55"/>
  <c r="DM3" i="50" a="1"/>
  <c r="DM3" i="50" s="1"/>
  <c r="IM3" i="50"/>
  <c r="DL3" i="50"/>
  <c r="CK3" i="50"/>
  <c r="CZ3" i="50" s="1"/>
  <c r="CJ3" i="50"/>
  <c r="CY3" i="50" s="1"/>
  <c r="IN3" i="50"/>
  <c r="IX3" i="50" s="1"/>
  <c r="CI3" i="50"/>
  <c r="CX3" i="50" s="1"/>
  <c r="CH3" i="50"/>
  <c r="CW3" i="50" s="1"/>
  <c r="GS3" i="50" s="1"/>
  <c r="HG3" i="50" s="1"/>
  <c r="HF3" i="50"/>
  <c r="HM3" i="50"/>
  <c r="CH4" i="50"/>
  <c r="CW4" i="50" s="1"/>
  <c r="GS4" i="50" s="1"/>
  <c r="HG4" i="50" s="1"/>
  <c r="CK4" i="50"/>
  <c r="CZ4" i="50" s="1"/>
  <c r="IN4" i="50"/>
  <c r="IX4" i="50" s="1"/>
  <c r="CJ4" i="50"/>
  <c r="CY4" i="50" s="1"/>
  <c r="IM4" i="50"/>
  <c r="CI4" i="50"/>
  <c r="CX4" i="50" s="1"/>
  <c r="DM4" i="50" a="1"/>
  <c r="DM4" i="50" s="1"/>
  <c r="DL4" i="50"/>
  <c r="FN4" i="50"/>
  <c r="HN3" i="50"/>
  <c r="DL2" i="50"/>
  <c r="IN2" i="50"/>
  <c r="IX2" i="50" s="1"/>
  <c r="IM2" i="50"/>
  <c r="DM2" i="50" a="1"/>
  <c r="DM2" i="50" s="1"/>
  <c r="CK2" i="50"/>
  <c r="CZ2" i="50" s="1"/>
  <c r="CJ2" i="50"/>
  <c r="CY2" i="50" s="1"/>
  <c r="CI2" i="50"/>
  <c r="CX2" i="50" s="1"/>
  <c r="CH2" i="50"/>
  <c r="CW2" i="50" s="1"/>
  <c r="GS2" i="50" s="1"/>
  <c r="HG2" i="50" s="1"/>
  <c r="HF2" i="50"/>
  <c r="HM2" i="50"/>
  <c r="HC2" i="46"/>
  <c r="FL4" i="46"/>
  <c r="HI4" i="46"/>
  <c r="FM4" i="46"/>
  <c r="FK3" i="46"/>
  <c r="FL3" i="46"/>
  <c r="FK2" i="46"/>
  <c r="HC4" i="46"/>
  <c r="FM3" i="46"/>
  <c r="DL2" i="46"/>
  <c r="CK2" i="46"/>
  <c r="CZ2" i="46" s="1"/>
  <c r="CI2" i="46"/>
  <c r="CX2" i="46" s="1"/>
  <c r="CJ2" i="46"/>
  <c r="CY2" i="46" s="1"/>
  <c r="IN2" i="46"/>
  <c r="IX2" i="46" s="1"/>
  <c r="IM2" i="46"/>
  <c r="DM2" i="46" a="1"/>
  <c r="DM2" i="46" s="1"/>
  <c r="CH2" i="46"/>
  <c r="CW2" i="46" s="1"/>
  <c r="IM4" i="46"/>
  <c r="DM4" i="46" a="1"/>
  <c r="DM4" i="46" s="1"/>
  <c r="CK4" i="46"/>
  <c r="CZ4" i="46" s="1"/>
  <c r="DL4" i="46"/>
  <c r="CI4" i="46"/>
  <c r="CX4" i="46" s="1"/>
  <c r="IN4" i="46"/>
  <c r="IX4" i="46" s="1"/>
  <c r="CJ4" i="46"/>
  <c r="CY4" i="46" s="1"/>
  <c r="CH4" i="46"/>
  <c r="CW4" i="46" s="1"/>
  <c r="DL3" i="46"/>
  <c r="CI3" i="46"/>
  <c r="CX3" i="46" s="1"/>
  <c r="IN3" i="46"/>
  <c r="IX3" i="46" s="1"/>
  <c r="IM3" i="46"/>
  <c r="CK3" i="46"/>
  <c r="CZ3" i="46" s="1"/>
  <c r="CJ3" i="46"/>
  <c r="CY3" i="46" s="1"/>
  <c r="CH3" i="46"/>
  <c r="CW3" i="46" s="1"/>
  <c r="DM3" i="46" a="1"/>
  <c r="DM3" i="46" s="1"/>
  <c r="CI3" i="45"/>
  <c r="CX3" i="45" s="1"/>
  <c r="CH3" i="45"/>
  <c r="CW3" i="45" s="1"/>
  <c r="DM3" i="45" a="1"/>
  <c r="DM3" i="45" s="1"/>
  <c r="DL3" i="45"/>
  <c r="CK3" i="45"/>
  <c r="CZ3" i="45" s="1"/>
  <c r="CJ3" i="45"/>
  <c r="CY3" i="45" s="1"/>
  <c r="IN3" i="45"/>
  <c r="IX3" i="45" s="1"/>
  <c r="IM3" i="45"/>
  <c r="FN3" i="45"/>
  <c r="DL2" i="45"/>
  <c r="IN2" i="45"/>
  <c r="IX2" i="45" s="1"/>
  <c r="DM2" i="45" a="1"/>
  <c r="DM2" i="45" s="1"/>
  <c r="CK2" i="45"/>
  <c r="CZ2" i="45" s="1"/>
  <c r="IM2" i="45"/>
  <c r="CJ2" i="45"/>
  <c r="CY2" i="45" s="1"/>
  <c r="CI2" i="45"/>
  <c r="CX2" i="45" s="1"/>
  <c r="CH2" i="45"/>
  <c r="CW2" i="45" s="1"/>
  <c r="GS2" i="45" s="1"/>
  <c r="HG2" i="45" s="1"/>
  <c r="HN2" i="45"/>
  <c r="HF2" i="45"/>
  <c r="DL2" i="44"/>
  <c r="CK2" i="44"/>
  <c r="CZ2" i="44" s="1"/>
  <c r="CJ2" i="44"/>
  <c r="CY2" i="44" s="1"/>
  <c r="CI2" i="44"/>
  <c r="CX2" i="44" s="1"/>
  <c r="CH2" i="44"/>
  <c r="CW2" i="44" s="1"/>
  <c r="DM2" i="44" a="1"/>
  <c r="DM2" i="44" s="1"/>
  <c r="IN2" i="44"/>
  <c r="IX2" i="44" s="1"/>
  <c r="IM2" i="44"/>
  <c r="DL3" i="44"/>
  <c r="CI3" i="44"/>
  <c r="CX3" i="44" s="1"/>
  <c r="IM3" i="44"/>
  <c r="CH3" i="44"/>
  <c r="CW3" i="44" s="1"/>
  <c r="DM3" i="44" a="1"/>
  <c r="DM3" i="44" s="1"/>
  <c r="CK3" i="44"/>
  <c r="CZ3" i="44" s="1"/>
  <c r="IN3" i="44"/>
  <c r="IX3" i="44" s="1"/>
  <c r="CJ3" i="44"/>
  <c r="CY3" i="44" s="1"/>
  <c r="FN4" i="44"/>
  <c r="GS4" i="44" s="1"/>
  <c r="DM3" i="8" a="1"/>
  <c r="DM3" i="8" s="1"/>
  <c r="DL3" i="8"/>
  <c r="CK3" i="8"/>
  <c r="CZ3" i="8" s="1"/>
  <c r="CJ3" i="8"/>
  <c r="CY3" i="8" s="1"/>
  <c r="IN3" i="8"/>
  <c r="IX3" i="8" s="1"/>
  <c r="CI3" i="8"/>
  <c r="CX3" i="8" s="1"/>
  <c r="IM3" i="8"/>
  <c r="CH3" i="8"/>
  <c r="CW3" i="8" s="1"/>
  <c r="FN3" i="8"/>
  <c r="DL2" i="8"/>
  <c r="CK2" i="8"/>
  <c r="CZ2" i="8" s="1"/>
  <c r="CI2" i="8"/>
  <c r="CX2" i="8" s="1"/>
  <c r="CH2" i="8"/>
  <c r="CW2" i="8" s="1"/>
  <c r="DM2" i="8" a="1"/>
  <c r="DM2" i="8" s="1"/>
  <c r="CJ2" i="8"/>
  <c r="CY2" i="8" s="1"/>
  <c r="IN2" i="8"/>
  <c r="IX2" i="8" s="1"/>
  <c r="IM2" i="8"/>
  <c r="DL2" i="28"/>
  <c r="CJ2" i="28"/>
  <c r="CY2" i="28" s="1"/>
  <c r="CI2" i="28"/>
  <c r="CX2" i="28" s="1"/>
  <c r="CK2" i="28"/>
  <c r="CZ2" i="28" s="1"/>
  <c r="CH2" i="28"/>
  <c r="CW2" i="28" s="1"/>
  <c r="IN2" i="28"/>
  <c r="IX2" i="28" s="1"/>
  <c r="IM2" i="28"/>
  <c r="DM2" i="28" a="1"/>
  <c r="DM2" i="28" s="1"/>
  <c r="FN3" i="28"/>
  <c r="GS3" i="28" s="1"/>
  <c r="FN3" i="37"/>
  <c r="GS3" i="37" s="1"/>
  <c r="IN2" i="37"/>
  <c r="IX2" i="37" s="1"/>
  <c r="IM2" i="37"/>
  <c r="CK2" i="37"/>
  <c r="CZ2" i="37" s="1"/>
  <c r="CJ2" i="37"/>
  <c r="CY2" i="37" s="1"/>
  <c r="CI2" i="37"/>
  <c r="CX2" i="37" s="1"/>
  <c r="CH2" i="37"/>
  <c r="CW2" i="37" s="1"/>
  <c r="DM2" i="37" a="1"/>
  <c r="DM2" i="37" s="1"/>
  <c r="DL2" i="37"/>
  <c r="DM2" i="51" a="1"/>
  <c r="DM2" i="51" s="1"/>
  <c r="IM2" i="51"/>
  <c r="IN2" i="51"/>
  <c r="IX2" i="51" s="1"/>
  <c r="CH2" i="51"/>
  <c r="CW2" i="51" s="1"/>
  <c r="CI2" i="51"/>
  <c r="CX2" i="51" s="1"/>
  <c r="CK2" i="51"/>
  <c r="CZ2" i="51" s="1"/>
  <c r="CJ2" i="51"/>
  <c r="CY2" i="51" s="1"/>
  <c r="DM3" i="51" a="1"/>
  <c r="DM3" i="51" s="1"/>
  <c r="DL3" i="51"/>
  <c r="CI3" i="51"/>
  <c r="CX3" i="51" s="1"/>
  <c r="CH3" i="51"/>
  <c r="CW3" i="51" s="1"/>
  <c r="CK3" i="51"/>
  <c r="CZ3" i="51" s="1"/>
  <c r="CJ3" i="51"/>
  <c r="CY3" i="51" s="1"/>
  <c r="IN3" i="51"/>
  <c r="IX3" i="51" s="1"/>
  <c r="IM3" i="51"/>
  <c r="FN3" i="51"/>
  <c r="DM3" i="29" a="1"/>
  <c r="DM3" i="29" s="1"/>
  <c r="DL3" i="29"/>
  <c r="CK3" i="29"/>
  <c r="CZ3" i="29" s="1"/>
  <c r="CJ3" i="29"/>
  <c r="CY3" i="29" s="1"/>
  <c r="IN3" i="29"/>
  <c r="IX3" i="29" s="1"/>
  <c r="CI3" i="29"/>
  <c r="CX3" i="29" s="1"/>
  <c r="IM3" i="29"/>
  <c r="CH3" i="29"/>
  <c r="CW3" i="29" s="1"/>
  <c r="GS3" i="29" s="1"/>
  <c r="HG3" i="29" s="1"/>
  <c r="DL2" i="29"/>
  <c r="CK2" i="29"/>
  <c r="CZ2" i="29" s="1"/>
  <c r="CJ2" i="29"/>
  <c r="CY2" i="29" s="1"/>
  <c r="CI2" i="29"/>
  <c r="CX2" i="29" s="1"/>
  <c r="CH2" i="29"/>
  <c r="CW2" i="29" s="1"/>
  <c r="GS2" i="29" s="1"/>
  <c r="HG2" i="29" s="1"/>
  <c r="IN2" i="29"/>
  <c r="IX2" i="29" s="1"/>
  <c r="IM2" i="29"/>
  <c r="DM2" i="29" a="1"/>
  <c r="DM2" i="29" s="1"/>
  <c r="DL2" i="27"/>
  <c r="CK2" i="27"/>
  <c r="CZ2" i="27" s="1"/>
  <c r="CJ2" i="27"/>
  <c r="CY2" i="27" s="1"/>
  <c r="CI2" i="27"/>
  <c r="CX2" i="27" s="1"/>
  <c r="CH2" i="27"/>
  <c r="CW2" i="27" s="1"/>
  <c r="IN2" i="27"/>
  <c r="IX2" i="27" s="1"/>
  <c r="IM2" i="27"/>
  <c r="DM2" i="27" a="1"/>
  <c r="DM2" i="27" s="1"/>
  <c r="IN3" i="27"/>
  <c r="IX3" i="27" s="1"/>
  <c r="CI3" i="27"/>
  <c r="CX3" i="27" s="1"/>
  <c r="IM3" i="27"/>
  <c r="DM3" i="27" a="1"/>
  <c r="DM3" i="27" s="1"/>
  <c r="DL3" i="27"/>
  <c r="CK3" i="27"/>
  <c r="CZ3" i="27" s="1"/>
  <c r="CJ3" i="27"/>
  <c r="CY3" i="27" s="1"/>
  <c r="CH3" i="27"/>
  <c r="CW3" i="27" s="1"/>
  <c r="FN3" i="27"/>
  <c r="DM3" i="30" a="1"/>
  <c r="DM3" i="30" s="1"/>
  <c r="CJ3" i="30"/>
  <c r="CY3" i="30" s="1"/>
  <c r="CI3" i="30"/>
  <c r="CX3" i="30" s="1"/>
  <c r="DL3" i="30"/>
  <c r="CK3" i="30"/>
  <c r="CZ3" i="30" s="1"/>
  <c r="IN3" i="30"/>
  <c r="IX3" i="30" s="1"/>
  <c r="IM3" i="30"/>
  <c r="CH3" i="30"/>
  <c r="CW3" i="30" s="1"/>
  <c r="GS3" i="30" s="1"/>
  <c r="HF3" i="30" s="1"/>
  <c r="HG3" i="30"/>
  <c r="HN3" i="30"/>
  <c r="HM3" i="30"/>
  <c r="FN3" i="30"/>
  <c r="DL2" i="30"/>
  <c r="CK2" i="30"/>
  <c r="CZ2" i="30" s="1"/>
  <c r="CJ2" i="30"/>
  <c r="CY2" i="30" s="1"/>
  <c r="CI2" i="30"/>
  <c r="CX2" i="30" s="1"/>
  <c r="CH2" i="30"/>
  <c r="CW2" i="30" s="1"/>
  <c r="IN2" i="30"/>
  <c r="IX2" i="30" s="1"/>
  <c r="IM2" i="30"/>
  <c r="DM2" i="30" a="1"/>
  <c r="DM2" i="30" s="1"/>
  <c r="DL2" i="35"/>
  <c r="CI2" i="35"/>
  <c r="CX2" i="35" s="1"/>
  <c r="IN2" i="35"/>
  <c r="IX2" i="35" s="1"/>
  <c r="IM2" i="35"/>
  <c r="CK2" i="35"/>
  <c r="CZ2" i="35" s="1"/>
  <c r="CJ2" i="35"/>
  <c r="CY2" i="35" s="1"/>
  <c r="CH2" i="35"/>
  <c r="CW2" i="35" s="1"/>
  <c r="DM2" i="35" a="1"/>
  <c r="DM2" i="35" s="1"/>
  <c r="IO3" i="35"/>
  <c r="DM3" i="35" a="1"/>
  <c r="DM3" i="35" s="1"/>
  <c r="GS3" i="35" s="1"/>
  <c r="FN3" i="35"/>
  <c r="FN3" i="34"/>
  <c r="GS3" i="34" s="1"/>
  <c r="DL2" i="34"/>
  <c r="CK2" i="34"/>
  <c r="CZ2" i="34" s="1"/>
  <c r="IN2" i="34"/>
  <c r="IX2" i="34" s="1"/>
  <c r="IM2" i="34"/>
  <c r="CJ2" i="34"/>
  <c r="CY2" i="34" s="1"/>
  <c r="CI2" i="34"/>
  <c r="CX2" i="34" s="1"/>
  <c r="CH2" i="34"/>
  <c r="CW2" i="34" s="1"/>
  <c r="DM2" i="34" a="1"/>
  <c r="DM2" i="34" s="1"/>
  <c r="DL2" i="33"/>
  <c r="CJ2" i="33"/>
  <c r="CY2" i="33" s="1"/>
  <c r="CK2" i="33"/>
  <c r="CZ2" i="33" s="1"/>
  <c r="CI2" i="33"/>
  <c r="CX2" i="33" s="1"/>
  <c r="CH2" i="33"/>
  <c r="CW2" i="33" s="1"/>
  <c r="IN2" i="33"/>
  <c r="IX2" i="33" s="1"/>
  <c r="IM2" i="33"/>
  <c r="DM2" i="33" a="1"/>
  <c r="DM2" i="33" s="1"/>
  <c r="DM3" i="33" a="1"/>
  <c r="DM3" i="33" s="1"/>
  <c r="DL3" i="33"/>
  <c r="CK3" i="33"/>
  <c r="CZ3" i="33" s="1"/>
  <c r="IN3" i="33"/>
  <c r="IX3" i="33" s="1"/>
  <c r="IM3" i="33"/>
  <c r="CJ3" i="33"/>
  <c r="CY3" i="33" s="1"/>
  <c r="CI3" i="33"/>
  <c r="CX3" i="33" s="1"/>
  <c r="CH3" i="33"/>
  <c r="CW3" i="33" s="1"/>
  <c r="FN3" i="33"/>
  <c r="HG3" i="32"/>
  <c r="IN3" i="32"/>
  <c r="IX3" i="32" s="1"/>
  <c r="CK3" i="32"/>
  <c r="CZ3" i="32" s="1"/>
  <c r="CI3" i="32"/>
  <c r="CX3" i="32" s="1"/>
  <c r="IM3" i="32"/>
  <c r="DM3" i="32" a="1"/>
  <c r="DM3" i="32" s="1"/>
  <c r="DL3" i="32"/>
  <c r="CJ3" i="32"/>
  <c r="CY3" i="32" s="1"/>
  <c r="CH3" i="32"/>
  <c r="CW3" i="32" s="1"/>
  <c r="GS3" i="32" s="1"/>
  <c r="HF3" i="32" s="1"/>
  <c r="HG4" i="32"/>
  <c r="HM4" i="32"/>
  <c r="HM3" i="32"/>
  <c r="HN3" i="32"/>
  <c r="IM4" i="32"/>
  <c r="DM4" i="32" a="1"/>
  <c r="DM4" i="32" s="1"/>
  <c r="DL4" i="32"/>
  <c r="CK4" i="32"/>
  <c r="CZ4" i="32" s="1"/>
  <c r="CJ4" i="32"/>
  <c r="CY4" i="32" s="1"/>
  <c r="CI4" i="32"/>
  <c r="CX4" i="32" s="1"/>
  <c r="CH4" i="32"/>
  <c r="CW4" i="32" s="1"/>
  <c r="GS4" i="32" s="1"/>
  <c r="HN4" i="32" s="1"/>
  <c r="IN4" i="32"/>
  <c r="IX4" i="32" s="1"/>
  <c r="DL5" i="32"/>
  <c r="CH5" i="32"/>
  <c r="CW5" i="32" s="1"/>
  <c r="GS5" i="32" s="1"/>
  <c r="HN5" i="32" s="1"/>
  <c r="IN5" i="32"/>
  <c r="IX5" i="32" s="1"/>
  <c r="IM5" i="32"/>
  <c r="CI5" i="32"/>
  <c r="CX5" i="32" s="1"/>
  <c r="DM5" i="32" a="1"/>
  <c r="DM5" i="32" s="1"/>
  <c r="CK5" i="32"/>
  <c r="CZ5" i="32" s="1"/>
  <c r="CJ5" i="32"/>
  <c r="CY5" i="32" s="1"/>
  <c r="HF4" i="32"/>
  <c r="DL2" i="32"/>
  <c r="CK2" i="32"/>
  <c r="CZ2" i="32" s="1"/>
  <c r="CJ2" i="32"/>
  <c r="CY2" i="32" s="1"/>
  <c r="IN2" i="32"/>
  <c r="IX2" i="32" s="1"/>
  <c r="IM2" i="32"/>
  <c r="CI2" i="32"/>
  <c r="CX2" i="32" s="1"/>
  <c r="CH2" i="32"/>
  <c r="CW2" i="32" s="1"/>
  <c r="DM2" i="32" a="1"/>
  <c r="DM2" i="32" s="1"/>
  <c r="DL2" i="31"/>
  <c r="CK2" i="31"/>
  <c r="CZ2" i="31" s="1"/>
  <c r="CJ2" i="31"/>
  <c r="CY2" i="31" s="1"/>
  <c r="CI2" i="31"/>
  <c r="CX2" i="31" s="1"/>
  <c r="CH2" i="31"/>
  <c r="CW2" i="31" s="1"/>
  <c r="IN2" i="31"/>
  <c r="IX2" i="31" s="1"/>
  <c r="IM2" i="31"/>
  <c r="DM2" i="31" a="1"/>
  <c r="DM2" i="31" s="1"/>
  <c r="FN3" i="31"/>
  <c r="GS3" i="31" s="1"/>
  <c r="DM3" i="42" a="1"/>
  <c r="DM3" i="42" s="1"/>
  <c r="DL3" i="42"/>
  <c r="CK3" i="42"/>
  <c r="CZ3" i="42" s="1"/>
  <c r="IN3" i="42"/>
  <c r="IX3" i="42" s="1"/>
  <c r="CI3" i="42"/>
  <c r="CX3" i="42" s="1"/>
  <c r="CJ3" i="42"/>
  <c r="CY3" i="42" s="1"/>
  <c r="IM3" i="42"/>
  <c r="CH3" i="42"/>
  <c r="CW3" i="42" s="1"/>
  <c r="FN3" i="42"/>
  <c r="DL2" i="42"/>
  <c r="CI2" i="42"/>
  <c r="CX2" i="42" s="1"/>
  <c r="CH2" i="42"/>
  <c r="CW2" i="42" s="1"/>
  <c r="DM2" i="42" a="1"/>
  <c r="DM2" i="42" s="1"/>
  <c r="CK2" i="42"/>
  <c r="CZ2" i="42" s="1"/>
  <c r="CJ2" i="42"/>
  <c r="CY2" i="42" s="1"/>
  <c r="IM2" i="42"/>
  <c r="IN2" i="42"/>
  <c r="IX2" i="42" s="1"/>
  <c r="DL2" i="43"/>
  <c r="CI2" i="43"/>
  <c r="CX2" i="43" s="1"/>
  <c r="CK2" i="43"/>
  <c r="CZ2" i="43" s="1"/>
  <c r="CJ2" i="43"/>
  <c r="CY2" i="43" s="1"/>
  <c r="CH2" i="43"/>
  <c r="CW2" i="43" s="1"/>
  <c r="IN2" i="43"/>
  <c r="IX2" i="43" s="1"/>
  <c r="IM2" i="43"/>
  <c r="DM2" i="43" a="1"/>
  <c r="DM2" i="43" s="1"/>
  <c r="DM3" i="43" a="1"/>
  <c r="DM3" i="43" s="1"/>
  <c r="DL3" i="43"/>
  <c r="CK3" i="43"/>
  <c r="CZ3" i="43" s="1"/>
  <c r="CJ3" i="43"/>
  <c r="CY3" i="43" s="1"/>
  <c r="IN3" i="43"/>
  <c r="IX3" i="43" s="1"/>
  <c r="CI3" i="43"/>
  <c r="CX3" i="43" s="1"/>
  <c r="IM3" i="43"/>
  <c r="CH3" i="43"/>
  <c r="CW3" i="43" s="1"/>
  <c r="FN3" i="43"/>
  <c r="FK2" i="41"/>
  <c r="HC3" i="41"/>
  <c r="HC4" i="41"/>
  <c r="FL2" i="41"/>
  <c r="FM2" i="41"/>
  <c r="HC2" i="41"/>
  <c r="FN2" i="41"/>
  <c r="FK3" i="41"/>
  <c r="DL3" i="41"/>
  <c r="IM3" i="41"/>
  <c r="IN3" i="41"/>
  <c r="IX3" i="41" s="1"/>
  <c r="CK3" i="41"/>
  <c r="CZ3" i="41" s="1"/>
  <c r="CJ3" i="41"/>
  <c r="CY3" i="41" s="1"/>
  <c r="CI3" i="41"/>
  <c r="CX3" i="41" s="1"/>
  <c r="CH3" i="41"/>
  <c r="CW3" i="41" s="1"/>
  <c r="DM3" i="41" a="1"/>
  <c r="DM3" i="41" s="1"/>
  <c r="IM4" i="41"/>
  <c r="CH4" i="41"/>
  <c r="CW4" i="41" s="1"/>
  <c r="DL4" i="41"/>
  <c r="CI4" i="41"/>
  <c r="CX4" i="41" s="1"/>
  <c r="DM4" i="41" a="1"/>
  <c r="DM4" i="41" s="1"/>
  <c r="CK4" i="41"/>
  <c r="CZ4" i="41" s="1"/>
  <c r="CJ4" i="41"/>
  <c r="CY4" i="41" s="1"/>
  <c r="IN4" i="41"/>
  <c r="IX4" i="41" s="1"/>
  <c r="FN4" i="41"/>
  <c r="DL2" i="41"/>
  <c r="CJ2" i="41"/>
  <c r="CY2" i="41" s="1"/>
  <c r="CI2" i="41"/>
  <c r="CX2" i="41" s="1"/>
  <c r="CH2" i="41"/>
  <c r="CW2" i="41" s="1"/>
  <c r="DM2" i="41" a="1"/>
  <c r="DM2" i="41" s="1"/>
  <c r="CK2" i="41"/>
  <c r="CZ2" i="41" s="1"/>
  <c r="IN2" i="41"/>
  <c r="IX2" i="41" s="1"/>
  <c r="IM2" i="41"/>
  <c r="DL2" i="39"/>
  <c r="CK2" i="39"/>
  <c r="CZ2" i="39" s="1"/>
  <c r="CJ2" i="39"/>
  <c r="CY2" i="39" s="1"/>
  <c r="CI2" i="39"/>
  <c r="CX2" i="39" s="1"/>
  <c r="CH2" i="39"/>
  <c r="CW2" i="39" s="1"/>
  <c r="GS2" i="39" s="1"/>
  <c r="HM2" i="39" s="1"/>
  <c r="IN2" i="39"/>
  <c r="IX2" i="39" s="1"/>
  <c r="IM2" i="39"/>
  <c r="DM2" i="39" a="1"/>
  <c r="DM2" i="39" s="1"/>
  <c r="DL3" i="39"/>
  <c r="CK3" i="39"/>
  <c r="CZ3" i="39" s="1"/>
  <c r="CJ3" i="39"/>
  <c r="CY3" i="39" s="1"/>
  <c r="IN3" i="39"/>
  <c r="IX3" i="39" s="1"/>
  <c r="CI3" i="39"/>
  <c r="CX3" i="39" s="1"/>
  <c r="IM3" i="39"/>
  <c r="CH3" i="39"/>
  <c r="CW3" i="39" s="1"/>
  <c r="DM4" i="39" a="1"/>
  <c r="DM4" i="39" s="1"/>
  <c r="DL4" i="39"/>
  <c r="CK4" i="39"/>
  <c r="CZ4" i="39" s="1"/>
  <c r="CJ4" i="39"/>
  <c r="CY4" i="39" s="1"/>
  <c r="IN4" i="39"/>
  <c r="IX4" i="39" s="1"/>
  <c r="CI4" i="39"/>
  <c r="CX4" i="39" s="1"/>
  <c r="HC3" i="39"/>
  <c r="CH4" i="39"/>
  <c r="CW4" i="39" s="1"/>
  <c r="IM4" i="39"/>
  <c r="FN4" i="39"/>
  <c r="DM3" i="40" a="1"/>
  <c r="DM3" i="40" s="1"/>
  <c r="CK3" i="40"/>
  <c r="CZ3" i="40" s="1"/>
  <c r="CJ3" i="40"/>
  <c r="CY3" i="40" s="1"/>
  <c r="IM3" i="40"/>
  <c r="IN3" i="40"/>
  <c r="IX3" i="40" s="1"/>
  <c r="DL3" i="40"/>
  <c r="CI3" i="40"/>
  <c r="CX3" i="40" s="1"/>
  <c r="CH3" i="40"/>
  <c r="CW3" i="40" s="1"/>
  <c r="FN3" i="40"/>
  <c r="DM2" i="40" a="1"/>
  <c r="DM2" i="40" s="1"/>
  <c r="IM2" i="40"/>
  <c r="IN2" i="40"/>
  <c r="IX2" i="40" s="1"/>
  <c r="CK2" i="40"/>
  <c r="CZ2" i="40" s="1"/>
  <c r="CH2" i="40"/>
  <c r="CW2" i="40" s="1"/>
  <c r="CI2" i="40"/>
  <c r="CX2" i="40" s="1"/>
  <c r="CJ2" i="40"/>
  <c r="CY2" i="40" s="1"/>
  <c r="DL2" i="38"/>
  <c r="CK2" i="38"/>
  <c r="CZ2" i="38" s="1"/>
  <c r="CJ2" i="38"/>
  <c r="CY2" i="38" s="1"/>
  <c r="CI2" i="38"/>
  <c r="CX2" i="38" s="1"/>
  <c r="CH2" i="38"/>
  <c r="CW2" i="38" s="1"/>
  <c r="IN2" i="38"/>
  <c r="IX2" i="38" s="1"/>
  <c r="IM2" i="38"/>
  <c r="DM2" i="38" a="1"/>
  <c r="DM2" i="38" s="1"/>
  <c r="CK4" i="38"/>
  <c r="CZ4" i="38" s="1"/>
  <c r="CJ4" i="38"/>
  <c r="CY4" i="38" s="1"/>
  <c r="CI4" i="38"/>
  <c r="CX4" i="38" s="1"/>
  <c r="CH4" i="38"/>
  <c r="CW4" i="38" s="1"/>
  <c r="IN4" i="38"/>
  <c r="IX4" i="38" s="1"/>
  <c r="IM4" i="38"/>
  <c r="DM4" i="38" a="1"/>
  <c r="DM4" i="38" s="1"/>
  <c r="DL4" i="38"/>
  <c r="DM3" i="38" a="1"/>
  <c r="DM3" i="38" s="1"/>
  <c r="DL3" i="38"/>
  <c r="CK3" i="38"/>
  <c r="CZ3" i="38" s="1"/>
  <c r="CJ3" i="38"/>
  <c r="CY3" i="38" s="1"/>
  <c r="IN3" i="38"/>
  <c r="IX3" i="38" s="1"/>
  <c r="CI3" i="38"/>
  <c r="CX3" i="38" s="1"/>
  <c r="CH3" i="38"/>
  <c r="CW3" i="38" s="1"/>
  <c r="GS3" i="38" s="1"/>
  <c r="HF3" i="38" s="1"/>
  <c r="HG3" i="38"/>
  <c r="FP4" i="38"/>
  <c r="FN4" i="38"/>
  <c r="IM3" i="38"/>
  <c r="CK3" i="36"/>
  <c r="CZ3" i="36" s="1"/>
  <c r="CJ3" i="36"/>
  <c r="CY3" i="36" s="1"/>
  <c r="IN3" i="36"/>
  <c r="IX3" i="36" s="1"/>
  <c r="CI3" i="36"/>
  <c r="CX3" i="36" s="1"/>
  <c r="IM3" i="36"/>
  <c r="CH3" i="36"/>
  <c r="CW3" i="36" s="1"/>
  <c r="DM3" i="36" a="1"/>
  <c r="DM3" i="36" s="1"/>
  <c r="DL3" i="36"/>
  <c r="FN3" i="36"/>
  <c r="DL2" i="36"/>
  <c r="CK2" i="36"/>
  <c r="CZ2" i="36" s="1"/>
  <c r="CI2" i="36"/>
  <c r="CX2" i="36" s="1"/>
  <c r="CJ2" i="36"/>
  <c r="CY2" i="36" s="1"/>
  <c r="IN2" i="36"/>
  <c r="IX2" i="36" s="1"/>
  <c r="IM2" i="36"/>
  <c r="CH2" i="36"/>
  <c r="CW2" i="36" s="1"/>
  <c r="DM2" i="36" a="1"/>
  <c r="DM2" i="36" s="1"/>
  <c r="DL2" i="49"/>
  <c r="CJ2" i="49"/>
  <c r="CY2" i="49" s="1"/>
  <c r="CK2" i="49"/>
  <c r="CZ2" i="49" s="1"/>
  <c r="CI2" i="49"/>
  <c r="CX2" i="49" s="1"/>
  <c r="CH2" i="49"/>
  <c r="CW2" i="49" s="1"/>
  <c r="IN2" i="49"/>
  <c r="IX2" i="49" s="1"/>
  <c r="IM2" i="49"/>
  <c r="DM2" i="49" a="1"/>
  <c r="DM2" i="49" s="1"/>
  <c r="CK3" i="49"/>
  <c r="CZ3" i="49" s="1"/>
  <c r="CJ3" i="49"/>
  <c r="CY3" i="49" s="1"/>
  <c r="CI3" i="49"/>
  <c r="CX3" i="49" s="1"/>
  <c r="CH3" i="49"/>
  <c r="CW3" i="49" s="1"/>
  <c r="DM3" i="49" a="1"/>
  <c r="DM3" i="49" s="1"/>
  <c r="DL3" i="49"/>
  <c r="IN3" i="49"/>
  <c r="IX3" i="49" s="1"/>
  <c r="IM3" i="49"/>
  <c r="FN3" i="49"/>
  <c r="DM3" i="48" a="1"/>
  <c r="DM3" i="48" s="1"/>
  <c r="DL3" i="48"/>
  <c r="CK3" i="48"/>
  <c r="CZ3" i="48" s="1"/>
  <c r="CJ3" i="48"/>
  <c r="CY3" i="48" s="1"/>
  <c r="IN3" i="48"/>
  <c r="IX3" i="48" s="1"/>
  <c r="CI3" i="48"/>
  <c r="CX3" i="48" s="1"/>
  <c r="IM3" i="48"/>
  <c r="CH3" i="48"/>
  <c r="CW3" i="48" s="1"/>
  <c r="GS3" i="48" s="1"/>
  <c r="HG3" i="48" s="1"/>
  <c r="FN3" i="48"/>
  <c r="DL2" i="48"/>
  <c r="CK2" i="48"/>
  <c r="CZ2" i="48" s="1"/>
  <c r="CJ2" i="48"/>
  <c r="CY2" i="48" s="1"/>
  <c r="CI2" i="48"/>
  <c r="CX2" i="48" s="1"/>
  <c r="CH2" i="48"/>
  <c r="CW2" i="48" s="1"/>
  <c r="GS2" i="48" s="1"/>
  <c r="HN2" i="48" s="1"/>
  <c r="IN2" i="48"/>
  <c r="IX2" i="48" s="1"/>
  <c r="IM2" i="48"/>
  <c r="DM2" i="48" a="1"/>
  <c r="DM2" i="48" s="1"/>
  <c r="DL2" i="47"/>
  <c r="CK2" i="47"/>
  <c r="CZ2" i="47" s="1"/>
  <c r="CJ2" i="47"/>
  <c r="CY2" i="47" s="1"/>
  <c r="CI2" i="47"/>
  <c r="CX2" i="47" s="1"/>
  <c r="CH2" i="47"/>
  <c r="CW2" i="47" s="1"/>
  <c r="IN2" i="47"/>
  <c r="IX2" i="47" s="1"/>
  <c r="DM2" i="47" a="1"/>
  <c r="DM2" i="47" s="1"/>
  <c r="IM2" i="47"/>
  <c r="DL3" i="47"/>
  <c r="CJ3" i="47"/>
  <c r="CY3" i="47" s="1"/>
  <c r="CI3" i="47"/>
  <c r="CX3" i="47" s="1"/>
  <c r="CH3" i="47"/>
  <c r="CW3" i="47" s="1"/>
  <c r="DM3" i="47" a="1"/>
  <c r="DM3" i="47" s="1"/>
  <c r="CK3" i="47"/>
  <c r="CZ3" i="47" s="1"/>
  <c r="IN3" i="47"/>
  <c r="IX3" i="47" s="1"/>
  <c r="IM3" i="47"/>
  <c r="DL2" i="9"/>
  <c r="CJ2" i="9"/>
  <c r="CY2" i="9" s="1"/>
  <c r="CH2" i="9"/>
  <c r="CW2" i="9" s="1"/>
  <c r="IN2" i="9"/>
  <c r="IX2" i="9" s="1"/>
  <c r="IM2" i="9"/>
  <c r="CK2" i="9"/>
  <c r="CZ2" i="9" s="1"/>
  <c r="CI2" i="9"/>
  <c r="CX2" i="9" s="1"/>
  <c r="DM2" i="9" a="1"/>
  <c r="DM2" i="9" s="1"/>
  <c r="DM4" i="9" a="1"/>
  <c r="DM4" i="9" s="1"/>
  <c r="DL4" i="9"/>
  <c r="CK4" i="9"/>
  <c r="CZ4" i="9" s="1"/>
  <c r="CJ4" i="9"/>
  <c r="CY4" i="9" s="1"/>
  <c r="CH4" i="9"/>
  <c r="CW4" i="9" s="1"/>
  <c r="FO4" i="9"/>
  <c r="FN4" i="9"/>
  <c r="CI4" i="9"/>
  <c r="CX4" i="9" s="1"/>
  <c r="CH3" i="9"/>
  <c r="CW3" i="9" s="1"/>
  <c r="GS3" i="9" s="1"/>
  <c r="HN3" i="9" s="1"/>
  <c r="IN3" i="9"/>
  <c r="IX3" i="9" s="1"/>
  <c r="IM3" i="9"/>
  <c r="DM3" i="9" a="1"/>
  <c r="DM3" i="9" s="1"/>
  <c r="DL3" i="9"/>
  <c r="IM4" i="9"/>
  <c r="CI3" i="9"/>
  <c r="CX3" i="9" s="1"/>
  <c r="IN4" i="9"/>
  <c r="IX4" i="9" s="1"/>
  <c r="CK3" i="9"/>
  <c r="CZ3" i="9" s="1"/>
  <c r="HM3" i="9"/>
  <c r="CI3" i="25"/>
  <c r="CX3" i="25" s="1"/>
  <c r="CJ3" i="25"/>
  <c r="CY3" i="25" s="1"/>
  <c r="DM3" i="25" a="1"/>
  <c r="DM3" i="25" s="1"/>
  <c r="DL3" i="25"/>
  <c r="CK3" i="25"/>
  <c r="CZ3" i="25" s="1"/>
  <c r="IN3" i="25"/>
  <c r="IX3" i="25" s="1"/>
  <c r="IM3" i="25"/>
  <c r="CH3" i="25"/>
  <c r="CW3" i="25" s="1"/>
  <c r="FN3" i="25"/>
  <c r="DM2" i="25" a="1"/>
  <c r="DM2" i="25" s="1"/>
  <c r="CH2" i="25"/>
  <c r="CW2" i="25" s="1"/>
  <c r="IN2" i="25"/>
  <c r="IX2" i="25" s="1"/>
  <c r="IM2" i="25"/>
  <c r="CK2" i="25"/>
  <c r="CZ2" i="25" s="1"/>
  <c r="CJ2" i="25"/>
  <c r="CY2" i="25" s="1"/>
  <c r="CI2" i="25"/>
  <c r="CX2" i="25" s="1"/>
  <c r="DL2" i="25"/>
  <c r="DM3" i="17" a="1"/>
  <c r="DM3" i="17" s="1"/>
  <c r="DL3" i="17"/>
  <c r="CK3" i="17"/>
  <c r="CZ3" i="17" s="1"/>
  <c r="CJ3" i="17"/>
  <c r="CY3" i="17" s="1"/>
  <c r="IN3" i="17"/>
  <c r="IX3" i="17" s="1"/>
  <c r="CI3" i="17"/>
  <c r="CX3" i="17" s="1"/>
  <c r="IM3" i="17"/>
  <c r="CH3" i="17"/>
  <c r="CW3" i="17" s="1"/>
  <c r="FN3" i="17"/>
  <c r="FN3" i="12"/>
  <c r="GS3" i="12" s="1"/>
  <c r="DL2" i="12"/>
  <c r="CK2" i="12"/>
  <c r="CZ2" i="12" s="1"/>
  <c r="CJ2" i="12"/>
  <c r="CY2" i="12" s="1"/>
  <c r="CI2" i="12"/>
  <c r="CX2" i="12" s="1"/>
  <c r="CH2" i="12"/>
  <c r="CW2" i="12" s="1"/>
  <c r="IN2" i="12"/>
  <c r="IX2" i="12" s="1"/>
  <c r="IM2" i="12"/>
  <c r="DM2" i="12" a="1"/>
  <c r="DM2" i="12" s="1"/>
  <c r="HC2" i="13"/>
  <c r="FO3" i="13"/>
  <c r="FK2" i="13"/>
  <c r="HI3" i="13"/>
  <c r="FL2" i="13"/>
  <c r="DL2" i="13"/>
  <c r="CK2" i="13"/>
  <c r="CZ2" i="13" s="1"/>
  <c r="CJ2" i="13"/>
  <c r="CY2" i="13" s="1"/>
  <c r="CI2" i="13"/>
  <c r="CX2" i="13" s="1"/>
  <c r="CH2" i="13"/>
  <c r="CW2" i="13" s="1"/>
  <c r="IN2" i="13"/>
  <c r="IX2" i="13" s="1"/>
  <c r="IM2" i="13"/>
  <c r="DM2" i="13" a="1"/>
  <c r="DM2" i="13" s="1"/>
  <c r="IN3" i="13"/>
  <c r="IX3" i="13" s="1"/>
  <c r="CI3" i="13"/>
  <c r="CX3" i="13" s="1"/>
  <c r="IM3" i="13"/>
  <c r="DM3" i="13" a="1"/>
  <c r="DM3" i="13" s="1"/>
  <c r="DL3" i="13"/>
  <c r="CK3" i="13"/>
  <c r="CZ3" i="13" s="1"/>
  <c r="CJ3" i="13"/>
  <c r="CY3" i="13" s="1"/>
  <c r="CH3" i="13"/>
  <c r="CW3" i="13" s="1"/>
  <c r="FN3" i="13"/>
  <c r="DM3" i="16" a="1"/>
  <c r="DM3" i="16" s="1"/>
  <c r="IM3" i="16"/>
  <c r="IN3" i="16"/>
  <c r="IX3" i="16" s="1"/>
  <c r="CH3" i="16"/>
  <c r="CW3" i="16" s="1"/>
  <c r="CI3" i="16"/>
  <c r="CX3" i="16" s="1"/>
  <c r="CJ3" i="16"/>
  <c r="CY3" i="16" s="1"/>
  <c r="CK3" i="16"/>
  <c r="CZ3" i="16" s="1"/>
  <c r="FK2" i="16"/>
  <c r="HC2" i="16"/>
  <c r="FL2" i="16"/>
  <c r="DL2" i="16"/>
  <c r="CK2" i="16"/>
  <c r="CZ2" i="16" s="1"/>
  <c r="CJ2" i="16"/>
  <c r="CY2" i="16" s="1"/>
  <c r="CI2" i="16"/>
  <c r="CX2" i="16" s="1"/>
  <c r="CH2" i="16"/>
  <c r="CW2" i="16" s="1"/>
  <c r="IN2" i="16"/>
  <c r="IX2" i="16" s="1"/>
  <c r="IM2" i="16"/>
  <c r="DM2" i="16" a="1"/>
  <c r="DM2" i="16" s="1"/>
  <c r="DL2" i="15"/>
  <c r="CK2" i="15"/>
  <c r="CZ2" i="15" s="1"/>
  <c r="CJ2" i="15"/>
  <c r="CY2" i="15" s="1"/>
  <c r="CI2" i="15"/>
  <c r="CX2" i="15" s="1"/>
  <c r="CH2" i="15"/>
  <c r="CW2" i="15" s="1"/>
  <c r="IN2" i="15"/>
  <c r="IX2" i="15" s="1"/>
  <c r="IM2" i="15"/>
  <c r="DM2" i="15" a="1"/>
  <c r="DM2" i="15" s="1"/>
  <c r="DM3" i="15" a="1"/>
  <c r="DM3" i="15" s="1"/>
  <c r="DL3" i="15"/>
  <c r="CI3" i="15"/>
  <c r="CX3" i="15" s="1"/>
  <c r="IM3" i="15"/>
  <c r="CK3" i="15"/>
  <c r="CZ3" i="15" s="1"/>
  <c r="CJ3" i="15"/>
  <c r="CY3" i="15" s="1"/>
  <c r="IN3" i="15"/>
  <c r="IX3" i="15" s="1"/>
  <c r="CH3" i="15"/>
  <c r="CW3" i="15" s="1"/>
  <c r="FN3" i="15"/>
  <c r="IM4" i="14"/>
  <c r="IN4" i="14"/>
  <c r="IX4" i="14" s="1"/>
  <c r="DL4" i="14"/>
  <c r="CI4" i="14"/>
  <c r="CX4" i="14" s="1"/>
  <c r="DM4" i="14" a="1"/>
  <c r="DM4" i="14" s="1"/>
  <c r="CK4" i="14"/>
  <c r="CZ4" i="14" s="1"/>
  <c r="CJ4" i="14"/>
  <c r="CY4" i="14" s="1"/>
  <c r="CH4" i="14"/>
  <c r="CW4" i="14" s="1"/>
  <c r="DL3" i="14"/>
  <c r="IN3" i="14"/>
  <c r="IX3" i="14" s="1"/>
  <c r="CI3" i="14"/>
  <c r="CX3" i="14" s="1"/>
  <c r="IM3" i="14"/>
  <c r="CH3" i="14"/>
  <c r="CW3" i="14" s="1"/>
  <c r="CK3" i="14"/>
  <c r="CZ3" i="14" s="1"/>
  <c r="CJ3" i="14"/>
  <c r="CY3" i="14" s="1"/>
  <c r="DM3" i="14" a="1"/>
  <c r="DM3" i="14" s="1"/>
  <c r="FN4" i="14"/>
  <c r="HC2" i="14"/>
  <c r="FK2" i="14"/>
  <c r="FL2" i="14"/>
  <c r="DL2" i="14"/>
  <c r="CK2" i="14"/>
  <c r="CZ2" i="14" s="1"/>
  <c r="CJ2" i="14"/>
  <c r="CY2" i="14" s="1"/>
  <c r="CI2" i="14"/>
  <c r="CX2" i="14" s="1"/>
  <c r="CH2" i="14"/>
  <c r="CW2" i="14" s="1"/>
  <c r="IN2" i="14"/>
  <c r="IX2" i="14" s="1"/>
  <c r="IM2" i="14"/>
  <c r="DM2" i="14" a="1"/>
  <c r="DM2" i="14" s="1"/>
  <c r="DL2" i="18"/>
  <c r="CJ2" i="18"/>
  <c r="CY2" i="18" s="1"/>
  <c r="CI2" i="18"/>
  <c r="CX2" i="18" s="1"/>
  <c r="CH2" i="18"/>
  <c r="CW2" i="18" s="1"/>
  <c r="IN2" i="18"/>
  <c r="IX2" i="18" s="1"/>
  <c r="IM2" i="18"/>
  <c r="DM2" i="18" a="1"/>
  <c r="DM2" i="18" s="1"/>
  <c r="CK2" i="18"/>
  <c r="CZ2" i="18" s="1"/>
  <c r="HC3" i="18"/>
  <c r="FK3" i="18"/>
  <c r="FL3" i="18"/>
  <c r="DL3" i="18"/>
  <c r="CK3" i="18"/>
  <c r="CZ3" i="18" s="1"/>
  <c r="CJ3" i="18"/>
  <c r="CY3" i="18" s="1"/>
  <c r="CI3" i="18"/>
  <c r="CX3" i="18" s="1"/>
  <c r="CH3" i="18"/>
  <c r="CW3" i="18" s="1"/>
  <c r="IN3" i="18"/>
  <c r="IX3" i="18" s="1"/>
  <c r="IM3" i="18"/>
  <c r="DM3" i="18" a="1"/>
  <c r="DM3" i="18" s="1"/>
  <c r="DL3" i="22"/>
  <c r="GS3" i="22" s="1"/>
  <c r="IO3" i="22"/>
  <c r="FN3" i="22"/>
  <c r="DL2" i="22"/>
  <c r="CJ2" i="22"/>
  <c r="CY2" i="22" s="1"/>
  <c r="CH2" i="22"/>
  <c r="CW2" i="22" s="1"/>
  <c r="CK2" i="22"/>
  <c r="CZ2" i="22" s="1"/>
  <c r="CI2" i="22"/>
  <c r="CX2" i="22" s="1"/>
  <c r="IN2" i="22"/>
  <c r="IX2" i="22" s="1"/>
  <c r="IM2" i="22"/>
  <c r="DM2" i="22" a="1"/>
  <c r="DM2" i="22" s="1"/>
  <c r="DL3" i="19"/>
  <c r="IN3" i="19"/>
  <c r="IX3" i="19" s="1"/>
  <c r="IM3" i="19"/>
  <c r="CK3" i="19"/>
  <c r="CZ3" i="19" s="1"/>
  <c r="CJ3" i="19"/>
  <c r="CY3" i="19" s="1"/>
  <c r="CI3" i="19"/>
  <c r="CX3" i="19" s="1"/>
  <c r="CH3" i="19"/>
  <c r="CW3" i="19" s="1"/>
  <c r="DM3" i="19" a="1"/>
  <c r="DM3" i="19" s="1"/>
  <c r="DL4" i="19"/>
  <c r="CK4" i="19"/>
  <c r="CZ4" i="19" s="1"/>
  <c r="CJ4" i="19"/>
  <c r="CY4" i="19" s="1"/>
  <c r="IN4" i="19"/>
  <c r="IX4" i="19" s="1"/>
  <c r="CI4" i="19"/>
  <c r="CX4" i="19" s="1"/>
  <c r="IM4" i="19"/>
  <c r="CH4" i="19"/>
  <c r="CW4" i="19" s="1"/>
  <c r="GS4" i="19" s="1"/>
  <c r="HN4" i="19" s="1"/>
  <c r="HF5" i="19"/>
  <c r="HN5" i="19"/>
  <c r="DM5" i="19" a="1"/>
  <c r="DM5" i="19" s="1"/>
  <c r="DL5" i="19"/>
  <c r="CK5" i="19"/>
  <c r="CZ5" i="19" s="1"/>
  <c r="CJ5" i="19"/>
  <c r="CY5" i="19" s="1"/>
  <c r="IN5" i="19"/>
  <c r="IX5" i="19" s="1"/>
  <c r="CI5" i="19"/>
  <c r="CX5" i="19" s="1"/>
  <c r="HF4" i="19"/>
  <c r="CH5" i="19"/>
  <c r="CW5" i="19" s="1"/>
  <c r="GS5" i="19" s="1"/>
  <c r="HM5" i="19" s="1"/>
  <c r="IM5" i="19"/>
  <c r="HM4" i="19"/>
  <c r="FN5" i="19"/>
  <c r="DM4" i="24" a="1"/>
  <c r="DM4" i="24" s="1"/>
  <c r="CK4" i="24"/>
  <c r="CZ4" i="24" s="1"/>
  <c r="CJ4" i="24"/>
  <c r="CY4" i="24" s="1"/>
  <c r="IN4" i="24"/>
  <c r="IX4" i="24" s="1"/>
  <c r="IM4" i="24"/>
  <c r="DL4" i="24"/>
  <c r="CI4" i="24"/>
  <c r="CX4" i="24" s="1"/>
  <c r="CH4" i="24"/>
  <c r="CW4" i="24" s="1"/>
  <c r="FN4" i="24"/>
  <c r="DL3" i="24"/>
  <c r="CK3" i="24"/>
  <c r="CZ3" i="24" s="1"/>
  <c r="CJ3" i="24"/>
  <c r="CY3" i="24" s="1"/>
  <c r="CI3" i="24"/>
  <c r="CX3" i="24" s="1"/>
  <c r="CH3" i="24"/>
  <c r="CW3" i="24" s="1"/>
  <c r="IN3" i="24"/>
  <c r="IX3" i="24" s="1"/>
  <c r="IM3" i="24"/>
  <c r="DM3" i="24" a="1"/>
  <c r="DM3" i="24" s="1"/>
  <c r="DL2" i="21"/>
  <c r="CJ2" i="21"/>
  <c r="CY2" i="21" s="1"/>
  <c r="CI2" i="21"/>
  <c r="CX2" i="21" s="1"/>
  <c r="CH2" i="21"/>
  <c r="CW2" i="21" s="1"/>
  <c r="IN2" i="21"/>
  <c r="IX2" i="21" s="1"/>
  <c r="DM2" i="21" a="1"/>
  <c r="DM2" i="21" s="1"/>
  <c r="CK2" i="21"/>
  <c r="CZ2" i="21" s="1"/>
  <c r="IM2" i="21"/>
  <c r="DL3" i="21"/>
  <c r="CK3" i="21"/>
  <c r="CZ3" i="21" s="1"/>
  <c r="IN3" i="21"/>
  <c r="IX3" i="21" s="1"/>
  <c r="IM3" i="21"/>
  <c r="DM3" i="21" a="1"/>
  <c r="DM3" i="21" s="1"/>
  <c r="CJ3" i="21"/>
  <c r="CY3" i="21" s="1"/>
  <c r="CI3" i="21"/>
  <c r="CX3" i="21" s="1"/>
  <c r="CH3" i="21"/>
  <c r="CW3" i="21" s="1"/>
  <c r="FN3" i="21"/>
  <c r="FK5" i="20"/>
  <c r="AX3" i="20"/>
  <c r="FK8" i="20"/>
  <c r="FM2" i="20"/>
  <c r="FN4" i="20"/>
  <c r="HC4" i="20"/>
  <c r="FM8" i="20"/>
  <c r="HC3" i="20"/>
  <c r="FL5" i="20"/>
  <c r="FM5" i="20"/>
  <c r="FL8" i="20"/>
  <c r="FN3" i="20"/>
  <c r="FP4" i="20"/>
  <c r="FK3" i="20"/>
  <c r="FO6" i="20"/>
  <c r="HC2" i="20"/>
  <c r="FM6" i="20"/>
  <c r="FK4" i="20"/>
  <c r="IN3" i="20"/>
  <c r="IX3" i="20" s="1"/>
  <c r="HI8" i="20"/>
  <c r="HC6" i="20"/>
  <c r="FK6" i="20"/>
  <c r="HC8" i="20"/>
  <c r="FL6" i="20"/>
  <c r="FN6" i="20"/>
  <c r="HC5" i="20"/>
  <c r="FL4" i="20"/>
  <c r="HI7" i="20"/>
  <c r="HI6" i="20"/>
  <c r="HI3" i="20"/>
  <c r="FO3" i="20"/>
  <c r="HI5" i="20"/>
  <c r="CJ4" i="20"/>
  <c r="CY4" i="20" s="1"/>
  <c r="IN4" i="20"/>
  <c r="IX4" i="20" s="1"/>
  <c r="CI4" i="20"/>
  <c r="CX4" i="20" s="1"/>
  <c r="DL4" i="20"/>
  <c r="CK4" i="20"/>
  <c r="CZ4" i="20" s="1"/>
  <c r="DM4" i="20" a="1"/>
  <c r="DM4" i="20" s="1"/>
  <c r="CH4" i="20"/>
  <c r="CW4" i="20" s="1"/>
  <c r="IM4" i="20"/>
  <c r="IM5" i="20"/>
  <c r="CH5" i="20"/>
  <c r="CW5" i="20" s="1"/>
  <c r="DM5" i="20" a="1"/>
  <c r="DM5" i="20" s="1"/>
  <c r="DL5" i="20"/>
  <c r="DL7" i="20"/>
  <c r="CK7" i="20"/>
  <c r="CZ7" i="20" s="1"/>
  <c r="FM7" i="20"/>
  <c r="CI8" i="20"/>
  <c r="CX8" i="20" s="1"/>
  <c r="CH6" i="20"/>
  <c r="CW6" i="20" s="1"/>
  <c r="DL6" i="20"/>
  <c r="CH7" i="20"/>
  <c r="CW7" i="20" s="1"/>
  <c r="FK7" i="20"/>
  <c r="HC7" i="20"/>
  <c r="IN5" i="20"/>
  <c r="IX5" i="20" s="1"/>
  <c r="CJ8" i="20"/>
  <c r="CY8" i="20" s="1"/>
  <c r="IM6" i="20"/>
  <c r="DM7" i="20" a="1"/>
  <c r="DM7" i="20" s="1"/>
  <c r="FL7" i="20"/>
  <c r="CJ6" i="20"/>
  <c r="CY6" i="20" s="1"/>
  <c r="IN6" i="20"/>
  <c r="IX6" i="20" s="1"/>
  <c r="CJ7" i="20"/>
  <c r="CY7" i="20" s="1"/>
  <c r="CJ3" i="20"/>
  <c r="CY3" i="20" s="1"/>
  <c r="CK6" i="20"/>
  <c r="CZ6" i="20" s="1"/>
  <c r="DM6" i="20" a="1"/>
  <c r="DM6" i="20" s="1"/>
  <c r="FL3" i="20"/>
  <c r="FO8" i="20"/>
  <c r="FN8" i="20"/>
  <c r="FM3" i="20"/>
  <c r="CI5" i="20"/>
  <c r="CX5" i="20" s="1"/>
  <c r="DM8" i="20" a="1"/>
  <c r="DM8" i="20" s="1"/>
  <c r="DL8" i="20"/>
  <c r="IM8" i="20"/>
  <c r="CH8" i="20"/>
  <c r="CW8" i="20" s="1"/>
  <c r="CJ5" i="20"/>
  <c r="CY5" i="20" s="1"/>
  <c r="CK5" i="20"/>
  <c r="CZ5" i="20" s="1"/>
  <c r="CI6" i="20"/>
  <c r="CX6" i="20" s="1"/>
  <c r="CI7" i="20"/>
  <c r="CX7" i="20" s="1"/>
  <c r="IM7" i="20"/>
  <c r="CI3" i="20"/>
  <c r="CX3" i="20" s="1"/>
  <c r="CH3" i="20"/>
  <c r="CW3" i="20" s="1"/>
  <c r="IM3" i="20"/>
  <c r="DM3" i="20" a="1"/>
  <c r="DM3" i="20" s="1"/>
  <c r="DL3" i="20"/>
  <c r="CK8" i="20"/>
  <c r="CZ8" i="20" s="1"/>
  <c r="IN7" i="20"/>
  <c r="IX7" i="20" s="1"/>
  <c r="FO5" i="20"/>
  <c r="FN5" i="20"/>
  <c r="FO7" i="20"/>
  <c r="FN7" i="20"/>
  <c r="DM2" i="20" a="1"/>
  <c r="DM2" i="20" s="1"/>
  <c r="IM2" i="20"/>
  <c r="IN2" i="20"/>
  <c r="IX2" i="20" s="1"/>
  <c r="CK2" i="20"/>
  <c r="CZ2" i="20" s="1"/>
  <c r="CH2" i="20"/>
  <c r="CW2" i="20" s="1"/>
  <c r="CI2" i="20"/>
  <c r="CX2" i="20" s="1"/>
  <c r="CJ2" i="20"/>
  <c r="CY2" i="20" s="1"/>
  <c r="FO3" i="23"/>
  <c r="HC3" i="23"/>
  <c r="FM3" i="23"/>
  <c r="FL2" i="23"/>
  <c r="FK3" i="23"/>
  <c r="FM2" i="23"/>
  <c r="HC2" i="23"/>
  <c r="AX2" i="23"/>
  <c r="DL2" i="23"/>
  <c r="CJ2" i="23"/>
  <c r="CY2" i="23" s="1"/>
  <c r="CI2" i="23"/>
  <c r="CX2" i="23" s="1"/>
  <c r="CH2" i="23"/>
  <c r="CW2" i="23" s="1"/>
  <c r="IN2" i="23"/>
  <c r="IX2" i="23" s="1"/>
  <c r="IM2" i="23"/>
  <c r="DM2" i="23" a="1"/>
  <c r="DM2" i="23" s="1"/>
  <c r="CK2" i="23"/>
  <c r="CZ2" i="23" s="1"/>
  <c r="CJ3" i="23"/>
  <c r="CY3" i="23" s="1"/>
  <c r="IN3" i="23"/>
  <c r="IX3" i="23" s="1"/>
  <c r="CI3" i="23"/>
  <c r="CX3" i="23" s="1"/>
  <c r="DM3" i="23" a="1"/>
  <c r="DM3" i="23" s="1"/>
  <c r="DL3" i="23"/>
  <c r="CK3" i="23"/>
  <c r="CZ3" i="23" s="1"/>
  <c r="IM3" i="23"/>
  <c r="CH3" i="23"/>
  <c r="CW3" i="23" s="1"/>
  <c r="FN3" i="23"/>
  <c r="FP3" i="23"/>
  <c r="FL3" i="23"/>
  <c r="DL2" i="6"/>
  <c r="CK2" i="6"/>
  <c r="CZ2" i="6" s="1"/>
  <c r="CJ2" i="6"/>
  <c r="CY2" i="6" s="1"/>
  <c r="CI2" i="6"/>
  <c r="CX2" i="6" s="1"/>
  <c r="CH2" i="6"/>
  <c r="CW2" i="6" s="1"/>
  <c r="IN2" i="6"/>
  <c r="IX2" i="6" s="1"/>
  <c r="IM2" i="6"/>
  <c r="DM2" i="6" a="1"/>
  <c r="DM2" i="6" s="1"/>
  <c r="IM3" i="6"/>
  <c r="CH3" i="6"/>
  <c r="CW3" i="6" s="1"/>
  <c r="DM3" i="6" a="1"/>
  <c r="DM3" i="6" s="1"/>
  <c r="DL3" i="6"/>
  <c r="CK3" i="6"/>
  <c r="CZ3" i="6" s="1"/>
  <c r="CJ3" i="6"/>
  <c r="CY3" i="6" s="1"/>
  <c r="IN3" i="6"/>
  <c r="IX3" i="6" s="1"/>
  <c r="CI3" i="6"/>
  <c r="CX3" i="6" s="1"/>
  <c r="DM5" i="6" a="1"/>
  <c r="DM5" i="6" s="1"/>
  <c r="DL5" i="6"/>
  <c r="CK5" i="6"/>
  <c r="CZ5" i="6" s="1"/>
  <c r="CJ5" i="6"/>
  <c r="CY5" i="6" s="1"/>
  <c r="IN5" i="6"/>
  <c r="IX5" i="6" s="1"/>
  <c r="CI5" i="6"/>
  <c r="CX5" i="6" s="1"/>
  <c r="IM5" i="6"/>
  <c r="CH5" i="6"/>
  <c r="CW5" i="6" s="1"/>
  <c r="GS5" i="6" s="1"/>
  <c r="HF5" i="6" s="1"/>
  <c r="IO4" i="6"/>
  <c r="DM4" i="6" a="1"/>
  <c r="DM4" i="6" s="1"/>
  <c r="CK4" i="6"/>
  <c r="CZ4" i="6" s="1"/>
  <c r="IM4" i="6"/>
  <c r="CI4" i="6"/>
  <c r="CX4" i="6" s="1"/>
  <c r="IN4" i="6"/>
  <c r="IX4" i="6" s="1"/>
  <c r="CJ4" i="6"/>
  <c r="CY4" i="6" s="1"/>
  <c r="FN3" i="6"/>
  <c r="FN5" i="6"/>
  <c r="CH4" i="6"/>
  <c r="CW4" i="6" s="1"/>
  <c r="DL3" i="5"/>
  <c r="CJ3" i="5"/>
  <c r="CY3" i="5" s="1"/>
  <c r="IN3" i="5"/>
  <c r="IX3" i="5" s="1"/>
  <c r="CH3" i="5"/>
  <c r="CW3" i="5" s="1"/>
  <c r="CK3" i="5"/>
  <c r="CZ3" i="5" s="1"/>
  <c r="IM3" i="5"/>
  <c r="DM3" i="5" a="1"/>
  <c r="DM3" i="5" s="1"/>
  <c r="CI3" i="5"/>
  <c r="CX3" i="5" s="1"/>
  <c r="FN3" i="5"/>
  <c r="CJ2" i="5"/>
  <c r="CY2" i="5" s="1"/>
  <c r="CI2" i="5"/>
  <c r="CX2" i="5" s="1"/>
  <c r="CH2" i="5"/>
  <c r="CW2" i="5" s="1"/>
  <c r="IN2" i="5"/>
  <c r="IX2" i="5" s="1"/>
  <c r="IM2" i="5"/>
  <c r="DM2" i="5" a="1"/>
  <c r="DM2" i="5" s="1"/>
  <c r="DL2" i="5"/>
  <c r="CK2" i="5"/>
  <c r="CZ2" i="5" s="1"/>
  <c r="FP2" i="5"/>
  <c r="FM2" i="4"/>
  <c r="HC2" i="4"/>
  <c r="AX2" i="4"/>
  <c r="FK2" i="4"/>
  <c r="FL2" i="4"/>
  <c r="DL2" i="4"/>
  <c r="CK2" i="4"/>
  <c r="CZ2" i="4" s="1"/>
  <c r="CJ2" i="4"/>
  <c r="CY2" i="4" s="1"/>
  <c r="CI2" i="4"/>
  <c r="CX2" i="4" s="1"/>
  <c r="CH2" i="4"/>
  <c r="CW2" i="4" s="1"/>
  <c r="IN2" i="4"/>
  <c r="IX2" i="4" s="1"/>
  <c r="IM2" i="4"/>
  <c r="DM2" i="4" a="1"/>
  <c r="DM2" i="4" s="1"/>
  <c r="GS3" i="3"/>
  <c r="HF3" i="3"/>
  <c r="HM3" i="3"/>
  <c r="HN3" i="3"/>
  <c r="IN3" i="3"/>
  <c r="IX3" i="3" s="1"/>
  <c r="HG3" i="3"/>
  <c r="DL2" i="3"/>
  <c r="CK2" i="3"/>
  <c r="CZ2" i="3" s="1"/>
  <c r="CJ2" i="3"/>
  <c r="CY2" i="3" s="1"/>
  <c r="CI2" i="3"/>
  <c r="CX2" i="3" s="1"/>
  <c r="CH2" i="3"/>
  <c r="CW2" i="3" s="1"/>
  <c r="IN2" i="3"/>
  <c r="IX2" i="3" s="1"/>
  <c r="IM2" i="3"/>
  <c r="DM2" i="3" a="1"/>
  <c r="DM2" i="3" s="1"/>
  <c r="GS2" i="59" l="1"/>
  <c r="GS2" i="57"/>
  <c r="GS3" i="57"/>
  <c r="GS2" i="11"/>
  <c r="HM2" i="11"/>
  <c r="HN2" i="11"/>
  <c r="GS6" i="11"/>
  <c r="GS3" i="11"/>
  <c r="GS4" i="11"/>
  <c r="GS5" i="11"/>
  <c r="GS3" i="10"/>
  <c r="HF2" i="10"/>
  <c r="HM2" i="10"/>
  <c r="HN2" i="10"/>
  <c r="GS2" i="7"/>
  <c r="HM3" i="7"/>
  <c r="HF3" i="7"/>
  <c r="HN3" i="7"/>
  <c r="GS2" i="58"/>
  <c r="GS2" i="26"/>
  <c r="HM4" i="26"/>
  <c r="HG4" i="26"/>
  <c r="HN4" i="26"/>
  <c r="HF4" i="26"/>
  <c r="GS3" i="26"/>
  <c r="HG3" i="54"/>
  <c r="HM3" i="54"/>
  <c r="HN3" i="54"/>
  <c r="HF3" i="54"/>
  <c r="GS2" i="54"/>
  <c r="GS2" i="56"/>
  <c r="GS3" i="56"/>
  <c r="HG2" i="53"/>
  <c r="HG3" i="53"/>
  <c r="HF3" i="53"/>
  <c r="GS5" i="53"/>
  <c r="HM3" i="53"/>
  <c r="GS6" i="53"/>
  <c r="GS4" i="53"/>
  <c r="HN3" i="52"/>
  <c r="HM3" i="52"/>
  <c r="HG3" i="52"/>
  <c r="GS2" i="52"/>
  <c r="HN2" i="52" s="1"/>
  <c r="HG2" i="52"/>
  <c r="HM2" i="52"/>
  <c r="HM2" i="55"/>
  <c r="HN2" i="55"/>
  <c r="HF2" i="55"/>
  <c r="GS3" i="55"/>
  <c r="HN4" i="50"/>
  <c r="HM4" i="50"/>
  <c r="HF4" i="50"/>
  <c r="HN2" i="50"/>
  <c r="GS2" i="46"/>
  <c r="GS4" i="46"/>
  <c r="GS3" i="46"/>
  <c r="GS3" i="45"/>
  <c r="HM2" i="45"/>
  <c r="GS2" i="44"/>
  <c r="HN4" i="44"/>
  <c r="HM4" i="44"/>
  <c r="HG4" i="44"/>
  <c r="HF4" i="44"/>
  <c r="GS3" i="44"/>
  <c r="GS3" i="8"/>
  <c r="GS2" i="8"/>
  <c r="GS2" i="28"/>
  <c r="HM3" i="28"/>
  <c r="HN3" i="28"/>
  <c r="HF3" i="28"/>
  <c r="HG3" i="28"/>
  <c r="HG3" i="37"/>
  <c r="HN3" i="37"/>
  <c r="HF3" i="37"/>
  <c r="HM3" i="37"/>
  <c r="GS2" i="37"/>
  <c r="GS2" i="51"/>
  <c r="GS3" i="51"/>
  <c r="HM3" i="29"/>
  <c r="HF3" i="29"/>
  <c r="HN3" i="29"/>
  <c r="HM2" i="29"/>
  <c r="HF2" i="29"/>
  <c r="HN2" i="29"/>
  <c r="GS2" i="27"/>
  <c r="GS3" i="27"/>
  <c r="GS2" i="30"/>
  <c r="GS2" i="35"/>
  <c r="HG3" i="35"/>
  <c r="HM3" i="35"/>
  <c r="HN3" i="35"/>
  <c r="HF3" i="35"/>
  <c r="HG3" i="34"/>
  <c r="HF3" i="34"/>
  <c r="HN3" i="34"/>
  <c r="HM3" i="34"/>
  <c r="GS2" i="34"/>
  <c r="GS2" i="33"/>
  <c r="GS3" i="33"/>
  <c r="HM5" i="32"/>
  <c r="HG5" i="32"/>
  <c r="HF5" i="32"/>
  <c r="GS2" i="32"/>
  <c r="GS2" i="31"/>
  <c r="HF3" i="31"/>
  <c r="HG3" i="31"/>
  <c r="HM3" i="31"/>
  <c r="HN3" i="31"/>
  <c r="GS3" i="42"/>
  <c r="GS2" i="42"/>
  <c r="GS2" i="43"/>
  <c r="GS3" i="43"/>
  <c r="GS4" i="41"/>
  <c r="HM4" i="41" s="1"/>
  <c r="HG4" i="41"/>
  <c r="GS3" i="41"/>
  <c r="HN4" i="41"/>
  <c r="GS2" i="41"/>
  <c r="HF2" i="39"/>
  <c r="HG2" i="39"/>
  <c r="HN2" i="39"/>
  <c r="GS4" i="39"/>
  <c r="GS3" i="39"/>
  <c r="HG3" i="39" s="1"/>
  <c r="GS3" i="40"/>
  <c r="GS2" i="40"/>
  <c r="GS2" i="38"/>
  <c r="HM3" i="38"/>
  <c r="HN3" i="38"/>
  <c r="GS4" i="38"/>
  <c r="GS3" i="36"/>
  <c r="GS2" i="36"/>
  <c r="GS2" i="49"/>
  <c r="GS3" i="49"/>
  <c r="HF3" i="48"/>
  <c r="HN3" i="48"/>
  <c r="HM3" i="48"/>
  <c r="HF2" i="48"/>
  <c r="HG2" i="48"/>
  <c r="HM2" i="48"/>
  <c r="GS2" i="47"/>
  <c r="GS3" i="47"/>
  <c r="GS2" i="9"/>
  <c r="HF3" i="9"/>
  <c r="HG3" i="9"/>
  <c r="GS4" i="9"/>
  <c r="GS3" i="25"/>
  <c r="GS2" i="25"/>
  <c r="GS3" i="17"/>
  <c r="HN3" i="12"/>
  <c r="HF3" i="12"/>
  <c r="HG3" i="12"/>
  <c r="HM3" i="12"/>
  <c r="GS2" i="12"/>
  <c r="GS2" i="13"/>
  <c r="GS3" i="13"/>
  <c r="GS3" i="16"/>
  <c r="GS2" i="16"/>
  <c r="GS2" i="15"/>
  <c r="GS3" i="15"/>
  <c r="GS4" i="14"/>
  <c r="GS3" i="14"/>
  <c r="GS2" i="14"/>
  <c r="GS2" i="18"/>
  <c r="GS3" i="18"/>
  <c r="HG3" i="22"/>
  <c r="HN3" i="22"/>
  <c r="HM3" i="22"/>
  <c r="HF3" i="22"/>
  <c r="GS2" i="22"/>
  <c r="GS3" i="19"/>
  <c r="HG5" i="19"/>
  <c r="HG4" i="19"/>
  <c r="GS4" i="24"/>
  <c r="GS3" i="24"/>
  <c r="GS2" i="21"/>
  <c r="GS3" i="21"/>
  <c r="GS4" i="20"/>
  <c r="HN4" i="20" s="1"/>
  <c r="GS6" i="20"/>
  <c r="HM6" i="20" s="1"/>
  <c r="GS3" i="20"/>
  <c r="HF3" i="20" s="1"/>
  <c r="HM3" i="20"/>
  <c r="GS8" i="20"/>
  <c r="GS7" i="20"/>
  <c r="GS5" i="20"/>
  <c r="GS2" i="20"/>
  <c r="GS2" i="23"/>
  <c r="GS3" i="23"/>
  <c r="GS2" i="6"/>
  <c r="HM5" i="6"/>
  <c r="HG5" i="6"/>
  <c r="GS4" i="6"/>
  <c r="GS3" i="6"/>
  <c r="HN5" i="6"/>
  <c r="GS3" i="5"/>
  <c r="GS2" i="5"/>
  <c r="GS2" i="4"/>
  <c r="GS2" i="3"/>
  <c r="HG2" i="59" l="1"/>
  <c r="HF2" i="59"/>
  <c r="HN2" i="59"/>
  <c r="HM2" i="59"/>
  <c r="HF2" i="57"/>
  <c r="HN2" i="57"/>
  <c r="HG2" i="57"/>
  <c r="HM2" i="57"/>
  <c r="HM3" i="57"/>
  <c r="HG3" i="57"/>
  <c r="HN3" i="57"/>
  <c r="HF3" i="57"/>
  <c r="HG2" i="11"/>
  <c r="HF2" i="11"/>
  <c r="HM5" i="11"/>
  <c r="HN5" i="11"/>
  <c r="HF5" i="11"/>
  <c r="HG5" i="11"/>
  <c r="HM4" i="11"/>
  <c r="HF4" i="11"/>
  <c r="HN4" i="11"/>
  <c r="HG4" i="11"/>
  <c r="HN3" i="11"/>
  <c r="HF3" i="11"/>
  <c r="HG3" i="11"/>
  <c r="HM3" i="11"/>
  <c r="HG6" i="11"/>
  <c r="HN6" i="11"/>
  <c r="HF6" i="11"/>
  <c r="HM6" i="11"/>
  <c r="HF3" i="10"/>
  <c r="HN3" i="10"/>
  <c r="HG3" i="10"/>
  <c r="HM3" i="10"/>
  <c r="HG2" i="7"/>
  <c r="HN2" i="7"/>
  <c r="HM2" i="7"/>
  <c r="HF2" i="7"/>
  <c r="HG2" i="58"/>
  <c r="HF2" i="58"/>
  <c r="HM2" i="58"/>
  <c r="HN2" i="58"/>
  <c r="HG2" i="26"/>
  <c r="HM2" i="26"/>
  <c r="HF2" i="26"/>
  <c r="HN2" i="26"/>
  <c r="HN3" i="26"/>
  <c r="HG3" i="26"/>
  <c r="HM3" i="26"/>
  <c r="HF3" i="26"/>
  <c r="HN2" i="54"/>
  <c r="HG2" i="54"/>
  <c r="HF2" i="54"/>
  <c r="HM2" i="54"/>
  <c r="HG2" i="56"/>
  <c r="HN2" i="56"/>
  <c r="HF2" i="56"/>
  <c r="HM2" i="56"/>
  <c r="HG3" i="56"/>
  <c r="HF3" i="56"/>
  <c r="HN3" i="56"/>
  <c r="HM3" i="56"/>
  <c r="HF6" i="53"/>
  <c r="HG6" i="53"/>
  <c r="HN6" i="53"/>
  <c r="HM6" i="53"/>
  <c r="HM5" i="53"/>
  <c r="HF5" i="53"/>
  <c r="HN5" i="53"/>
  <c r="HG5" i="53"/>
  <c r="HN4" i="53"/>
  <c r="HG4" i="53"/>
  <c r="HM4" i="53"/>
  <c r="HF4" i="53"/>
  <c r="HF2" i="52"/>
  <c r="HF3" i="55"/>
  <c r="HG3" i="55"/>
  <c r="HN3" i="55"/>
  <c r="HM3" i="55"/>
  <c r="HN2" i="46"/>
  <c r="HM2" i="46"/>
  <c r="HF2" i="46"/>
  <c r="HG2" i="46"/>
  <c r="HG3" i="46"/>
  <c r="HN3" i="46"/>
  <c r="HM3" i="46"/>
  <c r="HF3" i="46"/>
  <c r="HN4" i="46"/>
  <c r="HF4" i="46"/>
  <c r="HG4" i="46"/>
  <c r="HM4" i="46"/>
  <c r="HG3" i="45"/>
  <c r="HF3" i="45"/>
  <c r="HM3" i="45"/>
  <c r="HN3" i="45"/>
  <c r="HF2" i="44"/>
  <c r="HN2" i="44"/>
  <c r="HG2" i="44"/>
  <c r="HM2" i="44"/>
  <c r="HN3" i="44"/>
  <c r="HG3" i="44"/>
  <c r="HM3" i="44"/>
  <c r="HF3" i="44"/>
  <c r="HG3" i="8"/>
  <c r="HM3" i="8"/>
  <c r="HN3" i="8"/>
  <c r="HF3" i="8"/>
  <c r="HG2" i="8"/>
  <c r="HM2" i="8"/>
  <c r="HF2" i="8"/>
  <c r="HN2" i="8"/>
  <c r="HN2" i="28"/>
  <c r="HM2" i="28"/>
  <c r="HG2" i="28"/>
  <c r="HF2" i="28"/>
  <c r="HG2" i="37"/>
  <c r="HM2" i="37"/>
  <c r="HN2" i="37"/>
  <c r="HF2" i="37"/>
  <c r="HG2" i="51"/>
  <c r="HN2" i="51"/>
  <c r="HM2" i="51"/>
  <c r="HF2" i="51"/>
  <c r="HN3" i="51"/>
  <c r="HM3" i="51"/>
  <c r="HF3" i="51"/>
  <c r="HG3" i="51"/>
  <c r="HN2" i="27"/>
  <c r="HG2" i="27"/>
  <c r="HF2" i="27"/>
  <c r="HM2" i="27"/>
  <c r="HF3" i="27"/>
  <c r="HN3" i="27"/>
  <c r="HM3" i="27"/>
  <c r="HG3" i="27"/>
  <c r="HF2" i="30"/>
  <c r="HN2" i="30"/>
  <c r="HM2" i="30"/>
  <c r="HG2" i="30"/>
  <c r="HG2" i="35"/>
  <c r="HN2" i="35"/>
  <c r="HF2" i="35"/>
  <c r="HM2" i="35"/>
  <c r="HF2" i="34"/>
  <c r="HM2" i="34"/>
  <c r="HN2" i="34"/>
  <c r="HG2" i="34"/>
  <c r="HF2" i="33"/>
  <c r="HN2" i="33"/>
  <c r="HM2" i="33"/>
  <c r="HG2" i="33"/>
  <c r="HG3" i="33"/>
  <c r="HF3" i="33"/>
  <c r="HM3" i="33"/>
  <c r="HN3" i="33"/>
  <c r="HF2" i="32"/>
  <c r="HN2" i="32"/>
  <c r="HG2" i="32"/>
  <c r="HM2" i="32"/>
  <c r="HG2" i="31"/>
  <c r="HF2" i="31"/>
  <c r="HN2" i="31"/>
  <c r="HM2" i="31"/>
  <c r="HG3" i="42"/>
  <c r="HF3" i="42"/>
  <c r="HN3" i="42"/>
  <c r="HM3" i="42"/>
  <c r="HG2" i="42"/>
  <c r="HN2" i="42"/>
  <c r="HM2" i="42"/>
  <c r="HF2" i="42"/>
  <c r="HF2" i="43"/>
  <c r="HM2" i="43"/>
  <c r="HN2" i="43"/>
  <c r="HG2" i="43"/>
  <c r="HF3" i="43"/>
  <c r="HG3" i="43"/>
  <c r="HM3" i="43"/>
  <c r="HN3" i="43"/>
  <c r="HF4" i="41"/>
  <c r="HG3" i="41"/>
  <c r="HN3" i="41"/>
  <c r="HM3" i="41"/>
  <c r="HF3" i="41"/>
  <c r="HM2" i="41"/>
  <c r="HG2" i="41"/>
  <c r="HN2" i="41"/>
  <c r="HF2" i="41"/>
  <c r="HF3" i="39"/>
  <c r="HN3" i="39"/>
  <c r="HM3" i="39"/>
  <c r="HF4" i="39"/>
  <c r="HN4" i="39"/>
  <c r="HM4" i="39"/>
  <c r="HG4" i="39"/>
  <c r="HG3" i="40"/>
  <c r="HM3" i="40"/>
  <c r="HN3" i="40"/>
  <c r="HF3" i="40"/>
  <c r="HG2" i="40"/>
  <c r="HF2" i="40"/>
  <c r="HN2" i="40"/>
  <c r="HM2" i="40"/>
  <c r="HN2" i="38"/>
  <c r="HG2" i="38"/>
  <c r="HM2" i="38"/>
  <c r="HF2" i="38"/>
  <c r="HG4" i="38"/>
  <c r="HN4" i="38"/>
  <c r="HF4" i="38"/>
  <c r="HM4" i="38"/>
  <c r="HM3" i="36"/>
  <c r="HG3" i="36"/>
  <c r="HN3" i="36"/>
  <c r="HF3" i="36"/>
  <c r="HG2" i="36"/>
  <c r="HN2" i="36"/>
  <c r="HM2" i="36"/>
  <c r="HF2" i="36"/>
  <c r="HF2" i="49"/>
  <c r="HM2" i="49"/>
  <c r="HG2" i="49"/>
  <c r="HN2" i="49"/>
  <c r="HG3" i="49"/>
  <c r="HF3" i="49"/>
  <c r="HM3" i="49"/>
  <c r="HN3" i="49"/>
  <c r="HG2" i="47"/>
  <c r="HF2" i="47"/>
  <c r="HN2" i="47"/>
  <c r="HM2" i="47"/>
  <c r="HM3" i="47"/>
  <c r="HG3" i="47"/>
  <c r="HF3" i="47"/>
  <c r="HN3" i="47"/>
  <c r="HN2" i="9"/>
  <c r="HM2" i="9"/>
  <c r="HG2" i="9"/>
  <c r="HF2" i="9"/>
  <c r="HN4" i="9"/>
  <c r="HM4" i="9"/>
  <c r="HG4" i="9"/>
  <c r="HF4" i="9"/>
  <c r="HF3" i="25"/>
  <c r="HN3" i="25"/>
  <c r="HG3" i="25"/>
  <c r="HM3" i="25"/>
  <c r="HG2" i="25"/>
  <c r="HM2" i="25"/>
  <c r="HN2" i="25"/>
  <c r="HF2" i="25"/>
  <c r="HF3" i="17"/>
  <c r="HG3" i="17"/>
  <c r="HM3" i="17"/>
  <c r="HN3" i="17"/>
  <c r="HG2" i="12"/>
  <c r="HM2" i="12"/>
  <c r="HN2" i="12"/>
  <c r="HF2" i="12"/>
  <c r="HF2" i="13"/>
  <c r="HG2" i="13"/>
  <c r="HN2" i="13"/>
  <c r="HM2" i="13"/>
  <c r="HM3" i="13"/>
  <c r="HF3" i="13"/>
  <c r="HG3" i="13"/>
  <c r="HN3" i="13"/>
  <c r="HN3" i="16"/>
  <c r="HG3" i="16"/>
  <c r="HM3" i="16"/>
  <c r="HF3" i="16"/>
  <c r="HG2" i="16"/>
  <c r="HN2" i="16"/>
  <c r="HF2" i="16"/>
  <c r="HM2" i="16"/>
  <c r="HM2" i="15"/>
  <c r="HG2" i="15"/>
  <c r="HN2" i="15"/>
  <c r="HF2" i="15"/>
  <c r="HF3" i="15"/>
  <c r="HG3" i="15"/>
  <c r="HM3" i="15"/>
  <c r="HN3" i="15"/>
  <c r="HN3" i="14"/>
  <c r="HF3" i="14"/>
  <c r="HG3" i="14"/>
  <c r="HM3" i="14"/>
  <c r="HF4" i="14"/>
  <c r="HG4" i="14"/>
  <c r="HM4" i="14"/>
  <c r="HN4" i="14"/>
  <c r="HN2" i="14"/>
  <c r="HG2" i="14"/>
  <c r="HM2" i="14"/>
  <c r="HF2" i="14"/>
  <c r="HG2" i="18"/>
  <c r="HF2" i="18"/>
  <c r="HN2" i="18"/>
  <c r="HM2" i="18"/>
  <c r="HG3" i="18"/>
  <c r="HF3" i="18"/>
  <c r="HN3" i="18"/>
  <c r="HM3" i="18"/>
  <c r="HG2" i="22"/>
  <c r="HN2" i="22"/>
  <c r="HF2" i="22"/>
  <c r="HM2" i="22"/>
  <c r="HF3" i="19"/>
  <c r="HN3" i="19"/>
  <c r="HM3" i="19"/>
  <c r="HG3" i="19"/>
  <c r="HM4" i="24"/>
  <c r="HG4" i="24"/>
  <c r="HF4" i="24"/>
  <c r="HN4" i="24"/>
  <c r="HN3" i="24"/>
  <c r="HF3" i="24"/>
  <c r="HG3" i="24"/>
  <c r="HM3" i="24"/>
  <c r="HF2" i="21"/>
  <c r="HG2" i="21"/>
  <c r="HM2" i="21"/>
  <c r="HN2" i="21"/>
  <c r="HG3" i="21"/>
  <c r="HF3" i="21"/>
  <c r="HM3" i="21"/>
  <c r="HN3" i="21"/>
  <c r="HG4" i="20"/>
  <c r="HM4" i="20"/>
  <c r="HF4" i="20"/>
  <c r="HN6" i="20"/>
  <c r="HG6" i="20"/>
  <c r="HF6" i="20"/>
  <c r="HN3" i="20"/>
  <c r="HG3" i="20"/>
  <c r="HG8" i="20"/>
  <c r="HF8" i="20"/>
  <c r="HN8" i="20"/>
  <c r="HM8" i="20"/>
  <c r="HG5" i="20"/>
  <c r="HF5" i="20"/>
  <c r="HN5" i="20"/>
  <c r="HM5" i="20"/>
  <c r="HM7" i="20"/>
  <c r="HG7" i="20"/>
  <c r="HF7" i="20"/>
  <c r="HN7" i="20"/>
  <c r="HN2" i="20"/>
  <c r="HG2" i="20"/>
  <c r="HM2" i="20"/>
  <c r="HF2" i="20"/>
  <c r="HN2" i="23"/>
  <c r="HG2" i="23"/>
  <c r="HF2" i="23"/>
  <c r="HM2" i="23"/>
  <c r="HG3" i="23"/>
  <c r="HF3" i="23"/>
  <c r="HM3" i="23"/>
  <c r="HN3" i="23"/>
  <c r="HF2" i="6"/>
  <c r="HM2" i="6"/>
  <c r="HG2" i="6"/>
  <c r="HN2" i="6"/>
  <c r="HG3" i="6"/>
  <c r="HN3" i="6"/>
  <c r="HF3" i="6"/>
  <c r="HM3" i="6"/>
  <c r="HN4" i="6"/>
  <c r="HG4" i="6"/>
  <c r="HM4" i="6"/>
  <c r="HF4" i="6"/>
  <c r="HF3" i="5"/>
  <c r="HG3" i="5"/>
  <c r="HM3" i="5"/>
  <c r="HN3" i="5"/>
  <c r="HF2" i="5"/>
  <c r="HM2" i="5"/>
  <c r="HN2" i="5"/>
  <c r="HG2" i="5"/>
  <c r="HG2" i="4"/>
  <c r="HN2" i="4"/>
  <c r="HF2" i="4"/>
  <c r="HM2" i="4"/>
  <c r="HN2" i="3"/>
  <c r="HG2" i="3"/>
  <c r="HM2" i="3"/>
  <c r="HF2" i="3"/>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39">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futureMetadata>
  <cellMetadata count="1">
    <bk>
      <rc t="1" v="0"/>
    </bk>
  </cellMetadata>
  <valueMetadata count="139">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valueMetadata>
</metadata>
</file>

<file path=xl/sharedStrings.xml><?xml version="1.0" encoding="utf-8"?>
<sst xmlns="http://schemas.openxmlformats.org/spreadsheetml/2006/main" count="18981" uniqueCount="1121">
  <si>
    <t>Country</t>
  </si>
  <si>
    <t>LEVEL</t>
  </si>
  <si>
    <t xml:space="preserve"> </t>
  </si>
  <si>
    <t>Subtype</t>
  </si>
  <si>
    <t>Population 2023</t>
  </si>
  <si>
    <t>Tourists 2023</t>
  </si>
  <si>
    <t>Regional</t>
  </si>
  <si>
    <t>Avg</t>
  </si>
  <si>
    <t>Flag Date</t>
  </si>
  <si>
    <t>Description</t>
  </si>
  <si>
    <t>Word count</t>
  </si>
  <si>
    <t>Bands</t>
  </si>
  <si>
    <t>Diagon</t>
  </si>
  <si>
    <t>Crosse</t>
  </si>
  <si>
    <t>Horizo</t>
  </si>
  <si>
    <t>Vertic</t>
  </si>
  <si>
    <t>Circle</t>
  </si>
  <si>
    <t>Animal</t>
  </si>
  <si>
    <t>Bird</t>
  </si>
  <si>
    <t>Plants</t>
  </si>
  <si>
    <t>Texted</t>
  </si>
  <si>
    <t>Weapon</t>
  </si>
  <si>
    <t>HasSun</t>
  </si>
  <si>
    <t>IsMoon</t>
  </si>
  <si>
    <t>Trside</t>
  </si>
  <si>
    <t>Unequa</t>
  </si>
  <si>
    <t>Center</t>
  </si>
  <si>
    <t>Canton</t>
  </si>
  <si>
    <t>Nordic</t>
  </si>
  <si>
    <t>OnlyBa</t>
  </si>
  <si>
    <t>Wavess</t>
  </si>
  <si>
    <t>Geogrh</t>
  </si>
  <si>
    <t>Humans</t>
  </si>
  <si>
    <t>Builds</t>
  </si>
  <si>
    <t>Ships!</t>
  </si>
  <si>
    <t>Crowns</t>
  </si>
  <si>
    <t>Rotate</t>
  </si>
  <si>
    <t>Waters</t>
  </si>
  <si>
    <t>Stars</t>
  </si>
  <si>
    <t>Region1</t>
  </si>
  <si>
    <t>Region2</t>
  </si>
  <si>
    <t>Region3</t>
  </si>
  <si>
    <t>Island</t>
  </si>
  <si>
    <t>StarCL</t>
  </si>
  <si>
    <t>Myr</t>
  </si>
  <si>
    <t>BANDA</t>
  </si>
  <si>
    <t>BANDM</t>
  </si>
  <si>
    <t>BANDF</t>
  </si>
  <si>
    <t>OTHER0</t>
  </si>
  <si>
    <t>OTHER1</t>
  </si>
  <si>
    <t>Colors</t>
  </si>
  <si>
    <t>UNION</t>
  </si>
  <si>
    <t>ntWHYE</t>
  </si>
  <si>
    <t>ntREWH</t>
  </si>
  <si>
    <t>diagoband</t>
  </si>
  <si>
    <t>Landlocked</t>
  </si>
  <si>
    <t>EU</t>
  </si>
  <si>
    <t>Arabic Official</t>
  </si>
  <si>
    <t>Post Soviet</t>
  </si>
  <si>
    <t>Southern Cross</t>
  </si>
  <si>
    <t>Maps</t>
  </si>
  <si>
    <t>Monarchy</t>
  </si>
  <si>
    <t>2Color</t>
  </si>
  <si>
    <t>3Color</t>
  </si>
  <si>
    <t>4Color</t>
  </si>
  <si>
    <t>5+Colo</t>
  </si>
  <si>
    <t>NoBand</t>
  </si>
  <si>
    <t>2Bands</t>
  </si>
  <si>
    <t>3Bands</t>
  </si>
  <si>
    <t>4+Band</t>
  </si>
  <si>
    <t>NoStar</t>
  </si>
  <si>
    <t>1Stars</t>
  </si>
  <si>
    <t>2Stars</t>
  </si>
  <si>
    <t>3+Star</t>
  </si>
  <si>
    <t>Name</t>
  </si>
  <si>
    <t>Flag</t>
  </si>
  <si>
    <t>2 Colors</t>
  </si>
  <si>
    <t>3 Colors</t>
  </si>
  <si>
    <t>5+ Colors</t>
  </si>
  <si>
    <t>words2</t>
  </si>
  <si>
    <t>words3</t>
  </si>
  <si>
    <t>exact2</t>
  </si>
  <si>
    <t>letter</t>
  </si>
  <si>
    <t>starts</t>
  </si>
  <si>
    <t>contains tan</t>
  </si>
  <si>
    <t>contains q</t>
  </si>
  <si>
    <t>contains V</t>
  </si>
  <si>
    <t>contains W</t>
  </si>
  <si>
    <t>contains Y</t>
  </si>
  <si>
    <t>contains Z</t>
  </si>
  <si>
    <t>color2only</t>
  </si>
  <si>
    <t>color3only</t>
  </si>
  <si>
    <t>year18</t>
  </si>
  <si>
    <t>year19</t>
  </si>
  <si>
    <t>year00</t>
  </si>
  <si>
    <t>post soviet</t>
  </si>
  <si>
    <t>only vertical</t>
  </si>
  <si>
    <t>only horizontal</t>
  </si>
  <si>
    <t>only diagonal</t>
  </si>
  <si>
    <t>Lcross</t>
  </si>
  <si>
    <t>No Bands</t>
  </si>
  <si>
    <t>2 Bands</t>
  </si>
  <si>
    <t>3 Bands</t>
  </si>
  <si>
    <t>4+ Bands</t>
  </si>
  <si>
    <t>Diagonal</t>
  </si>
  <si>
    <t>Cross</t>
  </si>
  <si>
    <t>Horizontal</t>
  </si>
  <si>
    <t>Vertical</t>
  </si>
  <si>
    <t>Text</t>
  </si>
  <si>
    <t>Has Sun</t>
  </si>
  <si>
    <t>Moon</t>
  </si>
  <si>
    <t>Nordics</t>
  </si>
  <si>
    <t>Mounts</t>
  </si>
  <si>
    <t>Ships</t>
  </si>
  <si>
    <t>Star01</t>
  </si>
  <si>
    <t>Star02</t>
  </si>
  <si>
    <t>Star03</t>
  </si>
  <si>
    <t>NO_BLU</t>
  </si>
  <si>
    <t>NO_WHI</t>
  </si>
  <si>
    <t>NO_RED</t>
  </si>
  <si>
    <t>NO_GRE</t>
  </si>
  <si>
    <t>NO_YEL</t>
  </si>
  <si>
    <t>NO_BLA</t>
  </si>
  <si>
    <t>WHGRNO</t>
  </si>
  <si>
    <t>WHYENO</t>
  </si>
  <si>
    <t>BAWHNO</t>
  </si>
  <si>
    <t>BLWHINO</t>
  </si>
  <si>
    <t>BLRENO</t>
  </si>
  <si>
    <t>WHRENO</t>
  </si>
  <si>
    <t>Band01</t>
  </si>
  <si>
    <t>Band02</t>
  </si>
  <si>
    <t>Band03</t>
  </si>
  <si>
    <t>myr</t>
  </si>
  <si>
    <t>Landlock</t>
  </si>
  <si>
    <t>NOT EU</t>
  </si>
  <si>
    <t>Arabic</t>
  </si>
  <si>
    <t>English</t>
  </si>
  <si>
    <t>French</t>
  </si>
  <si>
    <t>Spanish</t>
  </si>
  <si>
    <t>Portuguese</t>
  </si>
  <si>
    <t>German</t>
  </si>
  <si>
    <t>Dutch</t>
  </si>
  <si>
    <t>Histor</t>
  </si>
  <si>
    <t>Canton Jack</t>
  </si>
  <si>
    <t>No Star</t>
  </si>
  <si>
    <t>HasSta</t>
  </si>
  <si>
    <t>1 Star</t>
  </si>
  <si>
    <t>2 Stars</t>
  </si>
  <si>
    <t>3+Stars</t>
  </si>
  <si>
    <t>Type</t>
  </si>
  <si>
    <t>Day</t>
  </si>
  <si>
    <t>BLA</t>
  </si>
  <si>
    <t>BLU</t>
  </si>
  <si>
    <t>GRE</t>
  </si>
  <si>
    <t>RED</t>
  </si>
  <si>
    <t>YEL</t>
  </si>
  <si>
    <t>ORA</t>
  </si>
  <si>
    <t>BRO</t>
  </si>
  <si>
    <t>PUR</t>
  </si>
  <si>
    <t>WHI</t>
  </si>
  <si>
    <t>Large Cross</t>
  </si>
  <si>
    <t>Small Cross</t>
  </si>
  <si>
    <t>ID</t>
  </si>
  <si>
    <t>.</t>
  </si>
  <si>
    <t>n</t>
  </si>
  <si>
    <t>nc</t>
  </si>
  <si>
    <t>nn</t>
  </si>
  <si>
    <t>y</t>
  </si>
  <si>
    <t>Province</t>
  </si>
  <si>
    <t>EQ</t>
  </si>
  <si>
    <t>???</t>
  </si>
  <si>
    <t>Capital City</t>
  </si>
  <si>
    <t/>
  </si>
  <si>
    <t>3b</t>
  </si>
  <si>
    <t>Historical</t>
  </si>
  <si>
    <t>[UGA] Buganda</t>
  </si>
  <si>
    <t>https://upload.wikimedia.org/wikipedia/commons/thumb/a/a0/Flag_of_Buganda.svg/640px-Flag_of_Buganda.svg.png</t>
  </si>
  <si>
    <t>https://upload.wikimedia.org/wikipedia/commons/thumb/a/a0/Flag_of_Buganda.svg/2560px-Flag_of_Buganda.svg.png</t>
  </si>
  <si>
    <t>https://en.wikipedia.org/wiki/Buganda</t>
  </si>
  <si>
    <t>Buganda is a Bantu kingdom within Uganda. The kingdom of the Baganda people, Buganda is the largest of the traditional kingdoms in present-day East Africa, consisting of Uganda's Central Region, including the Ugandan capital Kampala.</t>
  </si>
  <si>
    <t>Africa</t>
  </si>
  <si>
    <t>Kingdom</t>
  </si>
  <si>
    <t>Uganda</t>
  </si>
  <si>
    <t>https://i.ibb.co/L5QVYHq/Uganda-Flag.png</t>
  </si>
  <si>
    <t>https://upload.wikimedia.org/wikipedia/commons/thumb/4/4e/Flag_of_Uganda.svg/2560px-Flag_of_Uganda.svg.png</t>
  </si>
  <si>
    <t>https://en.wikipedia.org/wiki/Flag_of_Uganda</t>
  </si>
  <si>
    <t xml:space="preserve">1962 </t>
  </si>
  <si>
    <t>The three colours are representative of native ethnic groups of Africa (black), Africa's sunshine (yellow), and African brotherhood (red being the colour of blood, through which all Africans are connected). The grey crowned crane is fabled for its gentle nature and was also the military badge of Ugandan soldiers during British rule. The raised leg of the crane symbolises the forward movement of the country.</t>
  </si>
  <si>
    <t>English, Swahili</t>
  </si>
  <si>
    <t>Zimbabwe</t>
  </si>
  <si>
    <t>https://i.ibb.co/fpkxVZq/Zimbabwe-Flag.png</t>
  </si>
  <si>
    <t>https://upload.wikimedia.org/wikipedia/commons/thumb/6/6a/Flag_of_Zimbabwe.svg/2560px-Flag_of_Zimbabwe.svg.png</t>
  </si>
  <si>
    <t>https://en.wikipedia.org/wiki/Flag_of_Zimbabwe</t>
  </si>
  <si>
    <t xml:space="preserve">1980 </t>
  </si>
  <si>
    <t xml:space="preserve"> • Green represents the agriculture and rural areas of Zimbabwe. \n • Yellow stands for the wealth of minerals in the country, predominantly gold. \n • The red symbolises the blood shed during the first and second Chimurenga (wars) in the struggle for independence. \n • The black indicates the heritage, race and ethnicity of the black majority.\n • The white triangle is a symbol for peace. \n • The golden bird, known as the Great Zimbabwe Bird (Hungwe) is the national symbol of Zimbabwe and is most likely a representation of the African fish eagle. It exemplifies the strong bond that ancestral humans had with animals, nature and spiritual guides and it is treated with a high level of importance and respect.\n • The red star represents the nation's aspirations,  taken to be socialism as promoted by the ruling Zimbabwe African National Union – Patriotic Front (ZANU-PF), and whose party flag was used as the basis for the flag of the nation.</t>
  </si>
  <si>
    <t>English,</t>
  </si>
  <si>
    <t>[ZWE] Rhodesia</t>
  </si>
  <si>
    <t>https://upload.wikimedia.org/wikipedia/commons/thumb/0/02/Flag_of_Rhodesia_%281968%E2%80%931979%29.svg/2560px-Flag_of_Rhodesia_%281968%E2%80%931979%29.svg.png</t>
  </si>
  <si>
    <t>https://en.wikipedia.org/wiki/Flag_of_Rhodesia</t>
  </si>
  <si>
    <t>A vertical bicolour triband of green, white and green with the coat of arms of Rhodesia in the centre of the white panel.</t>
  </si>
  <si>
    <t>[ZWE]Historical[ZWE] Rhodesia</t>
  </si>
  <si>
    <t>"[ZWE] Rhodesia"</t>
  </si>
  <si>
    <t>"rgn_Africa"</t>
  </si>
  <si>
    <t>"https://upload.wikimedia.org/wikipedia/commons/thumb/0/02/Flag_of_Rhodesia_%281968%E2%80%931979%29.svg/2560px-Flag_of_Rhodesia_%281968%E2%80%931979%29.svg.png"</t>
  </si>
  <si>
    <t>"5+Colo",</t>
  </si>
  <si>
    <t>"lets08",</t>
  </si>
  <si>
    <t>"startR",</t>
  </si>
  <si>
    <t>"with_w",</t>
  </si>
  <si>
    <t>"with_z",</t>
  </si>
  <si>
    <t>"year19",</t>
  </si>
  <si>
    <t>"allver",</t>
  </si>
  <si>
    <t>"3Bands",</t>
  </si>
  <si>
    <t>"Vertic",</t>
  </si>
  <si>
    <t>"Animal",</t>
  </si>
  <si>
    <t>"Plants",</t>
  </si>
  <si>
    <t>"Texted",</t>
  </si>
  <si>
    <t>"Unequa",</t>
  </si>
  <si>
    <t>"Center",</t>
  </si>
  <si>
    <t>"Geogrh",</t>
  </si>
  <si>
    <t>"NO_BLU",</t>
  </si>
  <si>
    <t>"001GRE",</t>
  </si>
  <si>
    <t>"002WHI",</t>
  </si>
  <si>
    <t>"003GRE",</t>
  </si>
  <si>
    <t>"myrGRE",</t>
  </si>
  <si>
    <t>"histor",</t>
  </si>
  <si>
    <t>"NoStar",</t>
  </si>
  <si>
    <t>"Historical"</t>
  </si>
  <si>
    <t>["5+Colo","lets08","startR","with_w","with_z","year19","allver","3Bands","Vertic","Animal","Plants","Texted","Unequa","Center","Geogrh","NO_BLU","001GRE","002WHI","003GRE","myrGRE","histor","NoStar"]</t>
  </si>
  <si>
    <t>"cl_BLA",</t>
  </si>
  <si>
    <t>"cl_GRE",</t>
  </si>
  <si>
    <t>"cl_RED",</t>
  </si>
  <si>
    <t>"cl_YEL",</t>
  </si>
  <si>
    <t>"cl_BRO",</t>
  </si>
  <si>
    <t>"cl_PUR",</t>
  </si>
  <si>
    <t>"cl_WHI",</t>
  </si>
  <si>
    <t>["cl_BLA","cl_GRE","cl_RED","cl_YEL","cl_BRO","cl_PUR","cl_WHI"]</t>
  </si>
  <si>
    <t>{couname:"[ZWE] Rhodesia",year:"1968",region:"rgn_Africa",Colors:["cl_BLA","cl_GRE","cl_RED","cl_YEL","cl_BRO","cl_PUR","cl_WHI"],Items:["5+Colo","lets08","startR","with_w","with_z","year19","allver","3Bands","Vertic","Animal","Plants","Texted","Unequa","Center","Geogrh","NO_BLU","001GRE","002WHI","003GRE","myrGRE","histor","NoStar"],Flag:"https://upload.wikimedia.org/wikipedia/commons/thumb/0/02/Flag_of_Rhodesia_%281968%E2%80%931979%29.svg/2560px-Flag_of_Rhodesia_%281968%E2%80%931979%29.svg.png",HDFlag:"https://upload.wikimedia.org/wikipedia/commons/thumb/0/02/Flag_of_Rhodesia_%281968%E2%80%931979%29.svg/2560px-Flag_of_Rhodesia_%281968%E2%80%931979%29.svg.png",type:"Historical", describe: "\nA vertical bicolour triband of green, white and green with the coat of arms of Rhodesia in the centre of the white panel.", isnew:".", links: "https://en.wikipedia.org/wiki/Flag_of_Rhodesia"},</t>
  </si>
  <si>
    <t>{couname:"[ZWE] Rhodesia",year:"1968",region:"rgn_Africa",Colors:["cl_BLA","cl_GRE","cl_RED","cl_YEL","cl_BRO","cl_PUR","cl_WHI"],Items:["5+Colo","lets08","startR","with_w","with_z","year19","allver","3Bands","Vertic","Animal","Plants","Texted","Unequa","Center","Geogrh","NO_BLU","001GRE","002WHI","003GRE","myrGRE","histor","NoStar"],Flag:"https://upload.wikimedia.org/wikipedia/commons/thumb/0/02/Flag_of_Rhodesia_%281968%E2%80%931979%29.svg/2560px-Flag_of_Rhodesia_%281968%E2%80%931979%29.svg.png",HDFlag:"https://upload.wikimedia.org/wikipedia/commons/thumb/0/02/Flag_of_Rhodesia_%281968%E2%80%931979%29.svg/2560px-Flag_of_Rhodesia_%281968%E2%80%931979%29.svg.png",type:"Historical", describe: "\nA vertical bicolour triband of green, white and green with the coat of arms of Rhodesia in the centre of the white panel.", links: "https://en.wikipedia.org/wiki/Flag_of_Rhodesia"},</t>
  </si>
  <si>
    <t>"\nA vertical bicolour triband of green, white and green with the coat of arms of Rhodesia in the centre of the white panel."</t>
  </si>
  <si>
    <t>"1968"</t>
  </si>
  <si>
    <t>"https://en.wikipedia.org/wiki/Flag_of_Rhodesia"</t>
  </si>
  <si>
    <t>{"couname":"[ZWE] Rhodesia","year":"1968","region":"rgn_Africa","Colors":["cl_BLA","cl_GRE","cl_RED","cl_YEL","cl_BRO","cl_PUR","cl_WHI"],"Items":["5+Colo","lets08","startR","with_w","with_z","year19","allver","3Bands","Vertic","Animal","Plants","Texted","Unequa","Center","Geogrh","NO_BLU","001GRE","002WHI","003GRE","myrGRE","histor","NoStar"],"Flag":"https://upload.wikimedia.org/wikipedia/commons/thumb/0/02/Flag_of_Rhodesia_%281968%E2%80%931979%29.svg/2560px-Flag_of_Rhodesia_%281968%E2%80%931979%29.svg.png","HDFlag":"https://upload.wikimedia.org/wikipedia/commons/thumb/0/02/Flag_of_Rhodesia_%281968%E2%80%931979%29.svg/2560px-Flag_of_Rhodesia_%281968%E2%80%931979%29.svg.png","type":"Historical", "describe": "\nA vertical bicolour triband of green, white and green with the coat of arms of Rhodesia in the centre of the white panel.", "isnew": ".", "links": "https://en.wikipedia.org/wiki/Flag_of_Rhodesia"},</t>
  </si>
  <si>
    <t>http://mkweb.bcgsc.ca/color-summarizer/?url=https://upload.wikimedia.org/wikipedia/commons/thumb/0/02/Flag_of_Rhodesia_%281968%E2%80%931979%29.svg/2560px-Flag_of_Rhodesia_%281968%E2%80%931979%29.svg.png&amp;precision=low&amp;num_clusters=7&amp;text=1</t>
  </si>
  <si>
    <t>"black"</t>
  </si>
  <si>
    <t>"green"</t>
  </si>
  <si>
    <t>"red"</t>
  </si>
  <si>
    <t>"yellow"</t>
  </si>
  <si>
    <t>"brown"</t>
  </si>
  <si>
    <t>"purple"</t>
  </si>
  <si>
    <t>"white"</t>
  </si>
  <si>
    <t>{"url":"http://mkweb.bcgsc.ca/color-summarizer/?url=https://upload.wikimedia.org/wikipedia/commons/thumb/0/02/Flag_of_Rhodesia_%281968%E2%80%931979%29.svg/2560px-Flag_of_Rhodesia_%281968%E2%80%931979%29.svg.png&amp;precision=low&amp;num_clusters=7&amp;text=1","name":"[ZWE] Rhodesia"},</t>
  </si>
  <si>
    <t>[ZWE] Bulawayo</t>
  </si>
  <si>
    <t>https://upload.wikimedia.org/wikipedia/commons/thumb/3/35/Flag_of_Bulawayo.svg/640px-Flag_of_Bulawayo.svg.png</t>
  </si>
  <si>
    <t>https://upload.wikimedia.org/wikipedia/commons/thumb/3/35/Flag_of_Bulawayo.svg/1280px-Flag_of_Bulawayo.svg.png</t>
  </si>
  <si>
    <t>https://en.m.wikipedia.org/wiki/Bulawayo</t>
  </si>
  <si>
    <t>The coat of arms of Bulawayo on a blue background</t>
  </si>
  <si>
    <t>City</t>
  </si>
  <si>
    <t>[ZWE]City[ZWE] Bulawayo</t>
  </si>
  <si>
    <t>"[ZWE] Bulawayo"</t>
  </si>
  <si>
    <t>"https://upload.wikimedia.org/wikipedia/commons/thumb/3/35/Flag_of_Bulawayo.svg/640px-Flag_of_Bulawayo.svg.png"</t>
  </si>
  <si>
    <t>"startB",</t>
  </si>
  <si>
    <t>"with_y",</t>
  </si>
  <si>
    <t>"year18",</t>
  </si>
  <si>
    <t>"NoBand",</t>
  </si>
  <si>
    <t>"Crosse",</t>
  </si>
  <si>
    <t>"myrBLU",</t>
  </si>
  <si>
    <t>"City"</t>
  </si>
  <si>
    <t>["5+Colo","lets08","startB","with_w","with_y","with_z","year18","NoBand","Crosse","Animal","Plants","Texted","Unequa","Center","Geogrh","myrBLU","NoStar"]</t>
  </si>
  <si>
    <t>"cl_BLU",</t>
  </si>
  <si>
    <t>["cl_BLA","cl_BLU","cl_GRE","cl_RED","cl_YEL","cl_BRO","cl_WHI"]</t>
  </si>
  <si>
    <t>{couname:"[ZWE] Bulawayo",year:"1897",region:"rgn_Africa",Colors:["cl_BLA","cl_BLU","cl_GRE","cl_RED","cl_YEL","cl_BRO","cl_WHI"],Items:["5+Colo","lets08","startB","with_w","with_y","with_z","year18","NoBand","Crosse","Animal","Plants","Texted","Unequa","Center","Geogrh","myrBLU","NoStar"],Flag:"https://upload.wikimedia.org/wikipedia/commons/thumb/3/35/Flag_of_Bulawayo.svg/640px-Flag_of_Bulawayo.svg.png",HDFlag:"https://upload.wikimedia.org/wikipedia/commons/thumb/3/35/Flag_of_Bulawayo.svg/1280px-Flag_of_Bulawayo.svg.png",type:"City", describe: "\nThe coat of arms of Bulawayo on a blue background", isnew:".", links: "https://en.m.wikipedia.org/wiki/Bulawayo"},</t>
  </si>
  <si>
    <t>{couname:"[ZWE] Bulawayo",year:"1897",region:"rgn_Africa",Colors:["cl_BLA","cl_BLU","cl_GRE","cl_RED","cl_YEL","cl_BRO","cl_WHI"],Items:["5+Colo","lets08","startB","with_w","with_y","with_z","year18","NoBand","Crosse","Animal","Plants","Texted","Unequa","Center","Geogrh","myrBLU","NoStar"],Flag:"https://upload.wikimedia.org/wikipedia/commons/thumb/3/35/Flag_of_Bulawayo.svg/640px-Flag_of_Bulawayo.svg.png",HDFlag:"https://upload.wikimedia.org/wikipedia/commons/thumb/3/35/Flag_of_Bulawayo.svg/1280px-Flag_of_Bulawayo.svg.png",type:"City", describe: "\nThe coat of arms of Bulawayo on a blue background", links: "https://en.m.wikipedia.org/wiki/Bulawayo"},</t>
  </si>
  <si>
    <t>"\nThe coat of arms of Bulawayo on a blue background"</t>
  </si>
  <si>
    <t>"1897"</t>
  </si>
  <si>
    <t>"https://en.m.wikipedia.org/wiki/Bulawayo"</t>
  </si>
  <si>
    <t>{"couname":"[ZWE] Bulawayo","year":"1897","region":"rgn_Africa","Colors":["cl_BLA","cl_BLU","cl_GRE","cl_RED","cl_YEL","cl_BRO","cl_WHI"],"Items":["5+Colo","lets08","startB","with_w","with_y","with_z","year18","NoBand","Crosse","Animal","Plants","Texted","Unequa","Center","Geogrh","myrBLU","NoStar"],"Flag":"https://upload.wikimedia.org/wikipedia/commons/thumb/3/35/Flag_of_Bulawayo.svg/640px-Flag_of_Bulawayo.svg.png","HDFlag":"https://upload.wikimedia.org/wikipedia/commons/thumb/3/35/Flag_of_Bulawayo.svg/1280px-Flag_of_Bulawayo.svg.png","type":"City", "describe": "\nThe coat of arms of Bulawayo on a blue background", "isnew": ".", "links": "https://en.m.wikipedia.org/wiki/Bulawayo"},</t>
  </si>
  <si>
    <t>http://mkweb.bcgsc.ca/color-summarizer/?url=https://upload.wikimedia.org/wikipedia/commons/thumb/3/35/Flag_of_Bulawayo.svg/640px-Flag_of_Bulawayo.svg.png&amp;precision=low&amp;num_clusters=7&amp;text=1</t>
  </si>
  <si>
    <t>"blue"</t>
  </si>
  <si>
    <t>{"url":"http://mkweb.bcgsc.ca/color-summarizer/?url=https://upload.wikimedia.org/wikipedia/commons/thumb/3/35/Flag_of_Bulawayo.svg/640px-Flag_of_Bulawayo.svg.png&amp;precision=low&amp;num_clusters=7&amp;text=1","name":"[ZWE] Bulawayo"},</t>
  </si>
  <si>
    <t>[ZWE] Other</t>
  </si>
  <si>
    <t>Zambia</t>
  </si>
  <si>
    <t>https://i.ibb.co/W3WDd74/Zambia-Flag.png</t>
  </si>
  <si>
    <t>https://upload.wikimedia.org/wikipedia/commons/thumb/0/06/Flag_of_Zambia.svg/2560px-Flag_of_Zambia.svg.png</t>
  </si>
  <si>
    <t>https://en.wikipedia.org/wiki/Flag_of_Zambia</t>
  </si>
  <si>
    <t xml:space="preserve">1964, 1996 </t>
  </si>
  <si>
    <t>It is green with an orange-coloured African fish eagle in flight over a rectangular block of three vertical stripes, coloured, from left to right: red, black and orange. The placement of the eagle and block of stripes at the flag's fly is notable as most emblems and devices on flags are placed at centre or at the hoist. Green stands for the nation's agriculture and lush flora, red for the nation's struggle for freedom, black for the Zambian people and all black Africans, and orange for the land's copper, natural resources in general, and mineral wealth. Additionally, the eagle flying above the coloured stripes is intended to represent freedom and the people's ability to rise above the nation's problems.</t>
  </si>
  <si>
    <t>[ZMB] Northern Rhodesia (1924-1964)</t>
  </si>
  <si>
    <t>https://upload.wikimedia.org/wikipedia/commons/thumb/5/56/Flag_of_Northern_Rhodesia_%281939%E2%80%931964%29.svg/640px-Flag_of_Northern_Rhodesia_%281939%E2%80%931964%29.svg.png</t>
  </si>
  <si>
    <t>https://upload.wikimedia.org/wikipedia/commons/thumb/5/56/Flag_of_Northern_Rhodesia_%281939%E2%80%931964%29.svg/1280px-Flag_of_Northern_Rhodesia_%281939%E2%80%931964%29.svg.png</t>
  </si>
  <si>
    <t>https://en.m.wikipedia.org/wiki/Northern_Rhodesia</t>
  </si>
  <si>
    <t>A canton of the British Union Jack with a blue field containing a badge of an African Fish Eagle over wavy black and white lines.</t>
  </si>
  <si>
    <t>[ZMB] Other</t>
  </si>
  <si>
    <t>[ZMB]</t>
  </si>
  <si>
    <t>[CMR] Ambazonia</t>
  </si>
  <si>
    <t>https://upload.wikimedia.org/wikipedia/commons/thumb/d/d9/Flag_of_the_Federal_Republic_of_Southern_Cameroons.svg/640px-Flag_of_the_Federal_Republic_of_Southern_Cameroons.svg.png</t>
  </si>
  <si>
    <t>https://upload.wikimedia.org/wikipedia/commons/thumb/d/d9/Flag_of_the_Federal_Republic_of_Southern_Cameroons.svg/2560px-Flag_of_the_Federal_Republic_of_Southern_Cameroons.svg.png</t>
  </si>
  <si>
    <t>https://en.wikipedia.org/wiki/Flag_of_Ambazonia</t>
  </si>
  <si>
    <t>9 alternating blue and white stripes with a blue canton, a dove with an olive branch in its mouth and a circle of stars around it.</t>
  </si>
  <si>
    <t>Territory</t>
  </si>
  <si>
    <t>[CMR] Cameroon (1960–1961)</t>
  </si>
  <si>
    <t>https://upload.wikimedia.org/wikipedia/commons/thumb/9/90/Flag_of_Cameroon_%281957%E2%80%931961%29.svg/640px-Flag_of_Cameroon_%281957%E2%80%931961%29.svg.png</t>
  </si>
  <si>
    <t>https://upload.wikimedia.org/wikipedia/commons/thumb/9/90/Flag_of_Cameroon_%281957%E2%80%931961%29.svg/2560px-Flag_of_Cameroon_%281957%E2%80%931961%29.svg.png</t>
  </si>
  <si>
    <t>https://en.wikipedia.org/wiki/List_of_Cameroonian_flags</t>
  </si>
  <si>
    <t>A Green - Red - Yellow vertical tricolor</t>
  </si>
  <si>
    <t>[CMR] Cameroon (1961–1975)</t>
  </si>
  <si>
    <t>https://upload.wikimedia.org/wikipedia/commons/thumb/d/d4/Flag_of_Cameroon_%281961%E2%80%931975%29.svg/640px-Flag_of_Cameroon_%281961%E2%80%931975%29.svg.png</t>
  </si>
  <si>
    <t>https://upload.wikimedia.org/wikipedia/commons/thumb/d/d4/Flag_of_Cameroon_%281961%E2%80%931975%29.svg/2560px-Flag_of_Cameroon_%281961%E2%80%931975%29.svg.png</t>
  </si>
  <si>
    <t>Vertical Green - Red - Yellow Tricolor with two stars in the top left symbolizing the two main languages of Cameroon - English and French</t>
  </si>
  <si>
    <t>Cameroon</t>
  </si>
  <si>
    <t>https://i.ibb.co/vjJbmfZ/Cameroon-Flag.png</t>
  </si>
  <si>
    <t>https://upload.wikimedia.org/wikipedia/commons/thumb/4/4f/Flag_of_Cameroon.svg/2560px-Flag_of_Cameroon.svg.png</t>
  </si>
  <si>
    <t>https://en.wikipedia.org/wiki/Flag_of_Cameroon</t>
  </si>
  <si>
    <t xml:space="preserve">1975 </t>
  </si>
  <si>
    <t xml:space="preserve">\n • Green represents the lush vegetation of the southern part of the country and stands for hope.\n\n • Red symbolizes unity and independence.\n\n • Yellow reflects the savannas in the northern region and stands for the sun and the prosperity it brings.\n\n • The star, often referred to as the star of unity, signifies the unity of the country​ </t>
  </si>
  <si>
    <t>English, French</t>
  </si>
  <si>
    <t>[CMR] Other</t>
  </si>
  <si>
    <t>[MWI] Bingu's Flag (2010-2012)</t>
  </si>
  <si>
    <t>https://upload.wikimedia.org/wikipedia/commons/thumb/0/08/Flag_of_Malawi_%282010%E2%80%932012%29.svg/640px-Flag_of_Malawi_%282010%E2%80%932012%29.svg.png</t>
  </si>
  <si>
    <t>https://upload.wikimedia.org/wikipedia/commons/thumb/0/08/Flag_of_Malawi_%282010%E2%80%932012%29.svg/2560px-Flag_of_Malawi_%282010%E2%80%932012%29.svg.png</t>
  </si>
  <si>
    <t>https://en.wikipedia.org/wiki/Flag_of_Malawi</t>
  </si>
  <si>
    <t>2010</t>
  </si>
  <si>
    <t>A new flag of Malawi was adopted on 29 July 2010, as proposed by the Democratic Progressive Party–led government. The stripes were altered from the previous flag to match the original Pan-African Flag layout, with the red stripe at the top, the black stripe in middle, and the green stripe at the bottom. The rising sun at the flag's top was replaced with a full, centred white sun with 45 rays representing the 'economic progress' Malawi has made since becoming independent (it was actually one of the most unsuccessful in the world after 1990). The opposition United Democratic Front announced that it would challenge the legitimacy of flag change in court. The flag was endorsed by the President of Malawi, Bingu wa Mutharika, who approved the flag change on 29 July 2010. There was much public outcry about whether there was a need to change the flag, but the process continued despite being unwelcome to much of the public. The flag was pejoratively nicknamed 'Bingu's flag' by the majority of the nation who saw it as an illegitimate flag. Many objected to the new flag, perceiving its adoption as undemocratic./n/nOn 28 May 2012, under new president Joyce Banda, Parliament voted to revert to the independence flag.[7][8]</t>
  </si>
  <si>
    <t>Malawi</t>
  </si>
  <si>
    <t>https://i.ibb.co/X5bJGgr/Malawi-Flag.png</t>
  </si>
  <si>
    <t>https://upload.wikimedia.org/wikipedia/commons/thumb/d/d1/Flag_of_Malawi.svg/2560px-Flag_of_Malawi.svg.png</t>
  </si>
  <si>
    <t xml:space="preserve">1964, 2012 </t>
  </si>
  <si>
    <t>A rising sun against a black field is also present in the coat of arms of Malawi and in the flag it officially represents the dawn of hope and freedom for the continent of Africa (when the flag was created, more countries in Africa were gaining independence from European rule). The black represents the indigenous people of the continent, the red symbolises the blood of their struggle, and the green represents nature. The flag resembles the Pan-African flag designed by Marcus Garvey's Universal Negro Improvement Association, with the red and black bands reversed and a red sun at the top.\n\nIt also resembles the flag of the now-defunct Republic of Biafra and the national flag of Afghanistan used from 1973 to 1992.</t>
  </si>
  <si>
    <t>English, Chichewa</t>
  </si>
  <si>
    <t>[MWI] Other</t>
  </si>
  <si>
    <t>[MWI]</t>
  </si>
  <si>
    <t>South Africa</t>
  </si>
  <si>
    <t>https://i.ibb.co/VQ3fwGS/South-Africa-Flag.png</t>
  </si>
  <si>
    <t>https://upload.wikimedia.org/wikipedia/commons/thumb/a/af/Flag_of_South_Africa.svg/2560px-Flag_of_South_Africa.svg.png</t>
  </si>
  <si>
    <t>https://en.wikipedia.org/wiki/Flag_of_South_Africa</t>
  </si>
  <si>
    <t xml:space="preserve">1994 </t>
  </si>
  <si>
    <t xml:space="preserve">According to official South African government information, the South African flag is a synopsis of principal elements of the country's flag history. Although different people may attribute personal symbolism to the individual colours or colour combinations, no universal symbolism should be attached to any of the colours. The only symbolism in the flag is the V or Y shape, which can be interpreted as the convergence of diverse elements within South African society, taking the road ahead in unity. Frederick Gordon Brownell who created the flag has said that the green Y-shaped part of the flag was influenced by the chasubles worn by Anglican priests, and stated that he was influenced to include it as he grew up Anglican.\n\nFrom time to time explanations of the meanings or symbolism of the flag's colours are published in various media, including official government publications and speeches by government officials.\n\nThe flag consists of the four colours of the Vierkleur, expanded by the addition of black and gold signifying South Africa's mineral wealth. Three of the colours – black, green and gold – are found in the flag of the African National Congress. The other three – red, white and blue – are used in the modern flag of the Netherlands and the flag of the United Kingdom; the colours white and blue were also found in the old flag of South Africa. </t>
  </si>
  <si>
    <t>Afrikaans, English</t>
  </si>
  <si>
    <t>[RSA] Burgers Flag</t>
  </si>
  <si>
    <t>https://upload.wikimedia.org/wikipedia/commons/thumb/0/04/South_African_Burgers_Flag.svg/640px-South_African_Burgers_Flag.svg.png</t>
  </si>
  <si>
    <t>https://upload.wikimedia.org/wikipedia/commons/thumb/0/04/South_African_Burgers_Flag.svg/1280px-South_African_Burgers_Flag.svg.png</t>
  </si>
  <si>
    <t>https://en.m.wikipedia.org/wiki/Flag_of_the_South_African_Republic</t>
  </si>
  <si>
    <t>The flag is blue, charged with a red saltire fimbriated in white.</t>
  </si>
  <si>
    <t>[RSA] Mpumalanga</t>
  </si>
  <si>
    <t>https://upload.wikimedia.org/wikipedia/commons/thumb/9/93/Flag_of_Mpumalanga_Province.svg/640px-Flag_of_Mpumalanga_Province.svg.png</t>
  </si>
  <si>
    <t>https://upload.wikimedia.org/wikipedia/commons/thumb/9/93/Flag_of_Mpumalanga_Province.svg/2560px-Flag_of_Mpumalanga_Province.svg.png</t>
  </si>
  <si>
    <t>https://en.wikipedia.org/wiki/Flag_of_Mpumalanga</t>
  </si>
  <si>
    <t xml:space="preserve">1996 </t>
  </si>
  <si>
    <t>The canton of the flag is dominated by a stylized red Barberton daisy, a plant which is indigenous to the province. The diagonal strip of blue and white separating the green and gold bars is meant to represent the escarpment of the province's topology.</t>
  </si>
  <si>
    <t>[RSA] Orange Free State</t>
  </si>
  <si>
    <t>https://upload.wikimedia.org/wikipedia/commons/thumb/6/6b/Flag_of_the_Orange_Free_State.svg/640px-Flag_of_the_Orange_Free_State.svg.png</t>
  </si>
  <si>
    <t>https://upload.wikimedia.org/wikipedia/commons/thumb/6/6b/Flag_of_the_Orange_Free_State.svg/1280px-Flag_of_the_Orange_Free_State.svg.png</t>
  </si>
  <si>
    <t>https://en.m.wikipedia.org/wiki/Flag_of_the_Orange_Free_State</t>
  </si>
  <si>
    <t>The flag consisted of seven horizontal bands of white (4) and orange (3), with the Dutch flag in the canton.</t>
  </si>
  <si>
    <t>[RSA] Orania</t>
  </si>
  <si>
    <t>https://upload.wikimedia.org/wikipedia/commons/thumb/c/c1/Orania_flag.svg/300px-Orania_flag.svg.png</t>
  </si>
  <si>
    <t>https://upload.wikimedia.org/wikipedia/commons/thumb/c/c1/Orania_flag.svg/640px-Orania_flag.svg.png</t>
  </si>
  <si>
    <t>https://www.fotw.info/flags/za%7Dorani.html</t>
  </si>
  <si>
    <t>According to the Orania Beweging, the colours are indicative of their ancestors and history, which are also to be found in the Prinzenvlag of the Netherlands, then later in the flags of the Orange Free State, the Zuid-Afrikaansche Republiek and finally in the former national flag of South Africa. The colours on the new flag of Orania have been reversed to blue, white, and orange to symbolise a fresh beginning.\n\nThe white figure so placed to overlap the blue and orange. Blue is symbolic of heaven, of faith and of devotion. White symbolises purity and peace with orange symbolising freedom, energy, protection and honour. Orange is also the symbolic colour of Orania.\n\nThe little boy rolling up his sleeves represents freedom through hard work.</t>
  </si>
  <si>
    <t>Micronation</t>
  </si>
  <si>
    <t>[RSA] South Africa (1928-1994)</t>
  </si>
  <si>
    <t>https://upload.wikimedia.org/wikipedia/commons/thumb/d/dc/Flag_of_South_Africa_%281928-1982%29.svg/640px-Flag_of_South_Africa_%281928-1982%29.svg.png</t>
  </si>
  <si>
    <t>https://upload.wikimedia.org/wikipedia/commons/thumb/d/dc/Flag_of_South_Africa_%281928-1982%29.svg/2560px-Flag_of_South_Africa_%281928-1982%29.svg.png</t>
  </si>
  <si>
    <t>https://en.wikipedia.org/wiki/Flag_of_South_Africa_(1928–1994)</t>
  </si>
  <si>
    <t>1928</t>
  </si>
  <si>
    <t>Three horizontal bands of orange, white and blue with three small flags (the Union Jack to the left, the vertical version of the flag of the Orange Free State in the center and the flag of the South African Republic to the right) centered on the white band.</t>
  </si>
  <si>
    <t>[RSA] Vierkleur</t>
  </si>
  <si>
    <t>https://upload.wikimedia.org/wikipedia/commons/thumb/d/d0/Flag_of_Transvaal.svg/640px-Flag_of_Transvaal.svg.png</t>
  </si>
  <si>
    <t>https://upload.wikimedia.org/wikipedia/commons/thumb/d/d0/Flag_of_Transvaal.svg/1280px-Flag_of_Transvaal.svg.png</t>
  </si>
  <si>
    <t>1857, 1875, 1881, 1914</t>
  </si>
  <si>
    <t>The flag symbolises freedom, glory and divinity. The red colour represents freedom; the white colour represents purity and cleanliness; the blue colour shows the faith which the Republic placed in God and the green colour represents hope.</t>
  </si>
  <si>
    <t>3c</t>
  </si>
  <si>
    <t>[RSA] Other</t>
  </si>
  <si>
    <t>[RWA] Rwanda (1961-2001)</t>
  </si>
  <si>
    <t>https://upload.wikimedia.org/wikipedia/commons/thumb/a/a8/Flag_of_Rwanda_%281961%E2%80%932001%29.svg/640px-Flag_of_Rwanda_%281961%E2%80%932001%29.svg.png</t>
  </si>
  <si>
    <t>https://upload.wikimedia.org/wikipedia/commons/thumb/a/a8/Flag_of_Rwanda_%281961%E2%80%932001%29.svg/2560px-Flag_of_Rwanda_%281961%E2%80%932001%29.svg.png</t>
  </si>
  <si>
    <t>https://en.wikipedia.org/wiki/Flag_of_Rwanda</t>
  </si>
  <si>
    <t>1961</t>
  </si>
  <si>
    <t>The colours of the flag held the following significance: red represented the blood shed for liberation, yellow represented peace and tranquillity, green represented hope and optimism, and black represented gloom and mourning. The 'R' stood for Rwanda, revolution, and referendum.</t>
  </si>
  <si>
    <t>Rwanda</t>
  </si>
  <si>
    <t>https://i.ibb.co/p1Q2qcZ/Rwanda-Flag.png</t>
  </si>
  <si>
    <t>https://upload.wikimedia.org/wikipedia/commons/thumb/1/17/Flag_of_Rwanda.svg/2560px-Flag_of_Rwanda.svg.png</t>
  </si>
  <si>
    <t xml:space="preserve">2001 </t>
  </si>
  <si>
    <t>The light blue band represents happiness and peace, the yellow band symbolizes economic development, and the green band symbolizes the hope of prosperity. The yellow sun with 24 rays represents enlightenment.</t>
  </si>
  <si>
    <t>English, French, Kinyarwanda, Swahili</t>
  </si>
  <si>
    <t>[RWA]</t>
  </si>
  <si>
    <t>[RWA] Other</t>
  </si>
  <si>
    <t>Mali</t>
  </si>
  <si>
    <t>https://i.ibb.co/0QjM3wg/Mali-Flag.png</t>
  </si>
  <si>
    <t>https://upload.wikimedia.org/wikipedia/commons/thumb/9/92/Flag_of_Mali.svg/2560px-Flag_of_Mali.svg.png</t>
  </si>
  <si>
    <t>https://en.wikipedia.org/wiki/Flag_of_Mali</t>
  </si>
  <si>
    <t xml:space="preserve">1959 </t>
  </si>
  <si>
    <t>The green stands for fertility of the land, gold stands for purity and mineral wealth, and the red symbolizes the blood shed for independence from the French.</t>
  </si>
  <si>
    <t>13 Languages</t>
  </si>
  <si>
    <t>[MLI] State of Azawad</t>
  </si>
  <si>
    <t>https://upload.wikimedia.org/wikipedia/commons/thumb/5/50/MNLA_flag.svg/1024px-MNLA_flag.svg.png</t>
  </si>
  <si>
    <t>https://upload.wikimedia.org/wikipedia/commons/thumb/5/50/MNLA_flag.svg/2560px-MNLA_flag.svg.png</t>
  </si>
  <si>
    <t>https://en.wikipedia.org/wiki/Flag_of_Azawad</t>
  </si>
  <si>
    <t>2012</t>
  </si>
  <si>
    <t>The flag of the State of Azawad, an unrecognized state that declared independence from Mali on 6 April 2012, was a horizontal green-red-black tricolour with a yellow triangle at the hoist. The symbolism behind colours to the Azawadi people are manifold as described by Moussa Ag Assarid: yellow representing the Sahara desert (in Tamacheq 'tenere'), black representing the arduous history of the Tuaregs connected to anti-colonial struggle in their many uprisings as well as their difficult way of life, red representing the blood of the Azawadi martyrs and green which represents the scant vegetation in its Saharan and Sahelian regions. It is the same as the flag of the National Movement for the Liberation of Azawad.</t>
  </si>
  <si>
    <t>Political</t>
  </si>
  <si>
    <t>[MLI] Other</t>
  </si>
  <si>
    <t>[SHN] Ascension Island</t>
  </si>
  <si>
    <t>https://upload.wikimedia.org/wikipedia/commons/thumb/6/67/Flag_of_Ascension_Island.png/320px-Flag_of_Ascension_Island.png</t>
  </si>
  <si>
    <t>https://upload.wikimedia.org/wikipedia/commons/6/67/Flag_of_Ascension_Island.png</t>
  </si>
  <si>
    <t>www</t>
  </si>
  <si>
    <t>https://en.wikipedia.org/wiki/Flag_of_Ascension_Island</t>
  </si>
  <si>
    <t>The flag is the Blue Ensign adorned with the Coat of Arms for Ascension Island.\nThe Coat of Arms, shows important symbols from the Territory, including a shield emblazoned with the Green Mountain, which is te highest point of the island, between three Wideawake Birds, endemic to the island, secured by two Green Turtles.\nThe ship comes from the Saint Helena Island (Ascension Island is a dependency of St. Helena).</t>
  </si>
  <si>
    <t>[SHN] Tristan da Cunha</t>
  </si>
  <si>
    <t>https://upload.wikimedia.org/wikipedia/commons/thumb/8/89/Flag_of_Tristan_da_Cunha.svg/640px-Flag_of_Tristan_da_Cunha.svg.png</t>
  </si>
  <si>
    <t>https://upload.wikimedia.org/wikipedia/commons/thumb/8/89/Flag_of_Tristan_da_Cunha.svg/1024px-Flag_of_Tristan_da_Cunha.svg.png</t>
  </si>
  <si>
    <t>https://en.wikipedia.org/wiki/Flag_of_Tristan_da_Cunha</t>
  </si>
  <si>
    <t>The flag is a blue ensign design, defaced with the coat of arms of Tristan da Cunha - a Tristan longboat above a Naval Crown, with a central shield decorated with four yellow-nosed albatross and flanked by two Tristan rock lobsters. Below this, there is a scroll with the territory's motto.</t>
  </si>
  <si>
    <t>Saint Helena</t>
  </si>
  <si>
    <t>https://upload.wikimedia.org/wikipedia/commons/thumb/0/00/Flag_of_Saint_Helena.svg/383px-Flag_of_Saint_Helena.svg.png</t>
  </si>
  <si>
    <t>https://upload.wikimedia.org/wikipedia/commons/thumb/0/00/Flag_of_Saint_Helena.svg/2560px-Flag_of_Saint_Helena.svg.png</t>
  </si>
  <si>
    <t>https://en.wikipedia.org/wiki/Flag_of_Saint_Helena</t>
  </si>
  <si>
    <t xml:space="preserve">1984 </t>
  </si>
  <si>
    <t>The bird on the yellow field is a Saint Helena plover that epitomises the fauna of the territory. Popularly referred to by Saint Helenians as the wirebird, it is the last species of bird that is endemic to the island, and is the official bird of Saint Helena. The Cross of Saint George flown from the three-masted sailing ship is a conspicuous symbol of the Kingdom of England, Saint Helena's mother country.</t>
  </si>
  <si>
    <t>Senegal</t>
  </si>
  <si>
    <t>https://i.ibb.co/3ztM5LQ/Senegal-Flag.png</t>
  </si>
  <si>
    <t>https://upload.wikimedia.org/wikipedia/commons/thumb/f/fd/Flag_of_Senegal.svg/2560px-Flag_of_Senegal.svg.png</t>
  </si>
  <si>
    <t>https://en.wikipedia.org/wiki/Flag_of_Senegal</t>
  </si>
  <si>
    <t xml:space="preserve">1960 </t>
  </si>
  <si>
    <t>Senegal was one of the oldest French colonies in Africa, and it was a place where leading intellectuals such as Léopold Senghor hoped to combine both European and African values. They consequently looked to the simple design of the French Tricolor as an inspiration for the flag of Senegal when the nation achieved autonomous status in 1958. This influence was clear when Senegal linked with the Sudanese Republic (now Mali) in the Mali Federation on April 4, 1959, and adopted a vertical tricolour of green-yellow-red with a central representation in black of a human figure known as the kanaga. Independence followed on August 20, 1960, but the federation ended and Senegal became a separate country with its own flag in September. \n\nSenegal retained the green-yellow-red flag but substituted a green star for the kanaga. Green is seen as a symbol of hope and of the country’s major religions, while yellow is for natural riches and the wealth derived from labour. Red recalls the independence struggle, life, and socialism. Those three pan-African colours had been used by individual political parties in Senegal in the 1950s and were also adopted by many nearby countries for their national flags, including Benin, Guinea, Ghana, Cameroon, and others.</t>
  </si>
  <si>
    <t>[SEN] French Senegal (1858-1859)</t>
  </si>
  <si>
    <t>https://upload.wikimedia.org/wikipedia/commons/thumb/6/60/Flag_of_Senegal_%281958%E2%80%931959%29.svg/640px-Flag_of_Senegal_%281958%E2%80%931959%29.svg.png</t>
  </si>
  <si>
    <t>https://upload.wikimedia.org/wikipedia/commons/thumb/6/60/Flag_of_Senegal_%281958%E2%80%931959%29.svg/2560px-Flag_of_Senegal_%281958%E2%80%931959%29.svg.png</t>
  </si>
  <si>
    <t>https://en.wikipedia.org/wiki/History_of_Senegal#French_period</t>
  </si>
  <si>
    <t>1858</t>
  </si>
  <si>
    <t>Pre-independence flag</t>
  </si>
  <si>
    <t>[SEN] Other</t>
  </si>
  <si>
    <t>[SEN]</t>
  </si>
  <si>
    <t>[SHN]</t>
  </si>
  <si>
    <t>[SOM] Somaliland</t>
  </si>
  <si>
    <t>https://upload.wikimedia.org/wikipedia/commons/thumb/4/4d/Flag_of_Somaliland.svg/640px-Flag_of_Somaliland.svg.png</t>
  </si>
  <si>
    <t>https://upload.wikimedia.org/wikipedia/commons/thumb/4/4d/Flag_of_Somaliland.svg/2560px-Flag_of_Somaliland.svg.png</t>
  </si>
  <si>
    <t>https://en.wikipedia.org/wiki/Flag_of_Somaliland</t>
  </si>
  <si>
    <t>Due to the importance of the Shahada in Islam, regulations have been made on the usage of the flag. It is forbidden for Somalis to fly the flag at half mast because it has the Shahada (which reads in Arabic 'There is no other god except God, Muhammad is the Messenger of God') written on it, and it is seen as desecration. Moreover, if a person is seen lowering the flag to half-mast, they might be charged with flag desecration. Similar rules, for the same reason, also apply to the flags of Afghanistan, Saudi Arabia and Iraq.</t>
  </si>
  <si>
    <t>Somalia</t>
  </si>
  <si>
    <t>https://i.ibb.co/0qX5fdM/Somalia-Flag.png</t>
  </si>
  <si>
    <t>https://upload.wikimedia.org/wikipedia/commons/thumb/a/a0/Flag_of_Somalia.svg/2560px-Flag_of_Somalia.svg.png</t>
  </si>
  <si>
    <t>https://en.wikipedia.org/wiki/Flag_of_Somalia</t>
  </si>
  <si>
    <t xml:space="preserve">1954 </t>
  </si>
  <si>
    <t>As an ethnic flag, the five-pointed white Star of Unity in its center represents the areas where the Somali ethnic group form the majority: Djibouti, Somaliland (former British protectorate), the Somali region in Ethiopia, the North Eastern Province in Kenya, and Somalia (Italian Somaliland). However, the flag does not represent all the Somali regions anymore, going from an ethnic flag to the national flag of Somalia only. It now officially denotes the sky as well as the Gulf of Aden, Guardafui Channel and the Somali Sea, which flank the country. The blue color of the flag was selected in tribute to the United Nations who helped to form the country of Somalia during its status as a trust territory from 1950-1960.</t>
  </si>
  <si>
    <t>Somali, Arabic</t>
  </si>
  <si>
    <t>Limited Recognition State</t>
  </si>
  <si>
    <t>[SOM]</t>
  </si>
  <si>
    <t>Seychelles</t>
  </si>
  <si>
    <t>https://i.ibb.co/Wc1xM5r/Seychelles-Flag.png</t>
  </si>
  <si>
    <t>https://upload.wikimedia.org/wikipedia/commons/thumb/f/fc/Flag_of_Seychelles.svg/2560px-Flag_of_Seychelles.svg.png</t>
  </si>
  <si>
    <t>https://en.wikipedia.org/wiki/Flag_of_Seychelles</t>
  </si>
  <si>
    <t>The oblique bands symbolize a dynamic new country moving into the future. The colour blue depicts the sky and the sea that surrounds the Seychelles. Yellow is for the sun which gives light and life, red symbolizes the people and their determination to work for the future in unity and love, while the white band represents social justice and harmony. The green depicts the land and natural environment.</t>
  </si>
  <si>
    <t>English, French, Creole</t>
  </si>
  <si>
    <t>[SYC] Seychelles (1976-1977)</t>
  </si>
  <si>
    <t>https://upload.wikimedia.org/wikipedia/commons/thumb/3/33/Flag_of_Seychelles_%281976%E2%80%931977%29.svg/640px-Flag_of_Seychelles_%281976%E2%80%931977%29.svg.png</t>
  </si>
  <si>
    <t>https://upload.wikimedia.org/wikipedia/commons/thumb/3/33/Flag_of_Seychelles_%281976%E2%80%931977%29.svg/2560px-Flag_of_Seychelles_%281976%E2%80%931977%29.svg.png</t>
  </si>
  <si>
    <t>https://en.wikipedia.org/wiki/List_of_Seychellois_flags</t>
  </si>
  <si>
    <t>1976</t>
  </si>
  <si>
    <t>A bicoloured Saltire of red and blue.</t>
  </si>
  <si>
    <t>[SYC] Seychelles (1977-1996)</t>
  </si>
  <si>
    <t>https://upload.wikimedia.org/wikipedia/commons/thumb/7/71/Flag_of_Seychelles_%281977%E2%80%931996%29.svg/640px-Flag_of_Seychelles_%281977%E2%80%931996%29.svg.png</t>
  </si>
  <si>
    <t>https://upload.wikimedia.org/wikipedia/commons/thumb/7/71/Flag_of_Seychelles_%281977%E2%80%931996%29.svg/2560px-Flag_of_Seychelles_%281977%E2%80%931996%29.svg.png</t>
  </si>
  <si>
    <t>1977</t>
  </si>
  <si>
    <t>A bicoloured field of red and green with a wavy white stripe.</t>
  </si>
  <si>
    <t>[SYC] Other</t>
  </si>
  <si>
    <t>[SYC]</t>
  </si>
  <si>
    <t>[SWZ] Swaziland (1890-1894)</t>
  </si>
  <si>
    <t>https://upload.wikimedia.org/wikipedia/commons/thumb/d/da/Flag_of_Swaziland_%28c._1890-1894%29.svg/640px-Flag_of_Swaziland_%28c._1890-1894%29.svg.png</t>
  </si>
  <si>
    <t>https://upload.wikimedia.org/wikipedia/commons/thumb/d/da/Flag_of_Swaziland_%28c._1890-1894%29.svg/2560px-Flag_of_Swaziland_%28c._1890-1894%29.svg.png</t>
  </si>
  <si>
    <t>https://en.wikipedia.org/wiki/Flag_of_Eswatini</t>
  </si>
  <si>
    <t>1890</t>
  </si>
  <si>
    <t> The Swazis established their kingdom in the mid-18th century under the leadership of Ngwane III. The country and the Swazi take their names from Mswati II, the 19th-century king under whose rule the country was expanded and unified; its boundaries were drawn up in 1881 in the midst of the Scramble for Africa.</t>
  </si>
  <si>
    <t>Eswatini</t>
  </si>
  <si>
    <t>https://upload.wikimedia.org/wikipedia/commons/thumb/f/fb/Flag_of_Eswatini.svg/383px-Flag_of_Eswatini.svg.png</t>
  </si>
  <si>
    <t>https://upload.wikimedia.org/wikipedia/commons/thumb/f/fb/Flag_of_Eswatini.svg/2560px-Flag_of_Eswatini.svg.png</t>
  </si>
  <si>
    <t xml:space="preserve">1968, 2011 </t>
  </si>
  <si>
    <t>The red stands for past battles, the blue for peace and stability, and the yellow for the resources of Eswatini. The central focus of the flag is a Nguni shield and two spears, symbolizing protection from the country's enemies. Its color is meant to show that white and black people live in peaceful coexistence in Eswatini.</t>
  </si>
  <si>
    <t>English, Swazi</t>
  </si>
  <si>
    <t>[SWZ] Other</t>
  </si>
  <si>
    <t>[SWZ]</t>
  </si>
  <si>
    <t>Sao Tome and Príncipe</t>
  </si>
  <si>
    <t>https://i.ibb.co/cgq81v2/Sao-Tome-Flag.png</t>
  </si>
  <si>
    <t>https://upload.wikimedia.org/wikipedia/commons/thumb/0/0a/Flag_of_S%C3%A3o_Tom%C3%A9_and_Pr%C3%ADncipe.svg/2560px-Flag_of_S%C3%A3o_Tom%C3%A9_and_Pr%C3%ADncipe.svg.png</t>
  </si>
  <si>
    <t>https://en.wikipedia.org/wiki/Flag_of_São_Tomé_and_Príncipe</t>
  </si>
  <si>
    <t>The green alludes to the plentiful vegetation of the country, while the yellow stands for the equator, tropical sun and cocoa, a key agricultural crop for the nation. The red evokes the struggle for independence, as well as equality. The two black stars on the yellow band represent the two islands that make up the country, and the black color represents Africa.</t>
  </si>
  <si>
    <t>[STP] Autonomous Region of Principe</t>
  </si>
  <si>
    <t>https://upload.wikimedia.org/wikipedia/commons/thumb/2/21/Flag_of_Pr%C3%ADncipe_Autonomous_Region.svg/320px-Flag_of_Pr%C3%ADncipe_Autonomous_Region.svg.png</t>
  </si>
  <si>
    <t>https://upload.wikimedia.org/wikipedia/commons/thumb/2/21/Flag_of_Pr%C3%ADncipe_Autonomous_Region.svg/800px-Flag_of_Pr%C3%ADncipe_Autonomous_Region.svg.png</t>
  </si>
  <si>
    <t>https://www.crwflags.com/fotw/flags/st-pr.html</t>
  </si>
  <si>
    <t>The flag consists of a vertical triband of green-white-blue with the national coat of arms of São Tomé and Príncipe in the canton and in the middle of the flag in the white stripe is possibly the parrot from the national coat of arms.</t>
  </si>
  <si>
    <t>Autonomous Region</t>
  </si>
  <si>
    <t>[STP]</t>
  </si>
  <si>
    <t>[TCD] Toubou People (Chad)</t>
  </si>
  <si>
    <t>https://upload.wikimedia.org/wikipedia/commons/thumb/c/c2/Flag_of_the_Toubou_people.svg/640px-Flag_of_the_Toubou_people.svg.png</t>
  </si>
  <si>
    <t>https://upload.wikimedia.org/wikipedia/commons/thumb/c/c2/Flag_of_the_Toubou_people.svg/2560px-Flag_of_the_Toubou_people.svg.png</t>
  </si>
  <si>
    <t>https://www.crwflags.com/fotw/flags/xb-toub.html</t>
  </si>
  <si>
    <t>The blue mean the sky and the water, the yellow is the land, and the black star is the tubu african man.</t>
  </si>
  <si>
    <t>People</t>
  </si>
  <si>
    <t>Chad</t>
  </si>
  <si>
    <t>https://upload.wikimedia.org/wikipedia/commons/thumb/4/4b/Flag_of_Chad.svg/2560px-Flag_of_Chad.svg.png</t>
  </si>
  <si>
    <t>https://en.wikipedia.org/wiki/Flag_of_Chad</t>
  </si>
  <si>
    <t>Chad’s flag has a design similar to Romania’s because it was partially influenced by the Romanian flag during its period as a French colony. The flag was adopted in 1959 when Chad gained independence from France. The blue symbolizes the sky and hope, the yellow represents the desert and the sun, and the red represents progress and unity.</t>
  </si>
  <si>
    <t>Arabic, French</t>
  </si>
  <si>
    <t>[TCD] Other</t>
  </si>
  <si>
    <t>[TCD]</t>
  </si>
  <si>
    <t>Togo</t>
  </si>
  <si>
    <t>https://i.ibb.co/Z89CzBV/Togo-Flag.png</t>
  </si>
  <si>
    <t>https://upload.wikimedia.org/wikipedia/commons/thumb/6/68/Flag_of_Togo.svg/2560px-Flag_of_Togo.svg.png</t>
  </si>
  <si>
    <t>https://en.wikipedia.org/wiki/Flag_of_Togo</t>
  </si>
  <si>
    <t>\n • Red represents blood shed by Togo's freedom fighters\n\n • White star represents hope\n\n • Green represents the forests, agriculture, nature, and overall hope for the future\n\n • Yellow represents the natural resources of the country\n\n • The five stripes represent the five regions of Togo.</t>
  </si>
  <si>
    <t>[TGO] French Togoland (1956-1960)</t>
  </si>
  <si>
    <t>https://upload.wikimedia.org/wikipedia/commons/thumb/a/af/Flag_of_French_Togoland_%28yellow_stars%29.png/800px-Flag_of_French_Togoland_%28yellow_stars%29.png</t>
  </si>
  <si>
    <t>https://upload.wikimedia.org/wikipedia/commons/a/af/Flag_of_French_Togoland_%28yellow_stars%29.png</t>
  </si>
  <si>
    <t>https://en.wikipedia.org/wiki/French_Togoland</t>
  </si>
  <si>
    <t>1956</t>
  </si>
  <si>
    <t>The flag was a green field with the French tricolour in the canton and two five-pointed yellow stars, one in the lower hoist and one in the upper fly. The green field represented agriculture, hope, and youth, while the two stars represented Togo's northern savannas and southern coastal plains.\nThere is also a version with white stars.</t>
  </si>
  <si>
    <t>[TGO] Other</t>
  </si>
  <si>
    <t>[SSD] Western Equatoria</t>
  </si>
  <si>
    <t>https://upload.wikimedia.org/wikipedia/commons/6/65/Flag_of_Western_Equatoria.png</t>
  </si>
  <si>
    <t>https://en.wikipedia.org/wiki/Western_Equatoria</t>
  </si>
  <si>
    <t>N/A</t>
  </si>
  <si>
    <t>State</t>
  </si>
  <si>
    <t>Mauritania</t>
  </si>
  <si>
    <t>https://i.ibb.co/r3r0Q0s/Mauritania-Flag.png</t>
  </si>
  <si>
    <t>https://upload.wikimedia.org/wikipedia/commons/thumb/4/43/Flag_of_Mauritania.svg/2560px-Flag_of_Mauritania.svg.png</t>
  </si>
  <si>
    <t>https://en.wikipedia.org/wiki/Flag_of_Mauritania</t>
  </si>
  <si>
    <t xml:space="preserve">2017 </t>
  </si>
  <si>
    <t>Green, gold and red are considered Pan-African. Green is also used to symbolise Islam, and the gold is for the sands of the Sahara desert. The red stripes, which were added to the flag in 2017, represent the efforts and sacrifices that the people of Mauritania will keep consenting, to the price of their blood, to defend their territory. The crescent and star are symbols of Islam, which is Mauritania's official and state religion.</t>
  </si>
  <si>
    <t>[MRT] Mauritania (1959-2017)</t>
  </si>
  <si>
    <t>https://upload.wikimedia.org/wikipedia/commons/thumb/8/8f/Flag_of_Mauritania_%281959%E2%80%932017%29.svg/640px-Flag_of_Mauritania_%281959%E2%80%932017%29.svg.png</t>
  </si>
  <si>
    <t>https://upload.wikimedia.org/wikipedia/commons/thumb/8/8f/Flag_of_Mauritania_%281959%E2%80%932017%29.svg/2560px-Flag_of_Mauritania_%281959%E2%80%932017%29.svg.png</t>
  </si>
  <si>
    <t>1959</t>
  </si>
  <si>
    <t xml:space="preserve">The national emblem is a flag with a crescent and a gold star on a green ground. Green is also used to symbolise Islam, and the gold is for the sands of the Sahara desert. </t>
  </si>
  <si>
    <t>[MRT] Other</t>
  </si>
  <si>
    <t>[MRT]</t>
  </si>
  <si>
    <t>[ALG] Algiers</t>
  </si>
  <si>
    <t>https://upload.wikimedia.org/wikipedia/commons/thumb/c/c6/Flag_of_Algiers.svg/640px-Flag_of_Algiers.svg.png</t>
  </si>
  <si>
    <t>https://upload.wikimedia.org/wikipedia/commons/thumb/c/c6/Flag_of_Algiers.svg/2560px-Flag_of_Algiers.svg.png</t>
  </si>
  <si>
    <t>https://en.wikipedia.org/wiki/Coat_of_arms_of_Algiers</t>
  </si>
  <si>
    <t>It shows a fortress, which symbolizes the Casbah, and a boat which symbolize the Algerian fleet, vital to the country's economy in older times, as well as two lions, which can be seen in Bab Azzoun, one of the gates of the city.\nThe crescent symbolizes Islam, the state religion, the feather to symbolize scientific and cultural development.\nThe sheaf of corn (the main crop of the country) symbolizes agriculture, while the wheel symbolizes industry (Algiers is the largest industrial center of the country).</t>
  </si>
  <si>
    <t>2 Lions</t>
  </si>
  <si>
    <t>x</t>
  </si>
  <si>
    <t>GRA</t>
  </si>
  <si>
    <t>[ALG] Emirate of Abdelkader (1832-1847)</t>
  </si>
  <si>
    <t>https://upload.wikimedia.org/wikipedia/commons/thumb/a/a1/Flag_of_the_Emirate_of_Mascara.svg/320px-Flag_of_the_Emirate_of_Mascara.svg.png</t>
  </si>
  <si>
    <t>https://upload.wikimedia.org/wikipedia/commons/thumb/a/a1/Flag_of_the_Emirate_of_Mascara.svg/640px-Flag_of_the_Emirate_of_Mascara.svg.png</t>
  </si>
  <si>
    <t>https://en.wikipedia.org/wiki/Flag_of_Algeria#Emirate_of_Abdelkader</t>
  </si>
  <si>
    <t>The Emirate of Abdelkader was a sovereign country founded by Abdelkader al-Jazairi with the allegiance of the people of Algeria to resist the French conquest of Algeria with its first capital at Mascara then Tagdemt after it was taken by France. Many flags were used in the emirate, but the most important is the green and white one used at Abdelkader's tent. In the white center was a raised hand of Fatima drawn surrounded by the words in gold 'Victory from Allah and the reconquest is near, and the victory by Emir Abdelkader'. Copies of this flag, although different in proportions, are kept in the Emir Abdelkader Museum in Miliana.</t>
  </si>
  <si>
    <t>Algeria</t>
  </si>
  <si>
    <t>https://i.ibb.co/k6GbsFg/Algeria-Flag.png</t>
  </si>
  <si>
    <t>https://upload.wikimedia.org/wikipedia/commons/thumb/7/77/Flag_of_Algeria.svg/2560px-Flag_of_Algeria.svg.png</t>
  </si>
  <si>
    <t>https://en.wikipedia.org/wiki/Flag_of_Algeria</t>
  </si>
  <si>
    <t>The flag aims to highlight Algeria's cultural heritage, but there are different interpretations of its elements. According to Malek Chebel, green represents Islam and white represents purity.For Pierre Lux-Wurm, green and white bring to mind the ancient banners of Islam from the time of the Prophet Muhammad, while the crescent and star can be seen as symbols of light. According to Khaled Merzouk, the green stripe represents the earth and agriculture, the white stripe represents peace and the crescent and star are symbols of Islam. The star represents the five pillars of Islam. Benjamin Stora suggests that the three colors of the flag originally represented the three countries of the Maghreb and the ideas of union.</t>
  </si>
  <si>
    <t>Arabic, Berber</t>
  </si>
  <si>
    <t>[ALG] Other</t>
  </si>
  <si>
    <t>[ALG]</t>
  </si>
  <si>
    <t>[LBR] Maryland County</t>
  </si>
  <si>
    <t>https://upload.wikimedia.org/wikipedia/commons/thumb/5/59/Flag_of_Maryland_County.svg/800px-Flag_of_Maryland_County.svg.png</t>
  </si>
  <si>
    <t>https://upload.wikimedia.org/wikipedia/commons/thumb/5/59/Flag_of_Maryland_County.svg/2560px-Flag_of_Maryland_County.svg.png</t>
  </si>
  <si>
    <t>https://en.m.wikipedia.org/wiki/Maryland_County</t>
  </si>
  <si>
    <t>The flag of Maryland County consists of a drawing of a tree and a lighthouse on a cliff with a small Liberian flag in the upper left corner.</t>
  </si>
  <si>
    <t>County</t>
  </si>
  <si>
    <t>Liberia</t>
  </si>
  <si>
    <t>https://upload.wikimedia.org/wikipedia/commons/thumb/b/b8/Flag_of_Liberia.svg/2560px-Flag_of_Liberia.svg.png</t>
  </si>
  <si>
    <t>https://en.wikipedia.org/wiki/Flag_of_Liberia</t>
  </si>
  <si>
    <t xml:space="preserve">1847 </t>
  </si>
  <si>
    <t>The eleven stripes symbolize the signatories of the Liberian Declaration of Independence and the red and white symbolize courage and moral excellence. The white star represents the first independent republic in Africa, above the blue square representing the African continent. The Liberian flag is modeled after and resembles the United States flag because Liberia was founded, colonized, established, and controlled by free people of color and formerly enslaved black people from the United States and the Caribbean</t>
  </si>
  <si>
    <t>[LBR]</t>
  </si>
  <si>
    <t>Guinea-Bissau</t>
  </si>
  <si>
    <t>https://i.ibb.co/mRR3dJL/Guinea-Bissau-Flag.png</t>
  </si>
  <si>
    <t>https://upload.wikimedia.org/wikipedia/commons/thumb/0/01/Flag_of_Guinea-Bissau.svg/2560px-Flag_of_Guinea-Bissau.svg.png</t>
  </si>
  <si>
    <t>https://en.wikipedia.org/wiki/Flag_of_Guinea-Bissau</t>
  </si>
  <si>
    <t xml:space="preserve">1973 </t>
  </si>
  <si>
    <t>Like the former flag of Cape Verde, the flag is based on that of the African Party for the Independence of Guinea and Cape Verde (PAIGC). The party was established in 1956 to peacefully campaign for independence from Portugal during its Estado Novo regime, but turned to armed conflict in the 1960s and was one of the belligerents in the 1963–74 Guinea-Bissau War of Independence. It is still the dominant party in Guinea-Bissau. The PAIGC party flag was derived from that of Ghana, which was the first design to use the Pan-African combination of red, yellow, green, and black in 1957.\n\nIn the Ghanaian view, the black star stands for the unity of Africa. Red stands for the blood shed during the struggle for independence, yellow stands for the sun, and green represents hope.\n\nThe flag features the traditional Pan-African colors of gold, green, red, and also the Black Star of Africa. The flag's design is heavily influenced by the flag of Ghana. The colors have the same meanings: specifically, the red is for the blood of martyrs, green for forests, and gold for mineral wealth</t>
  </si>
  <si>
    <t>[GNB] Bissau</t>
  </si>
  <si>
    <t>https://upload.wikimedia.org/wikipedia/commons/thumb/4/49/Bandeira_Bissau.PNG/1024px-Bandeira_Bissau.PNG</t>
  </si>
  <si>
    <t>https://upload.wikimedia.org/wikipedia/commons/4/49/Bandeira_Bissau.PNG</t>
  </si>
  <si>
    <t>https://en.wikipedia.org/wiki/Bissau</t>
  </si>
  <si>
    <t>[GIN] Conakry</t>
  </si>
  <si>
    <t>https://upload.wikimedia.org/wikipedia/commons/thumb/8/87/Flag_of_Conakry.jpg/800px-Flag_of_Conakry.jpg</t>
  </si>
  <si>
    <t>https://upload.wikimedia.org/wikipedia/commons/8/87/Flag_of_Conakry.jpg</t>
  </si>
  <si>
    <t>https://en.wikipedia.org/wiki/Conakry</t>
  </si>
  <si>
    <t>Seal of the city in a white background.</t>
  </si>
  <si>
    <t>Guinea</t>
  </si>
  <si>
    <t>https://i.ibb.co/NmRXjj0/Guinea-Flag.png</t>
  </si>
  <si>
    <t>https://upload.wikimedia.org/wikipedia/commons/thumb/e/ed/Flag_of_Guinea.svg/2560px-Flag_of_Guinea.svg.png</t>
  </si>
  <si>
    <t>https://en.wikipedia.org/wiki/Flag_of_Guinea</t>
  </si>
  <si>
    <t xml:space="preserve">1958 </t>
  </si>
  <si>
    <t>Red symbolizes the blood of anti-colonialist martyrs, the labor of the working classes, and the wish for progress; yellow represents Guinean gold, as well as the sun, which is the source of energy, generosity and equality for all men to which he gives light equally; and green represents the country's vegetation, continued prosperity arising from its natural resources, and the historically difficult life of the Guinean masses who live in the countryside. In turn, the symbolism behind each of the three colors corresponds to the three components of the national motto: Travail, Justice, Solidarité (Work, Justice, Solidarity).\n\nIn keeping with other flags in the region, the Pan-African movement's colors of red, yellow, and green are used.</t>
  </si>
  <si>
    <t>[GIN]</t>
  </si>
  <si>
    <t>Ghana</t>
  </si>
  <si>
    <t>https://i.ibb.co/tcvq1Vn/Ghana-Flag.png</t>
  </si>
  <si>
    <t>https://upload.wikimedia.org/wikipedia/commons/thumb/1/19/Flag_of_Ghana.svg/2560px-Flag_of_Ghana.svg.png</t>
  </si>
  <si>
    <t>https://en.wikipedia.org/wiki/Flag_of_Ghana</t>
  </si>
  <si>
    <t xml:space="preserve">1957 </t>
  </si>
  <si>
    <t>The flag was adopted upon the independence of the Dominion of Ghana on March 6, 1957. It was designed the same year by Theodosia Okoh, a renowned Ghanaian artist. The flag was flown until 1964 and it was then reinstated in 1966. The flag of Ghana consists of the Ethiopian Pan-African colours of red, yellow, and green in horizontal stripes with a black five-pointed star in the centre of the gold stripe. The Ghanaian flag was the second African flag after the flag of the Ethiopian Empire to feature these colours, although the colours are inverted. The design of the Ghanaian flag influenced the designs of the flags of Guinea-Bissau (1973) and São Tomé and Príncipe (1975).</t>
  </si>
  <si>
    <t>[GHA] Accra</t>
  </si>
  <si>
    <t>https://upload.wikimedia.org/wikipedia/commons/thumb/c/cd/Flag_of_Accra.svg/320px-Flag_of_Accra.svg.png</t>
  </si>
  <si>
    <t>https://upload.wikimedia.org/wikipedia/commons/thumb/c/cd/Flag_of_Accra.svg/800px-Flag_of_Accra.svg.png</t>
  </si>
  <si>
    <t>https://www.crwflags.com/fotw/flags/gh-accra.html</t>
  </si>
  <si>
    <t>The flag consists of the seal of Accra superimposed in the center on a green field. The coat of arms seems to be a full achievement of arms, with blue and white mantling, a branch of peaches for crest, and a white scroll reading 'GA SƐ GBƐ DZI GBƐ'. The shield seems to be Argent two flames and on a pale azure is a palm tree Proper and on a chief Sable a representation of the city skyline Or.</t>
  </si>
  <si>
    <t>[GHA]</t>
  </si>
  <si>
    <t>[ETH] Addis Ababa</t>
  </si>
  <si>
    <t>https://upload.wikimedia.org/wikipedia/commons/thumb/6/6f/Flag_of_Addis_Ababa.svg/640px-Flag_of_Addis_Ababa.svg.png</t>
  </si>
  <si>
    <t>https://upload.wikimedia.org/wikipedia/commons/thumb/6/6f/Flag_of_Addis_Ababa.svg/2560px-Flag_of_Addis_Ababa.svg.png</t>
  </si>
  <si>
    <t>https://en.wikipedia.org/wiki/Addis_Ababa</t>
  </si>
  <si>
    <t>Seal of the City on a white Background</t>
  </si>
  <si>
    <t>[ETH] Ethiopian Empire</t>
  </si>
  <si>
    <t>https://upload.wikimedia.org/wikipedia/commons/thumb/f/ff/Flag_of_Ethiopia_%281897%E2%80%931974%29.svg/640px-Flag_of_Ethiopia_%281897%E2%80%931974%29.svg.png</t>
  </si>
  <si>
    <t>https://upload.wikimedia.org/wikipedia/commons/thumb/f/ff/Flag_of_Ethiopia_%281897%E2%80%931974%29.svg/2560px-Flag_of_Ethiopia_%281897%E2%80%931974%29.svg.png</t>
  </si>
  <si>
    <t>https://en.wikipedia.org/wiki/Flag_of_Ethiopia#</t>
  </si>
  <si>
    <t>1913, 1941</t>
  </si>
  <si>
    <t>The flag is the Flag of Ethiopia but with the Lion of Judah</t>
  </si>
  <si>
    <t>[ETH] Other</t>
  </si>
  <si>
    <t>Ethiopia</t>
  </si>
  <si>
    <t>https://i.ibb.co/BB0ZyxG/Ethiopia-Flag.png</t>
  </si>
  <si>
    <t>https://upload.wikimedia.org/wikipedia/commons/thumb/7/71/Flag_of_Ethiopia.svg/2560px-Flag_of_Ethiopia.svg.png</t>
  </si>
  <si>
    <t>https://en.wikipedia.org/wiki/Flag_of_Ethiopia</t>
  </si>
  <si>
    <t xml:space="preserve">1996, 2009 </t>
  </si>
  <si>
    <t>The star represents the unity of all Ethiopian nationalities, its rays the bright prospects for their future. Blue is for peace, yellow for hope, justice, and equality. Red represents sacrifice for freedom and equality, while green is equated with labour, development, and fertility.</t>
  </si>
  <si>
    <t>Afar
Amharic
Oromo
Somali
Tigrinya</t>
  </si>
  <si>
    <t>[ETH]</t>
  </si>
  <si>
    <t>Eritrea</t>
  </si>
  <si>
    <t>https://i.ibb.co/2jC2Wxc/Eritrea-Flag.png</t>
  </si>
  <si>
    <t>https://upload.wikimedia.org/wikipedia/commons/thumb/2/29/Flag_of_Eritrea.svg/2560px-Flag_of_Eritrea.svg.png</t>
  </si>
  <si>
    <t>https://en.wikipedia.org/wiki/Flag_of_Eritrea</t>
  </si>
  <si>
    <t xml:space="preserve">1995 </t>
  </si>
  <si>
    <t>The green color in the flag stands for the agriculture and livestock of the country, while the blue represents the bounty of the sea. The red stands for the blood shed in the struggle for Eritrean independence, with the 30 leaves in the wreath representing the thirty years spent in the struggle for independence.  The shape of the red triangle broadly mimics the shape of the country.</t>
  </si>
  <si>
    <t>Tigrinya</t>
  </si>
  <si>
    <t>[ERI] Eritrea (1952-1961)</t>
  </si>
  <si>
    <t>https://upload.wikimedia.org/wikipedia/commons/thumb/1/1e/Flag_of_Eritrea_%281952-1961%29.svg/2560px-Flag_of_Eritrea_%281952-1961%29.svg.png</t>
  </si>
  <si>
    <t>https://en.wikipedia.org/wiki/Federation_of_Ethiopia_and_Eritrea</t>
  </si>
  <si>
    <t>1952</t>
  </si>
  <si>
    <t>Not available</t>
  </si>
  <si>
    <t>[ERI] Other</t>
  </si>
  <si>
    <t>[ERI]</t>
  </si>
  <si>
    <t>[EQG] Centro Sur</t>
  </si>
  <si>
    <t>https://www.crwflags.com/fotw/images/g/gq-cs.gif</t>
  </si>
  <si>
    <t>https://www.crwflags.com/fotw/flags/gq-prov.html</t>
  </si>
  <si>
    <t>[EQG] Malabo</t>
  </si>
  <si>
    <t>https://upload.wikimedia.org/wikipedia/commons/thumb/c/cf/Bandera_de_la_Ciudad_Malabo.png/640px-Bandera_de_la_Ciudad_Malabo.png</t>
  </si>
  <si>
    <t>https://upload.wikimedia.org/wikipedia/commons/c/cf/Bandera_de_la_Ciudad_Malabo.png</t>
  </si>
  <si>
    <t>https://en.wikipedia.org/wiki/List_of_flags_of_Equatorial_Guinea</t>
  </si>
  <si>
    <t>A cyan field with the coat of arms in the center.</t>
  </si>
  <si>
    <t>Equatorial Guinea</t>
  </si>
  <si>
    <t>https://i.ibb.co/jH6h4M3/Equatorial-Guinea-Flag.png</t>
  </si>
  <si>
    <t>https://upload.wikimedia.org/wikipedia/commons/thumb/3/31/Flag_of_Equatorial_Guinea.svg/2560px-Flag_of_Equatorial_Guinea.svg.png</t>
  </si>
  <si>
    <t>https://en.wikipedia.org/wiki/Flag_of_Equatorial_Guinea</t>
  </si>
  <si>
    <t xml:space="preserve">1979 </t>
  </si>
  <si>
    <t>Green symbolizes the natural resources, agriculture and jungles of the country. Blue symbolizes the sea, which connects the mainland with the islands. White symbolizes peace. Red symbolizes the bloodshed by the fighters for independence. \n\nThe arms consists of a silver shield with a silk-cotton tree, or Ceiba in the local language, which was derived from the arms of Rio Muni. Above the shield is an arc of 6 six-pointed yellow stars, that represent Rio Muni and the offshore islands. Beneath the shield is a silver scroll with the national motto, Unidad, Paz, Justicia (Unity, Peace, Justice). It is considered that under a silk-cotton tree a treaty was signed between Spain and a local ruler that marked the beginning of the colonial rule.</t>
  </si>
  <si>
    <t>French, Portuguese, Spanish</t>
  </si>
  <si>
    <t>[EQG]</t>
  </si>
  <si>
    <t>Egypt</t>
  </si>
  <si>
    <t>https://i.ibb.co/grvKyVf/Egypt-Flag.png</t>
  </si>
  <si>
    <t>https://upload.wikimedia.org/wikipedia/commons/thumb/f/fe/Flag_of_Egypt.svg/2560px-Flag_of_Egypt.svg.png</t>
  </si>
  <si>
    <t>https://en.wikipedia.org/wiki/Flag_of_Egypt</t>
  </si>
  <si>
    <t>\n • Red: Represents the struggle for freedom against oppression.\n\n • White: Symbolizes the revolution of 1952, which led to the establishment of the Republic of Egypt.\n\n • Black: Signifies the end of the oppression of the people.\n\n • Golden Eagle: Represents the strength and unity of the Egyptian people.</t>
  </si>
  <si>
    <t>[EGY] Kingdom of Egypt (1922-1952)</t>
  </si>
  <si>
    <t>https://upload.wikimedia.org/wikipedia/commons/thumb/3/38/Flag_of_Egypt_%281922-1958%29.svg/640px-Flag_of_Egypt_%281922-1958%29.svg.png</t>
  </si>
  <si>
    <t>https://upload.wikimedia.org/wikipedia/commons/thumb/3/38/Flag_of_Egypt_%281922-1958%29.svg/2560px-Flag_of_Egypt_%281922-1958%29.svg.png</t>
  </si>
  <si>
    <t>https://en.wikipedia.org/wiki/Kingdom_of_Egypt</t>
  </si>
  <si>
    <t>The flag consists of a green background with a white crescent containing three five-pointed white stars. The three stars symbolised the three component territories of the Kingdom, namely Egypt, Nubia, and Sudan, while the green signifies the agricultural nature of the country, other sources suggest that it symbolised the predominant religion of the country, Islam.</t>
  </si>
  <si>
    <t>[EGY] Sharqia Governorate</t>
  </si>
  <si>
    <t>https://upload.wikimedia.org/wikipedia/commons/thumb/b/bd/Flag_Of_Sharkia_Governorate.svg/640px-Flag_Of_Sharkia_Governorate.svg.png</t>
  </si>
  <si>
    <t>https://upload.wikimedia.org/wikipedia/commons/thumb/b/bd/Flag_Of_Sharkia_Governorate.svg/2560px-Flag_Of_Sharkia_Governorate.svg.png</t>
  </si>
  <si>
    <t>https://en.m.wikipedia.org/wiki/Sharqia_Governorate#</t>
  </si>
  <si>
    <t>Green field background with white silhouette of a jumping horse in center</t>
  </si>
  <si>
    <t>Governorate</t>
  </si>
  <si>
    <t>[EGY] Other</t>
  </si>
  <si>
    <t>[DJI] Djibouti Naval Jack</t>
  </si>
  <si>
    <t>https://upload.wikimedia.org/wikipedia/commons/thumb/6/67/Djibouti_Naval_Jack.png/508px-Djibouti_Naval_Jack.png</t>
  </si>
  <si>
    <t>https://upload.wikimedia.org/wikipedia/commons/6/67/Djibouti_Naval_Jack.png</t>
  </si>
  <si>
    <t>https://en.wikipedia.org/wiki/List_of_Djibouti_flags</t>
  </si>
  <si>
    <t>Naval Jack of Djibouti</t>
  </si>
  <si>
    <t>Naval</t>
  </si>
  <si>
    <t>Djibouti</t>
  </si>
  <si>
    <t>https://i.ibb.co/6rL67nK/Djibouti-Flag.png</t>
  </si>
  <si>
    <t>https://upload.wikimedia.org/wikipedia/commons/thumb/3/34/Flag_of_Djibouti.svg/2560px-Flag_of_Djibouti.svg.png</t>
  </si>
  <si>
    <t>https://en.wikipedia.org/wiki/Flag_of_Djibouti</t>
  </si>
  <si>
    <t xml:space="preserve">1977 </t>
  </si>
  <si>
    <t>The flag combines the basic layout and colors from the flag of the Front de Libération de la Côte des Somalis. The light blue represents the sky and the sea, as well as the Somalis, green represents the everlasting green of the earth, as well as the Afars, white represents the colour of peace and the five point red star represents unity, the blood shed by the martyrs of independence, as well as Djibouti being one of the five regions inhabited by the Somali people.</t>
  </si>
  <si>
    <t>[DJI] Other</t>
  </si>
  <si>
    <t>[DJI]</t>
  </si>
  <si>
    <t>DR Congo</t>
  </si>
  <si>
    <t>https://i.ibb.co/4f8px2k/DR-Congo-Flag.png</t>
  </si>
  <si>
    <t>https://upload.wikimedia.org/wikipedia/commons/thumb/6/6f/Flag_of_the_Democratic_Republic_of_the_Congo.svg/2560px-Flag_of_the_Democratic_Republic_of_the_Congo.svg.png</t>
  </si>
  <si>
    <t>https://en.wikipedia.org/wiki/Flag_of_the_Democratic_Republic_of_the_Congo</t>
  </si>
  <si>
    <t xml:space="preserve">2006 </t>
  </si>
  <si>
    <t>Blue represents peace. Red stands for the blood of the country's martyrs, yellow the country's wealth; and the star symbol the future for the country.</t>
  </si>
  <si>
    <t>[DRC] South Kasai</t>
  </si>
  <si>
    <t>https://upload.wikimedia.org/wikipedia/commons/thumb/e/e5/Flag_of_South_Kasai.svg/640px-Flag_of_South_Kasai.svg.png</t>
  </si>
  <si>
    <t>https://upload.wikimedia.org/wikipedia/commons/thumb/e/e5/Flag_of_South_Kasai.svg/2560px-Flag_of_South_Kasai.svg.png</t>
  </si>
  <si>
    <t>https://en.wikipedia.org/wiki/South_Kasai</t>
  </si>
  <si>
    <t>Two horizontal stripes in red and green, with a yellow V in the middle. Various flags had different sizes of the V, with some reaching to the end. The meaning of the flag is unclear, with South Kasai only existing for a few years during the Congo Crisis</t>
  </si>
  <si>
    <t>[DRC] Other</t>
  </si>
  <si>
    <t>[DRC]</t>
  </si>
  <si>
    <t>[CPV] Cape Verde (1975-1992)</t>
  </si>
  <si>
    <t>https://upload.wikimedia.org/wikipedia/commons/thumb/b/bf/Flag_of_Cape_Verde_%281975%E2%80%931992%29.svg/640px-Flag_of_Cape_Verde_%281975%E2%80%931992%29.svg.png</t>
  </si>
  <si>
    <t>https://upload.wikimedia.org/wikipedia/commons/thumb/b/bf/Flag_of_Cape_Verde_%281975%E2%80%931992%29.svg/2560px-Flag_of_Cape_Verde_%281975%E2%80%931992%29.svg.png</t>
  </si>
  <si>
    <t>https://en.wikipedia.org/wiki/Flag_of_Cape_Verde</t>
  </si>
  <si>
    <t>1992</t>
  </si>
  <si>
    <t>The original national flag of Cape Verde was introduced on independence in 1975 and was based on the flag of the African Party for the Independence of Guinea and Cape Verde (PAIGC). It used the common African colours of red, green and yellow, and was identical to the flag of Guinea-Bissau except for the proportions and the charge in the hoist-side stripe. Their similarity evoked the plans to unite both countries, which were abandoned shortly after independence. Guinea-Bissau gained independence on 10 September 1974.</t>
  </si>
  <si>
    <t>Cape Verde</t>
  </si>
  <si>
    <t>https://i.ibb.co/gF5snpg/Cape-Verde-Flag.png</t>
  </si>
  <si>
    <t>https://upload.wikimedia.org/wikipedia/commons/thumb/3/38/Flag_of_Cape_Verde.svg/2560px-Flag_of_Cape_Verde.svg.png</t>
  </si>
  <si>
    <t xml:space="preserve">1992 </t>
  </si>
  <si>
    <t>The 10 stars on the flag represent the main islands of the nation (a chain of islands off the coast of West Africa). The blue represents the ocean and the sky. The band of white and red represents the road toward the construction of the nation, and its colours stand for peace (white) and effort (red).</t>
  </si>
  <si>
    <t>[CPV] Other</t>
  </si>
  <si>
    <t>Comoros</t>
  </si>
  <si>
    <t>https://i.ibb.co/WyjTJMx/Comoros-Flag.png</t>
  </si>
  <si>
    <t>https://upload.wikimedia.org/wikipedia/commons/thumb/9/94/Flag_of_the_Comoros.svg/2560px-Flag_of_the_Comoros.svg.png</t>
  </si>
  <si>
    <t>https://en.wikipedia.org/wiki/Flag_of_the_Comoros</t>
  </si>
  <si>
    <t>The flag has four stripes, representing the four main islands of the nation: yellow for Mohéli, white for Mayotte (a French department claimed by the Comoros), red for Anjouan and blue for Grande Comore. The four stars on the flag also symbolize the four islands. The star and crescent, as well as the colour green on the flag, symbolise their main religion, Islam.</t>
  </si>
  <si>
    <t>Arabic, Comorian, French</t>
  </si>
  <si>
    <t>[COM] Anjouan</t>
  </si>
  <si>
    <t>https://upload.wikimedia.org/wikipedia/commons/thumb/a/a6/Flag_of_Anjouan_%28official%29.svg/383px-Flag_of_Anjouan_%28official%29.svg.png</t>
  </si>
  <si>
    <t>https://upload.wikimedia.org/wikipedia/commons/thumb/a/a6/Flag_of_Anjouan_%28official%29.svg/2560px-Flag_of_Anjouan_%28official%29.svg.png</t>
  </si>
  <si>
    <t>https://en.wikipedia.org/wiki/Anjouan</t>
  </si>
  <si>
    <t xml:space="preserve">2012 </t>
  </si>
  <si>
    <t>Anjouan is an autonomous volcanic island in the Comoro Islands in the southwestern Indian Ocean, part of the Union of the Comoros.</t>
  </si>
  <si>
    <t>Autonomous Island</t>
  </si>
  <si>
    <t>[COM] Grande Comore</t>
  </si>
  <si>
    <t>https://upload.wikimedia.org/wikipedia/commons/thumb/3/33/Flag_of_Grande_Comore.svg/383px-Flag_of_Grande_Comore.svg.png</t>
  </si>
  <si>
    <t>https://upload.wikimedia.org/wikipedia/commons/thumb/3/33/Flag_of_Grande_Comore.svg/2560px-Flag_of_Grande_Comore.svg.png</t>
  </si>
  <si>
    <t>https://en.wikipedia.org/wiki/Grande_Comore</t>
  </si>
  <si>
    <t xml:space="preserve">2002 </t>
  </si>
  <si>
    <t xml:space="preserve">Grande Comore (Ngazidja) is an island in Comoros off the coast of Africa. It is the largest island in the Comoros nation. The island's capital is Moroni, which is also the national capital. The island is made up of two shield volcanoes, with Mount Karthala being the country's highest point at 2,361 m (7,746 ft) above sea level. </t>
  </si>
  <si>
    <t>[COM] Moheli</t>
  </si>
  <si>
    <t>https://upload.wikimedia.org/wikipedia/commons/thumb/c/c2/Flag_of_Moh%C3%A9li_%28official%29.svg/383px-Flag_of_Moh%C3%A9li_%28official%29.svg.png</t>
  </si>
  <si>
    <t>https://upload.wikimedia.org/wikipedia/commons/thumb/c/c2/Flag_of_Moh%C3%A9li_%28official%29.svg/2560px-Flag_of_Moh%C3%A9li_%28official%29.svg.png</t>
  </si>
  <si>
    <t>https://en.wikipedia.org/wiki/Mohéli</t>
  </si>
  <si>
    <t xml:space="preserve">2003 </t>
  </si>
  <si>
    <t>Mohéli, also known as Mwali, is an autonomously-governed island that forms part of the Union of the Comoros. It is the smallest of the three major islands in the country.</t>
  </si>
  <si>
    <t>[COM]</t>
  </si>
  <si>
    <t>[COG] Kingdom of Congo (1390-1914)</t>
  </si>
  <si>
    <t>https://upload.wikimedia.org/wikipedia/commons/thumb/d/d5/Flag_of_the_Kingdom_of_Kongo_according_to_Giovanni_Cavazzi_da_Montecuccolo.svg/640px-Flag_of_the_Kingdom_of_Kongo_according_to_Giovanni_Cavazzi_da_Montecuccolo.svg.png</t>
  </si>
  <si>
    <t>https://upload.wikimedia.org/wikipedia/commons/thumb/d/d5/Flag_of_the_Kingdom_of_Kongo_according_to_Giovanni_Cavazzi_da_Montecuccolo.svg/2560px-Flag_of_the_Kingdom_of_Kongo_according_to_Giovanni_Cavazzi_da_Montecuccolo.svg.png</t>
  </si>
  <si>
    <t>https://en.wikipedia.org/wiki/Kingdom_of_Kongo</t>
  </si>
  <si>
    <t>1390</t>
  </si>
  <si>
    <t>Flag according to Giovanni Cavazzi da Montecuccolo, 1650s</t>
  </si>
  <si>
    <t>Congo</t>
  </si>
  <si>
    <t>https://i.ibb.co/P95t5MT/Congo-Flag.png</t>
  </si>
  <si>
    <t>https://upload.wikimedia.org/wikipedia/commons/thumb/9/92/Flag_of_the_Republic_of_the_Congo.svg/2560px-Flag_of_the_Republic_of_the_Congo.svg.png</t>
  </si>
  <si>
    <t>https://en.wikipedia.org/wiki/Flag_of_the_Republic_of_the_Congo</t>
  </si>
  <si>
    <t xml:space="preserve">1959, 1991 </t>
  </si>
  <si>
    <t>The green symbolizes the agriculture and forests of the Congo, while the yellow represents the friendship and nobility of the Congolese people. However, the symbolism behind the red was left unexplained. From a continental viewpoint, the green, yellow and red are the colours of the Pan-Africanist movement; it is the only Pan-Africanist flag to utilize a diagonal pattern in its design. They are also 3 of the colors utilized in the flag of Ethiopia, the oldest independent country in Africa and the only nation other than Liberia to remain independent during the Scramble for Africa.</t>
  </si>
  <si>
    <t>[COG] Other</t>
  </si>
  <si>
    <t>Ivory Coast</t>
  </si>
  <si>
    <t>https://i.ibb.co/YWGTcsw/Ivory-Coast-Flag.png</t>
  </si>
  <si>
    <t>https://upload.wikimedia.org/wikipedia/commons/thumb/f/fe/Flag_of_C%C3%B4te_d%27Ivoire.svg/2560px-Flag_of_C%C3%B4te_d%27Ivoire.svg.png</t>
  </si>
  <si>
    <t>https://en.wikipedia.org/wiki/Flag_of_Ivory_Coast</t>
  </si>
  <si>
    <t>The flag unites the colors of the three great landscapes of the Ivory Coast: green forest, white lagoon and orange savanna</t>
  </si>
  <si>
    <t>[CIV] Abidjan</t>
  </si>
  <si>
    <t>https://upload.wikimedia.org/wikipedia/commons/thumb/c/c3/Flag_of_Abidjan.png/640px-Flag_of_Abidjan.png</t>
  </si>
  <si>
    <t>https://upload.wikimedia.org/wikipedia/commons/c/c3/Flag_of_Abidjan.png</t>
  </si>
  <si>
    <t>https://en.wikipedia.org/wiki/Abidjan</t>
  </si>
  <si>
    <t>[CIV]</t>
  </si>
  <si>
    <t>[CAF] Imperial Standard of Bokassa I (1976-1979)</t>
  </si>
  <si>
    <t>https://upload.wikimedia.org/wikipedia/commons/thumb/5/5e/Imperial_Standard_of_Bokassa_I_%281976%E2%80%931979%29.svg/640px-Imperial_Standard_of_Bokassa_I_%281976%E2%80%931979%29.svg.png</t>
  </si>
  <si>
    <t>https://upload.wikimedia.org/wikipedia/commons/thumb/5/5e/Imperial_Standard_of_Bokassa_I_%281976%E2%80%931979%29.svg/2560px-Imperial_Standard_of_Bokassa_I_%281976%E2%80%931979%29.svg.png</t>
  </si>
  <si>
    <t>https://en.wikipedia.org/wiki/Flag_of_the_Central_African_Republic</t>
  </si>
  <si>
    <t>Used as a co-flag of the Central African Empire from 1976 until 1979</t>
  </si>
  <si>
    <t>Central African Republic</t>
  </si>
  <si>
    <t>https://i.ibb.co/98tpDQw/Central-African-Republic.png</t>
  </si>
  <si>
    <t>https://upload.wikimedia.org/wikipedia/commons/thumb/6/6f/Flag_of_the_Central_African_Republic.svg/2560px-Flag_of_the_Central_African_Republic.svg.png</t>
  </si>
  <si>
    <t>https://en.wikipedia.org/wiki/Flag_of_Central_African_Republic</t>
  </si>
  <si>
    <t>The colours chosen are intended to be symbolic of France (blue and white) and Africa (green and yellow) with the red vertical stripe connecting them both in unity, and the respect that Europeans and Africans should have for each other. The yellow star is intended to be indicative of independence as well as a symbol of African unity, progress and tolerance</t>
  </si>
  <si>
    <t>French, Sango</t>
  </si>
  <si>
    <t>[CAF] Other</t>
  </si>
  <si>
    <t>[CAF]</t>
  </si>
  <si>
    <t>Botswana</t>
  </si>
  <si>
    <t>https://i.ibb.co/Zh8R3pL/Botswana-Flag.png</t>
  </si>
  <si>
    <t>https://upload.wikimedia.org/wikipedia/commons/thumb/f/fa/Flag_of_Botswana.svg/2560px-Flag_of_Botswana.svg.png</t>
  </si>
  <si>
    <t>https://en.wikipedia.org/wiki/Flag_of_Botswana</t>
  </si>
  <si>
    <t xml:space="preserve">1966 </t>
  </si>
  <si>
    <t>The light blue represents water—specifically, in its form of rain, as it is a precious resource in Botswana, which relies on agriculture and suffers from frequent droughts due to the dry and arid climate of the Kalahari Desert. The blue also alludes to the motto featured on the coat of arms of Botswana—Pula, which means 'Let there be rain' in Setswana—as well as life, which is sustained by water.\n\nThe black band with the white frame has two meanings. Firstly, they symbolise the harmony and cooperation between the people of different races who live in Botswana, as well as the racial diversity of the country. Furthermore, they represent the stripes of the zebra, the national animal of Botswana.</t>
  </si>
  <si>
    <t>[BWA] Gaborone</t>
  </si>
  <si>
    <t>https://upload.wikimedia.org/wikipedia/commons/thumb/8/8c/Flag_of_Gaborone.svg/640px-Flag_of_Gaborone.svg.png</t>
  </si>
  <si>
    <t>https://upload.wikimedia.org/wikipedia/commons/thumb/8/8c/Flag_of_Gaborone.svg/2560px-Flag_of_Gaborone.svg.png</t>
  </si>
  <si>
    <t>https://en.wikipedia.org/wiki/Gaborone</t>
  </si>
  <si>
    <t>Blue background with the city's CoA</t>
  </si>
  <si>
    <t>[BWA]</t>
  </si>
  <si>
    <t>[BDI] Martyazo</t>
  </si>
  <si>
    <t>https://upload.wikimedia.org/wikipedia/commons/thumb/1/1f/Flag_of_Martyazo.svg/640px-Flag_of_Martyazo.svg.png</t>
  </si>
  <si>
    <t>https://upload.wikimedia.org/wikipedia/commons/thumb/1/1f/Flag_of_Martyazo.svg/2560px-Flag_of_Martyazo.svg.png</t>
  </si>
  <si>
    <t>https://en.wikipedia.org/wiki/Martyazo</t>
  </si>
  <si>
    <t>1972</t>
  </si>
  <si>
    <t>Burundi</t>
  </si>
  <si>
    <t>https://i.ibb.co/qNjcPNn/Burundi-Flag.png</t>
  </si>
  <si>
    <t>https://upload.wikimedia.org/wikipedia/commons/thumb/5/50/Flag_of_Burundi.svg/2560px-Flag_of_Burundi.svg.png</t>
  </si>
  <si>
    <t>https://en.wikipedia.org/wiki/Flag_of_Burundi</t>
  </si>
  <si>
    <t xml:space="preserve">1967, 1982 </t>
  </si>
  <si>
    <t>The white color of the saltire represents peace, green represents the nation's hopes placed on future development, and red symbolizes the suffering of the nation during its freedom struggle. The three stars in triangular configuration stand for the three ethnic groups of Burundi: the Hutu, the Twa and the Tutsi. The three stars also stand for the three elements of the national motto: Unité, Travail, Progrès (Unity, Work and Progress),</t>
  </si>
  <si>
    <t>French, Kirundi, English</t>
  </si>
  <si>
    <t>[BDI] Other</t>
  </si>
  <si>
    <t>[BDI]</t>
  </si>
  <si>
    <t>Burkina Faso</t>
  </si>
  <si>
    <t>https://i.ibb.co/cw4wN6n/Burkina-Faso-Flag.png</t>
  </si>
  <si>
    <t>https://upload.wikimedia.org/wikipedia/commons/thumb/3/31/Flag_of_Burkina_Faso.svg/2560px-Flag_of_Burkina_Faso.svg.png</t>
  </si>
  <si>
    <t>https://en.wikipedia.org/wiki/Flag_of_Burkina_Faso</t>
  </si>
  <si>
    <t>The flag uses the Pan-African colours of Ethiopia, reflecting both a break with the country's colonial past and its unity with other African ex-colonies. The red is also said to symbolize the revolution and the green the abundance of agricultural and natural riches. The yellow star placed over the red and green stripes represents the guiding light of the revolution. The flag was adopted following the coup of 1983 which brought Thomas Sankara to power.</t>
  </si>
  <si>
    <t>Mooré, Bissa, Dyula, Fula</t>
  </si>
  <si>
    <t>[BFA] Republic of Upper Volta</t>
  </si>
  <si>
    <t>https://upload.wikimedia.org/wikipedia/commons/thumb/4/4a/Flag_of_Upper_Volta.svg/640px-Flag_of_Upper_Volta.svg.png</t>
  </si>
  <si>
    <t>https://upload.wikimedia.org/wikipedia/commons/thumb/4/4a/Flag_of_Upper_Volta.svg/2560px-Flag_of_Upper_Volta.svg.png</t>
  </si>
  <si>
    <t>https://en.wikipedia.org/wiki/Republic_of_Upper_Volta</t>
  </si>
  <si>
    <t>1960</t>
  </si>
  <si>
    <t>The national flag of the Republic of Upper Volta was introduced upon gaining independence from France on 5 August 1960. It consisted of three equal horizontal bands of black, white, and red. It was almost identical to the flag of the German Empire, with the only difference being a slightly duller shade of red.</t>
  </si>
  <si>
    <t>[BFA] Other</t>
  </si>
  <si>
    <t>[BFA]</t>
  </si>
  <si>
    <t>[GMB] Gambia (1889-1965)</t>
  </si>
  <si>
    <t>https://upload.wikimedia.org/wikipedia/commons/thumb/c/c8/Flag_of_The_Gambia_%281889%E2%80%931965%29.svg/640px-Flag_of_The_Gambia_%281889%E2%80%931965%29.svg.png</t>
  </si>
  <si>
    <t>https://upload.wikimedia.org/wikipedia/commons/thumb/c/c8/Flag_of_The_Gambia_%281889%E2%80%931965%29.svg/2560px-Flag_of_The_Gambia_%281889%E2%80%931965%29.svg.png</t>
  </si>
  <si>
    <t>https://en.wikipedia.org/wiki/Flag_of_the_Gambia</t>
  </si>
  <si>
    <t>1889</t>
  </si>
  <si>
    <t>Gambia</t>
  </si>
  <si>
    <t>https://i.ibb.co/ZYxLrKh/Gambia-Flag.png</t>
  </si>
  <si>
    <t>https://upload.wikimedia.org/wikipedia/commons/thumb/7/77/Flag_of_The_Gambia.svg/2560px-Flag_of_The_Gambia.svg.png</t>
  </si>
  <si>
    <t xml:space="preserve">1965 </t>
  </si>
  <si>
    <t>The blue alludes to the Gambia River, which is the nation's key geographical feature and from which the country derives its name. The red evokes the sun – given the Gambia's close proximity to the Equator – as well as the savanna, while the thin white stripes represent unity and peace. The green epitomizes the forest and the agricultural goods that the Gambian people are heavily dependent on, both for exports and their personal use.</t>
  </si>
  <si>
    <t>[GMB] Other</t>
  </si>
  <si>
    <t>Gabon</t>
  </si>
  <si>
    <t>https://i.ibb.co/0V5HtgH/Gabon-Flag.png</t>
  </si>
  <si>
    <t>https://upload.wikimedia.org/wikipedia/commons/thumb/0/04/Flag_of_Gabon.svg/2560px-Flag_of_Gabon.svg.png</t>
  </si>
  <si>
    <t>https://en.wikipedia.org/wiki/Flag_of_Gabon</t>
  </si>
  <si>
    <t>The yellow alludes to the Equator – which cuts across the country – and also symbolizes the sun. The green epitomizes the natural resources of Gabon, as well as its extensive forested area that the Gabonese people are economically dependent on in the form of lumber. The blue represents the sea, specifically the South Atlantic Ocean along which the country has an extensive coast.</t>
  </si>
  <si>
    <t>[GAB] Gabon (1959-1960)</t>
  </si>
  <si>
    <t>https://upload.wikimedia.org/wikipedia/commons/thumb/1/19/Flag_of_Gabon_%281959%E2%80%931960%29.svg/2560px-Flag_of_Gabon_%281959%E2%80%931960%29.svg.png</t>
  </si>
  <si>
    <t>https://en.wikipedia.org/wiki/Flag_of_Gabon#Historical_flags</t>
  </si>
  <si>
    <t>Horizontal green and blue bands separated by thinner yellow band at the center, with the French Tricolor at the canton.</t>
  </si>
  <si>
    <t>[GAB] Other</t>
  </si>
  <si>
    <t>[GAB]</t>
  </si>
  <si>
    <t>[BEN] Royal Flag of King Ghezo</t>
  </si>
  <si>
    <t>https://upload.wikimedia.org/wikipedia/commons/thumb/b/b1/Flag_of_Ghezo_of_Dahomey.svg/640px-Flag_of_Ghezo_of_Dahomey.svg.png</t>
  </si>
  <si>
    <t>https://upload.wikimedia.org/wikipedia/commons/thumb/b/b1/Flag_of_Ghezo_of_Dahomey.svg/1280px-Flag_of_Ghezo_of_Dahomey.svg.png</t>
  </si>
  <si>
    <t>https://en.m.wikipedia.org/wiki/Flag_of_Benin</t>
  </si>
  <si>
    <t>A white field with a red border and an elephant in the center.</t>
  </si>
  <si>
    <t>Benin</t>
  </si>
  <si>
    <t>https://upload.wikimedia.org/wikipedia/commons/thumb/0/0a/Flag_of_Benin.svg/640px-Flag_of_Benin.svg.png</t>
  </si>
  <si>
    <t>https://upload.wikimedia.org/wikipedia/commons/thumb/0/0a/Flag_of_Benin.svg/2560px-Flag_of_Benin.svg.png</t>
  </si>
  <si>
    <t>https://en.wikipedia.org/wiki/Flag_of_Benin</t>
  </si>
  <si>
    <t xml:space="preserve">1959, 1990 </t>
  </si>
  <si>
    <t xml:space="preserve"> • As stated in the national anthem, the green of the flag represent the hope of a new democracy.The red represents the courage of the ancestors, and the yellow is for the treasures of the nation. \n\n •  On a continental level, the yellow, green and red represented the Pan-Africanist movement; the three colours were utilized by the African Democratic Rally, a political party representing the interests of French West Africa in the National Assembly of France at the time of decolonization. \n\n •  Furthermore, the colours are the same as the ones utilized in the flag of Ethiopia. This honours the oldest independent country in Africa and the only nation other than Liberia to remain independent during the Scramble for Africa.</t>
  </si>
  <si>
    <t>[BEN] Other</t>
  </si>
  <si>
    <t>Angola</t>
  </si>
  <si>
    <t>https://upload.wikimedia.org/wikipedia/commons/thumb/9/9d/Flag_of_Angola.svg/320px-Flag_of_Angola.svg.png</t>
  </si>
  <si>
    <t>https://upload.wikimedia.org/wikipedia/commons/thumb/9/9d/Flag_of_Angola.svg/2560px-Flag_of_Angola.svg.png</t>
  </si>
  <si>
    <t>https://en.wikipedia.org/wiki/Flag_of_Angola</t>
  </si>
  <si>
    <t>As outlined in the Constitution of Angola, the red half of the flag signifies bloodshed – during Angola's colonial period, independence struggle, and in defense of the country. The black half symbolizes Africa. \n\nIn the central emblem, the gear represents industrial workers and production, the machete represents peasantry, agricultural production and the armed struggle, and the star, shaped like the red star, symbolizes international solidarity and progress. \n\nThe yellow color of the emblem symbolizes the country's wealth.</t>
  </si>
  <si>
    <t>[AGO] Angola (2003 Proposal)</t>
  </si>
  <si>
    <t>https://www.crwflags.com/fotw/images/a/ao_03.gif</t>
  </si>
  <si>
    <t>https://www.crwflags.com/fotw/flags/ao!.html#03</t>
  </si>
  <si>
    <t>The symbolism of the proposed National Flag was explained by a ruling MPLA party deputy, Ana Maria de Oliveira, who coordinated the sub-commission for the National Symbols.\nThe blue stripes represent Freedom, Justice and Solidarity and the white ones stand for Peace, Unity and Harmony.\nThe red stripe represents Sacrifice, tenacity and heroism, and the sun represents the historical and cultural identity and the riches of Angola.</t>
  </si>
  <si>
    <t>Proposal</t>
  </si>
  <si>
    <t>[AGO] Other</t>
  </si>
  <si>
    <t>[AGO]</t>
  </si>
  <si>
    <t>[MDG] Antananarivo</t>
  </si>
  <si>
    <t>https://upload.wikimedia.org/wikipedia/commons/thumb/4/4b/Flag_of_Antananarivo%2C_Madagascar.svg/320px-Flag_of_Antananarivo%2C_Madagascar.svg.png</t>
  </si>
  <si>
    <t>https://upload.wikimedia.org/wikipedia/commons/thumb/4/4b/Flag_of_Antananarivo%2C_Madagascar.svg/640px-Flag_of_Antananarivo%2C_Madagascar.svg.png</t>
  </si>
  <si>
    <t>https://www.fotw.info/flags/mg-antan.html</t>
  </si>
  <si>
    <t>The flag is based on the coat of arms of Antananarivo. The arms of Antananarivo were created in 1950. The shield is quartered, quadrants one and four a zebu head sable, quadrants two and three a fleur de lis or. It is surmounted by a seven-tower mural crown, the towers symbolizing the seven main cities of the island, Antsiranana, Fianarantsoa, Mahajanga, Toamasina, Antsirabé, and Toliary. The motto on the scroll below the shield is 'Ny arivo lahy tsy maty indray andro' ('Thousand men will not die in one day'), a reference to the origin of the name of the city.</t>
  </si>
  <si>
    <t>[MDG] Merina People</t>
  </si>
  <si>
    <t>https://upload.wikimedia.org/wikipedia/commons/thumb/e/e4/Flag_of_the_Merina_people.svg/640px-Flag_of_the_Merina_people.svg.png</t>
  </si>
  <si>
    <t>https://upload.wikimedia.org/wikipedia/commons/thumb/e/e4/Flag_of_the_Merina_people.svg/2560px-Flag_of_the_Merina_people.svg.png</t>
  </si>
  <si>
    <t>https://en.wikipedia.org/wiki/Merina_people</t>
  </si>
  <si>
    <t>Madagascar</t>
  </si>
  <si>
    <t>https://i.ibb.co/D9W1mLD/Madagascar-Flag.png</t>
  </si>
  <si>
    <t>https://upload.wikimedia.org/wikipedia/commons/thumb/b/bc/Flag_of_Madagascar.svg/2560px-Flag_of_Madagascar.svg.png</t>
  </si>
  <si>
    <t>https://en.wikipedia.org/wiki/Flag_of_Madagascar</t>
  </si>
  <si>
    <t>The colors of the flag represent Madagascar's history and traditional peasant classes. Red and white were the colors of the Merina kingdom, which was conquered by France in 1896. They were used in the flag of the last Merina monarch, Queen Ranavalona III. Green was the color of the Hova, the largest class of peasant commoners, who played a significant role in anti-French agitation and the independence movement.</t>
  </si>
  <si>
    <t>French, Malagasy</t>
  </si>
  <si>
    <t>[MDG] Other</t>
  </si>
  <si>
    <t>[MDG]</t>
  </si>
  <si>
    <t>Lesotho</t>
  </si>
  <si>
    <t>https://i.ibb.co/prd3xKW/Lesotho-Flag.png</t>
  </si>
  <si>
    <t>https://upload.wikimedia.org/wikipedia/commons/thumb/4/4a/Flag_of_Lesotho.svg/2560px-Flag_of_Lesotho.svg.png</t>
  </si>
  <si>
    <t>https://en.wikipedia.org/wiki/Flag_of_Lesotho</t>
  </si>
  <si>
    <t>In the center of the white band, there is a black Mokorotlo which is a Basotho hat. Basotho refers to the people of Lesotho. The blue color is symbolic of the sky and the rain, the white color is symbolic of peace, and the green color is symbolic of hope and prosperity. The design is intended to reflect a state that is both at peace internally and with its only neighbour South Africa, replacing the old flag design that featured a military emblem of a shield, spear and knobkerrie.</t>
  </si>
  <si>
    <t>Sotho, English</t>
  </si>
  <si>
    <t>[LSO] Lesotho (1966-1987)</t>
  </si>
  <si>
    <t>https://upload.wikimedia.org/wikipedia/commons/thumb/9/92/Flag_of_Lesotho_%281966%E2%80%931987%29.svg/640px-Flag_of_Lesotho_%281966%E2%80%931987%29.svg.png</t>
  </si>
  <si>
    <t>https://upload.wikimedia.org/wikipedia/commons/thumb/9/92/Flag_of_Lesotho_%281966%E2%80%931987%29.svg/2560px-Flag_of_Lesotho_%281966%E2%80%931987%29.svg.png</t>
  </si>
  <si>
    <t>1966</t>
  </si>
  <si>
    <t>The first flag of Lesotho was introduced on 4 October 1966, the day of Lesotho's full independence from the United Kingdom. It featured a prominent white mokorotlo. The blue stood for sky and rain, the white for peace, the green for land, and the red for faith.</t>
  </si>
  <si>
    <t>[LSO] Other</t>
  </si>
  <si>
    <t>[LSO]</t>
  </si>
  <si>
    <t>[LIB] Libya (1977-2011)</t>
  </si>
  <si>
    <t>https://upload.wikimedia.org/wikipedia/commons/thumb/8/84/Flag_of_Libya_%281977%E2%80%932011%2C_2-3%29.svg/640px-Flag_of_Libya_%281977%E2%80%932011%2C_2-3%29.svg.png</t>
  </si>
  <si>
    <t>https://upload.wikimedia.org/wikipedia/commons/thumb/8/84/Flag_of_Libya_%281977%E2%80%932011%2C_2-3%29.svg/2560px-Flag_of_Libya_%281977%E2%80%932011%2C_2-3%29.svg.png</t>
  </si>
  <si>
    <t>https://en.wikipedia.org/wiki/Flag_of_Libya#Historical_flags</t>
  </si>
  <si>
    <t>The flag of the Libyan Arab Jamahiriya was adopted on 19 November 1977 and consisted of a green field. It was the only national flag during that time in the world with only one colour. It was chosen by Libyan leader Muammar Gaddafi to symbolise his political philosophy (after his Green Book).The green colour traditionally symbolises Islam, reflecting the historical green banners of the Fatimid Caliphate. In Libya, green was also a colour traditionally used to represent the Tripolitania region.</t>
  </si>
  <si>
    <t>[LIB] Tripoli</t>
  </si>
  <si>
    <t>https://upload.wikimedia.org/wikipedia/commons/thumb/3/32/Flag_of_Tripoli%2C_Libya.svg/640px-Flag_of_Tripoli%2C_Libya.svg.png</t>
  </si>
  <si>
    <t>https://upload.wikimedia.org/wikipedia/commons/thumb/3/32/Flag_of_Tripoli%2C_Libya.svg/2560px-Flag_of_Tripoli%2C_Libya.svg.png</t>
  </si>
  <si>
    <t>https://en.wikipedia.org/wiki/Seal_of_Tripoli</t>
  </si>
  <si>
    <t xml:space="preserve">2011 </t>
  </si>
  <si>
    <t>The seal's design consist of a golden ship which represent the importance of the city as a port.</t>
  </si>
  <si>
    <t>Libya</t>
  </si>
  <si>
    <t>https://i.ibb.co/FKNdrfC/Libya-Flag.png</t>
  </si>
  <si>
    <t>https://upload.wikimedia.org/wikipedia/commons/thumb/0/05/Flag_of_Libya.svg/2560px-Flag_of_Libya.svg.png</t>
  </si>
  <si>
    <t>https://en.wikipedia.org/wiki/Flag_of_Libya</t>
  </si>
  <si>
    <t xml:space="preserve">1951, 2011 </t>
  </si>
  <si>
    <t>The colors, red, black, and green, represent the regions of Libya, Fezzan, Cyrenaica, and Tripolitania, respectively. The star and crescent symbolize Islam</t>
  </si>
  <si>
    <t>yy</t>
  </si>
  <si>
    <t>[LIB] Other</t>
  </si>
  <si>
    <t>Kenya</t>
  </si>
  <si>
    <t>https://i.ibb.co/r4rysg4/Kenya-Flag.png</t>
  </si>
  <si>
    <t>https://upload.wikimedia.org/wikipedia/commons/thumb/4/49/Flag_of_Kenya.svg/2560px-Flag_of_Kenya.svg.png</t>
  </si>
  <si>
    <t>https://en.wikipedia.org/wiki/Flag_of_Kenya</t>
  </si>
  <si>
    <t xml:space="preserve">1963 </t>
  </si>
  <si>
    <t>The color black represents the country's African heritage, red for the bloodshed during the fight for independence from the British colonialism, and green for the country's landscape and natural wealth. The white fimbriation was added later to symbolise peace, honesty, purity, and innocence. The black, red, and white traditional African shield and two spears symbolise the defence of all the things mentioned above. Many of both colours and symbolic values are shared with the flag of South Sudan.</t>
  </si>
  <si>
    <t>[KEN] Mombasa County</t>
  </si>
  <si>
    <t>https://upload.wikimedia.org/wikipedia/commons/thumb/f/fd/Flag_of_Mombasa.svg/640px-Flag_of_Mombasa.svg.png</t>
  </si>
  <si>
    <t>https://upload.wikimedia.org/wikipedia/commons/thumb/f/fd/Flag_of_Mombasa.svg/2560px-Flag_of_Mombasa.svg.png</t>
  </si>
  <si>
    <t>https://www.crwflags.com/fotw/flags/ke-mombc.html</t>
  </si>
  <si>
    <t>Description of the flag\nThe flag of Mombasa County has a plain white background with the county arms in the centre, a photo of which can be seen here. \nJaume Ollé, 06 Dec 2017</t>
  </si>
  <si>
    <t>[KEN] Nairobi</t>
  </si>
  <si>
    <t>https://upload.wikimedia.org/wikipedia/commons/thumb/8/84/Flag_of_Nairobi.svg/640px-Flag_of_Nairobi.svg.png</t>
  </si>
  <si>
    <t>https://upload.wikimedia.org/wikipedia/commons/thumb/8/84/Flag_of_Nairobi.svg/2560px-Flag_of_Nairobi.svg.png</t>
  </si>
  <si>
    <t>https://en.wikipedia.org/wiki/Nairobi</t>
  </si>
  <si>
    <t>[KEN]</t>
  </si>
  <si>
    <t>[MUS] Port Louis</t>
  </si>
  <si>
    <t>https://upload.wikimedia.org/wikipedia/commons/thumb/3/31/Flag_of_Port_Louis%2C_Mauritius.svg/640px-Flag_of_Port_Louis%2C_Mauritius.svg.png</t>
  </si>
  <si>
    <t>https://upload.wikimedia.org/wikipedia/commons/thumb/3/31/Flag_of_Port_Louis%2C_Mauritius.svg/2560px-Flag_of_Port_Louis%2C_Mauritius.svg.png</t>
  </si>
  <si>
    <t>https://en.wikipedia.org/wiki/List_of_Mauritian_flags</t>
  </si>
  <si>
    <t>A banner of the coat of arms of Port Louis. Four white anchors and five gold fleur-de-lis arranged on a field of dark blue.</t>
  </si>
  <si>
    <t>Mauritius</t>
  </si>
  <si>
    <t>https://i.ibb.co/ZXvX95X/Mauritius-Flag.png</t>
  </si>
  <si>
    <t>https://upload.wikimedia.org/wikipedia/commons/thumb/7/77/Flag_of_Mauritius.svg/2560px-Flag_of_Mauritius.svg.png</t>
  </si>
  <si>
    <t>https://en.wikipedia.org/wiki/Flag_of_Mauritius</t>
  </si>
  <si>
    <t xml:space="preserve">1968 </t>
  </si>
  <si>
    <t>\n • Red represents the struggle for freedom and independence.\n\n • Blue represents the Indian Ocean, in which Mauritius is situated.\n\n • Yellow represents the light of freedom shining over the island.\n\n • Green represents the agriculture of Mauritius and its colour throughout the 12 months of the year.</t>
  </si>
  <si>
    <t>English, Creole</t>
  </si>
  <si>
    <t>[MUS]</t>
  </si>
  <si>
    <t>Namibia</t>
  </si>
  <si>
    <t>https://i.ibb.co/Wkrd913/Namibia-Flag.png</t>
  </si>
  <si>
    <t>https://upload.wikimedia.org/wikipedia/commons/thumb/0/00/Flag_of_Namibia.svg/2560px-Flag_of_Namibia.svg.png</t>
  </si>
  <si>
    <t>https://en.wikipedia.org/wiki/Flag_of_Namibia</t>
  </si>
  <si>
    <t xml:space="preserve">1990 </t>
  </si>
  <si>
    <t>\n • Red – represents Namibia's most important resource, its people. It refers to their heroism and their determination to build a future of equal opportunity for all.\n\n • White – represents peace, unity, tranquility, and harmony.\n\n • Green – symbolises vegetation and agricultural resources.\n\n • Blue – represents the clear Namibian sky and the Atlantic Ocean, the country's precious water resources and rain.\n\n • Golden-yellow sun – life and energy. The golden-yellow colour represents wealth of the country.\n\n • The twelve rays of the sun – represents the twelve ethnicities of Namibia, which make up most of the Namibian population, which are divided into four main groups of three.</t>
  </si>
  <si>
    <t>[NAM] Windhoek</t>
  </si>
  <si>
    <t>https://upload.wikimedia.org/wikipedia/commons/c/c0/Flag_of_Windhoek.gif</t>
  </si>
  <si>
    <t>https://www.crwflags.com/fotw/flags/na-wind.html</t>
  </si>
  <si>
    <t>The municipal flag has a white background the municipal logo in the centre.  The logo is a stylized rendition of the Windhoek aloe (Aloe Rubrolutea) from the city’s coat of arms.   The flag has a thin golden border/fringe on all sides.</t>
  </si>
  <si>
    <t>[NAM]</t>
  </si>
  <si>
    <t>[NGA] Akwa Ibom State</t>
  </si>
  <si>
    <t>https://upload.wikimedia.org/wikipedia/commons/thumb/5/5f/Flag_of_Akwa_Ibom_State.svg/640px-Flag_of_Akwa_Ibom_State.svg.png</t>
  </si>
  <si>
    <t>https://upload.wikimedia.org/wikipedia/commons/thumb/5/5f/Flag_of_Akwa_Ibom_State.svg/2560px-Flag_of_Akwa_Ibom_State.svg.png</t>
  </si>
  <si>
    <t>https://en.m.wikipedia.org/wiki/Akwa_Ibom_State#</t>
  </si>
  <si>
    <t>There is an orange triangle on the right side. There is a white arrow like band abutting the orange triangle.  Then there is a green field. The orange and green represent the state's fertility and lushness. The white stripe represents peace and harmony.  The arrow represents progress.</t>
  </si>
  <si>
    <t>[NGA] Bayelsa State</t>
  </si>
  <si>
    <t>https://upload.wikimedia.org/wikipedia/commons/thumb/f/fe/Flag_of_Bayelsa_State.svg/640px-Flag_of_Bayelsa_State.svg.png</t>
  </si>
  <si>
    <t>https://upload.wikimedia.org/wikipedia/commons/thumb/f/fe/Flag_of_Bayelsa_State.svg/2560px-Flag_of_Bayelsa_State.svg.png</t>
  </si>
  <si>
    <t>https://en.m.wikipedia.org/wiki/Bayelsa_State#</t>
  </si>
  <si>
    <t xml:space="preserve">White field on the left. On the right are three equal horizontal bands, each with a white star on the left. The top band is blue. The middle band is red. The bottom band is green. White represents  purity honor and truthfulness of the people and their quest for justice. The blue represents abundance of waters and their inherent resources.  The red represents the memory and sacrifices of our heroes. The green represents rich vegetation. The stars represent the hopes and aspirations of our people. </t>
  </si>
  <si>
    <t>[NGA] Cross River State</t>
  </si>
  <si>
    <t>https://upload.wikimedia.org/wikipedia/commons/thumb/8/83/Cross_River_State_Flag.svg/640px-Cross_River_State_Flag.svg.png</t>
  </si>
  <si>
    <t>https://upload.wikimedia.org/wikipedia/commons/thumb/8/83/Cross_River_State_Flag.svg/2560px-Cross_River_State_Flag.svg.png</t>
  </si>
  <si>
    <t>https://en.m.wikipedia.org/wiki/Cross_River_State#</t>
  </si>
  <si>
    <t>3 horizontal bands. First band blue. Middle band white. Last band blue</t>
  </si>
  <si>
    <t>[NGA] Oyo State</t>
  </si>
  <si>
    <t>https://upload.wikimedia.org/wikipedia/commons/thumb/3/3d/Oyo_State_Flag.svg/2560px-Oyo_State_Flag.svg.png</t>
  </si>
  <si>
    <t>https://en.m.wikipedia.org/wiki/Oyo_State</t>
  </si>
  <si>
    <t xml:space="preserve">Flag has a red triangle on the hoist. The fly has a horizontal green band on top and a horizontal white band on the bottom. </t>
  </si>
  <si>
    <t xml:space="preserve">State </t>
  </si>
  <si>
    <t>Nigeria</t>
  </si>
  <si>
    <t>https://i.ibb.co/TWhWMJv/Nigeria-Flag.png</t>
  </si>
  <si>
    <t>https://upload.wikimedia.org/wikipedia/commons/thumb/7/79/Flag_of_Nigeria.svg/2560px-Flag_of_Nigeria.svg.png</t>
  </si>
  <si>
    <t>https://en.wikipedia.org/wiki/Flag_of_Nigeria</t>
  </si>
  <si>
    <t>The flag of Nigeria was designed by Michael Taiwo Akinkunmi and was officially adopted to represent Nigeria at midnight on 1 October 1960, the day the country gained independence. The flag was chosen as part of a nationwide open contest held by the government, with Akinkunmi's design being selected as the winner of a field of over three thousand entries. The flag is a vertical bicolour green-white-green design, with the green to represent agriculture and white to represent peace and unity.</t>
  </si>
  <si>
    <t>[NGA]</t>
  </si>
  <si>
    <t>[MYT] Mayotte (2004-2013)</t>
  </si>
  <si>
    <t>https://upload.wikimedia.org/wikipedia/commons/thumb/4/4a/Flag_of_Mayotte_%28local%29.svg/640px-Flag_of_Mayotte_%28local%29.svg.png</t>
  </si>
  <si>
    <t>https://upload.wikimedia.org/wikipedia/commons/thumb/4/4a/Flag_of_Mayotte_%28local%29.svg/2560px-Flag_of_Mayotte_%28local%29.svg.png</t>
  </si>
  <si>
    <t>https://en.wikipedia.org/wiki/Flag_and_coat_of_arms_of_Mayotte</t>
  </si>
  <si>
    <t>2004</t>
  </si>
  <si>
    <t>Banner used by the Departmental Council of Mayotte from 2004 to 2013</t>
  </si>
  <si>
    <t>Mayotte</t>
  </si>
  <si>
    <t>https://upload.wikimedia.org/wikipedia/commons/thumb/4/4f/Flag_of_Mayotte_%28Local%29.svg/640px-Flag_of_Mayotte_%28Local%29.svg.png</t>
  </si>
  <si>
    <t>https://upload.wikimedia.org/wikipedia/commons/thumb/4/4f/Flag_of_Mayotte_%28Local%29.svg/2560px-Flag_of_Mayotte_%28Local%29.svg.png</t>
  </si>
  <si>
    <t>2011</t>
  </si>
  <si>
    <t>Banner used by the Departmental Council of Mayotte. The escutcheon, supported by two seahorses, reads as follows: Per fess azure a crescent argent and gules two ylang-ylang flowers or; within a bordure engrelled argent. The coat of arms also displays Mayotte motto, Ra Hachiri, translated from Shimaore as 'We are vigilant'. Finally, the whole is enframed at the top by Département and at the bottom by de Mayotte, with de written vertically. The font used is Barmeno Bold.</t>
  </si>
  <si>
    <t>[MYT] Other</t>
  </si>
  <si>
    <t>[MYT]</t>
  </si>
  <si>
    <t>Reunion</t>
  </si>
  <si>
    <t>https://upload.wikimedia.org/wikipedia/commons/thumb/8/8e/Proposed_flag_of_Réunion_%28VAR%29.svg/300px-Proposed_flag_of_Réunion_%28VAR%29.svg.png</t>
  </si>
  <si>
    <t>https://upload.wikimedia.org/wikipedia/commons/thumb/8/8e/Proposed_flag_of_R%C3%A9union_%28VAR%29.svg/2560px-Proposed_flag_of_R%C3%A9union_%28VAR%29.svg.png</t>
  </si>
  <si>
    <t>https://en.wikipedia.org/wiki/Flag_of_Réunion</t>
  </si>
  <si>
    <t xml:space="preserve">2003, 2014 </t>
  </si>
  <si>
    <t>The Vexillological Association of Réunion selected a flag in 2003. It depicts the volcano of la Fournaise, bedecked by gold sunbeams. It was designed in 1974 by Guy Pignolet with help of Jean Finck and Didier Finck who called it Lö Mahavéli but it really started to be promoted once the association chose it in 2003. It does not have official recognition but since 2014, it is flying outside or on top of many public buildings, like at the town halls of Saint-Denis and Saint-Philippe, after several city councils have taken the decision to do so. The flag is included in many versions of emoji.</t>
  </si>
  <si>
    <t>[REU] Independentist Flag</t>
  </si>
  <si>
    <t>https://upload.wikimedia.org/wikipedia/commons/thumb/e/e7/Proposed_flag_of_R%C3%A9union_%28Nationalist_movement%29.svg/640px-Proposed_flag_of_R%C3%A9union_%28Nationalist_movement%29.svg.png</t>
  </si>
  <si>
    <t>https://upload.wikimedia.org/wikipedia/commons/thumb/e/e7/Proposed_flag_of_R%C3%A9union_%28Nationalist_movement%29.svg/2560px-Proposed_flag_of_R%C3%A9union_%28Nationalist_movement%29.svg.png</t>
  </si>
  <si>
    <t>1986</t>
  </si>
  <si>
    <t>Independentists and nationalists of Réunion also have their flag (green, yellow, red), created in 1986./n/nGreen symbolizes the marronage, yellow symbolizes the working class and red symbolizes the period of slavery and indentured labour imposed by the French, struck by a yellow star with five points.</t>
  </si>
  <si>
    <t>[REU]</t>
  </si>
  <si>
    <t>[SLE] Freetown</t>
  </si>
  <si>
    <t>https://upload.wikimedia.org/wikipedia/commons/thumb/4/47/Flag_of_Freetown%2C_Sierra_Leone.png/640px-Flag_of_Freetown%2C_Sierra_Leone.png</t>
  </si>
  <si>
    <t>https://upload.wikimedia.org/wikipedia/commons/4/47/Flag_of_Freetown%2C_Sierra_Leone.png</t>
  </si>
  <si>
    <t>https://en.m.wikipedia.org/wiki/Freetown</t>
  </si>
  <si>
    <t>Flag of Freetown, Sierra Leon with the coat of arms in the middle</t>
  </si>
  <si>
    <t>City, Capital</t>
  </si>
  <si>
    <t>[SLE] Sierra Leone Colony and Protectorate (1916-1961)</t>
  </si>
  <si>
    <t>https://upload.wikimedia.org/wikipedia/commons/thumb/f/f9/Flag_of_Sierra_Leone_%281916%E2%80%931961%29.svg/640px-Flag_of_Sierra_Leone_%281916%E2%80%931961%29.svg.png</t>
  </si>
  <si>
    <t>https://upload.wikimedia.org/wikipedia/commons/thumb/f/f9/Flag_of_Sierra_Leone_%281916%E2%80%931961%29.svg/2560px-Flag_of_Sierra_Leone_%281916%E2%80%931961%29.svg.png</t>
  </si>
  <si>
    <t>https://en.wikipedia.org/wiki/Sierra_Leone_Colony_and_Protectorate</t>
  </si>
  <si>
    <t>1916</t>
  </si>
  <si>
    <t xml:space="preserve">The motto of the colony and protectorate was Auspice Britannia liber (Latin for 'Free under the protection of Britain'). </t>
  </si>
  <si>
    <t>Sierra Leone</t>
  </si>
  <si>
    <t>https://i.ibb.co/wy3yWcs/Sierra-Leone-Flag.png</t>
  </si>
  <si>
    <t>https://upload.wikimedia.org/wikipedia/commons/thumb/1/17/Flag_of_Sierra_Leone.svg/2560px-Flag_of_Sierra_Leone.svg.png</t>
  </si>
  <si>
    <t>https://en.wikipedia.org/wiki/Flag_of_Sierra_Leone</t>
  </si>
  <si>
    <t xml:space="preserve">1961 </t>
  </si>
  <si>
    <t>The green alludes to the country's natural resources – specifically agriculture and its mountains. – while the white epitomizes unity and justice. The blue evokes the natural harbour of Freetown, the capital city of Sierra Leone, as well as the hope of contributing to world peace through its usage</t>
  </si>
  <si>
    <t>[SLE] Other</t>
  </si>
  <si>
    <t>Morocco</t>
  </si>
  <si>
    <t>https://i.ibb.co/4MPL9Pt/Morocco-Flag.png</t>
  </si>
  <si>
    <t>https://upload.wikimedia.org/wikipedia/commons/thumb/2/2c/Flag_of_Morocco.svg/2560px-Flag_of_Morocco.svg.png</t>
  </si>
  <si>
    <t>https://en.wikipedia.org/wiki/Flag_of_Morocco</t>
  </si>
  <si>
    <t xml:space="preserve">1915 </t>
  </si>
  <si>
    <t>\n • Red Field: The red color has historical significance in Moroccan culture, symbolizing strength, valor, bravery, and hardiness. It is also associated with the Alaouite dynasty, which has ruled Morocco since the 17th century, and it reflects the country's ties to the Arab world.\n\n • Green Pentagram: The green color represents Islam, which is the dominant religion in Morocco. Green is considered a sacred color in Islam, symbolizing peace, wisdom, and joy. The five points of the star stand for the Five Pillars of Islam, which are the basic acts of worship and foundation of a Muslim's faith and practice.</t>
  </si>
  <si>
    <t>[MAR] Western Sahara</t>
  </si>
  <si>
    <t>https://upload.wikimedia.org/wikipedia/commons/thumb/2/26/Flag_of_the_Sahrawi_Arab_Democratic_Republic.svg/640px-Flag_of_the_Sahrawi_Arab_Democratic_Republic.svg.png</t>
  </si>
  <si>
    <t>https://upload.wikimedia.org/wikipedia/commons/thumb/2/26/Flag_of_the_Sahrawi_Arab_Democratic_Republic.svg/2560px-Flag_of_the_Sahrawi_Arab_Democratic_Republic.svg.png</t>
  </si>
  <si>
    <t>https://en.wikipedia.org/wiki/Flag_of_Western_Sahara</t>
  </si>
  <si>
    <t>It is used on Sahrawi Arab Democratic Republic controlled areas, while the Moroccan flag is used on the occupied parts of Western Sahara. The green of the flag represents the Sahrawi people's hope of one day returning to their lands and the white represents peace and the purity of the Sahrawi, while the black represents anguish and grief for the martyrs and the red represents the blood spilled by all the martyrs. The star represents the SADR being an Arab republic, while the crescent represents the Sahrawi Republic being a Muslim country.</t>
  </si>
  <si>
    <t>Limited recognition State</t>
  </si>
  <si>
    <t>[MAR]</t>
  </si>
  <si>
    <t>[MOZ] Mozambique (1975–1983)</t>
  </si>
  <si>
    <t>https://upload.wikimedia.org/wikipedia/commons/thumb/f/fd/Flag_of_Mozambique_%281975%E2%80%931983%29.svg/320px-Flag_of_Mozambique_%281975%E2%80%931983%29.svg.png</t>
  </si>
  <si>
    <t>https://upload.wikimedia.org/wikipedia/commons/thumb/f/fd/Flag_of_Mozambique_%281975%E2%80%931983%29.svg/2560px-Flag_of_Mozambique_%281975%E2%80%931983%29.svg.png</t>
  </si>
  <si>
    <t>https://en.wikipedia.org/wiki/Flag_of_Mozambique</t>
  </si>
  <si>
    <t>The People's Republic of Mozambique proclaimed its independence on 25 June 1975, and a new national flag was hoisted in place of the Portuguese and FRELIMO flags. The new flag's design and significance were defined in Title IV, Article 68 of the Constitution of the People's Republic of Mozambique. The flag consisted of four diagonal stripes emanating from the upper hoist, separated by white fimbriations. The stripes were, from top to bottom, green, red, black, and yellow. Near the upper hoist was a white cogwheel, charged with a red star and an AK-47 crossed by a hoe, superimposed on an open book. The colours and symbols of the People's Republic flag retained by the current flag share the same meaning. The other symbols were given the following significance by the Mozambican government: the cogwheel represents the working class and industrial production, while the red star represents proletarian internationalism.</t>
  </si>
  <si>
    <t>Mozambique</t>
  </si>
  <si>
    <t>https://i.ibb.co/CHx2Jxm/Mozambique-Flag.png</t>
  </si>
  <si>
    <t>https://upload.wikimedia.org/wikipedia/commons/thumb/d/d0/Flag_of_Mozambique.svg/2560px-Flag_of_Mozambique.svg.png</t>
  </si>
  <si>
    <t xml:space="preserve">1983 </t>
  </si>
  <si>
    <t>Teal stands for the riches of the land, the white fimbriations signify peace, black represents the African continent, yellow symbolises the country's minerals, and red represents the struggle for independence. It includes the image of a Kalashnikov rifle with a bayonet attached to the barrel crossed by a hoe, superimposed on an open book. The rifle stands for defence and vigilance, the open book symbolises the importance of education, the hoe represents the country's agriculture, and the star symbolizes the spirit of the international solidarity of the Mozambican people.</t>
  </si>
  <si>
    <t>[MOZ] Other</t>
  </si>
  <si>
    <t>[MOZ]</t>
  </si>
  <si>
    <t>Tanzania</t>
  </si>
  <si>
    <t>https://i.ibb.co/G5Sv3wk/Tanzania-Flag.png</t>
  </si>
  <si>
    <t>https://upload.wikimedia.org/wikipedia/commons/thumb/3/38/Flag_of_Tanzania.svg/2560px-Flag_of_Tanzania.svg.png</t>
  </si>
  <si>
    <t>https://en.wikipedia.org/wiki/Flag_of_Tanzania</t>
  </si>
  <si>
    <t xml:space="preserve">1964 </t>
  </si>
  <si>
    <t>The green alludes to the natural vegetation and rich agricultural resources of the country, while black represents the Swahili people who are native to Tanzania. The blue epitomizes the Indian Ocean, as well as the nation's numerous lakes and rivers. The thin stripes stand for Tanzania's mineral wealth, derived from the rich deposits in the land.</t>
  </si>
  <si>
    <t>Swahili, English</t>
  </si>
  <si>
    <t>[TZA] Tanganyika (1961-1964)</t>
  </si>
  <si>
    <t>https://upload.wikimedia.org/wikipedia/commons/thumb/1/16/Flag_of_Tanganyika_%281961%E2%80%931964%29.svg/720px-Flag_of_Tanganyika_%281961%E2%80%931964%29.svg.png</t>
  </si>
  <si>
    <t>https://upload.wikimedia.org/wikipedia/commons/thumb/1/16/Flag_of_Tanganyika_%281961%E2%80%931964%29.svg/2560px-Flag_of_Tanganyika_%281961%E2%80%931964%29.svg.png</t>
  </si>
  <si>
    <t>https://en.wikipedia.org/wiki/Tanganyika_(1961–1964)</t>
  </si>
  <si>
    <t>Tanganyika was a sovereign state, comprising the mainland part of present-day Tanzania, that existed from 1961 until 1964. </t>
  </si>
  <si>
    <t>[TZA] Other</t>
  </si>
  <si>
    <t>[TZA]</t>
  </si>
  <si>
    <t>[TUN] Bey of Tunis (1827-1881)</t>
  </si>
  <si>
    <t>https://upload.wikimedia.org/wikipedia/commons/thumb/5/51/Flag_of_the_Bey_of_Tunis.svg/640px-Flag_of_the_Bey_of_Tunis.svg.png</t>
  </si>
  <si>
    <t>https://upload.wikimedia.org/wikipedia/commons/thumb/5/51/Flag_of_the_Bey_of_Tunis.svg/2400px-Flag_of_the_Bey_of_Tunis.svg.png</t>
  </si>
  <si>
    <t>https://en.m.wikipedia.org/wiki/List_of_Tunisian_flags</t>
  </si>
  <si>
    <t>A 7 horizontal striped banner with 4 red strips, 2 golden and 1 green with 31 6–pointed stars, 24 discs and a 2 pointed sword in the center.</t>
  </si>
  <si>
    <t>[TUN] Ottoman Tunisia (1705-1827)</t>
  </si>
  <si>
    <t>https://upload.wikimedia.org/wikipedia/commons/thumb/b/bf/Tunisian_flag_till_1831.svg/640px-Tunisian_flag_till_1831.svg.png</t>
  </si>
  <si>
    <t>https://upload.wikimedia.org/wikipedia/commons/thumb/b/bf/Tunisian_flag_till_1831.svg/1280px-Tunisian_flag_till_1831.svg.png</t>
  </si>
  <si>
    <t>A 5 horizontal striped banner with 2 blue strip, 2 red and 1 green. The right edge of the flag is partially scalloped.</t>
  </si>
  <si>
    <t>[TUN] Sousse</t>
  </si>
  <si>
    <t>https://upload.wikimedia.org/wikipedia/commons/thumb/7/7e/Flag_commune_Sousse.svg/640px-Flag_commune_Sousse.svg.png</t>
  </si>
  <si>
    <t>https://upload.wikimedia.org/wikipedia/commons/thumb/7/7e/Flag_commune_Sousse.svg/1280px-Flag_commune_Sousse.svg.png</t>
  </si>
  <si>
    <t>https://en.m.wikipedia.org/wiki/Sousse</t>
  </si>
  <si>
    <t>A horizontal bicolour of blue and yellow with the emblem of the city in the center.</t>
  </si>
  <si>
    <t>[TUN] Tunis</t>
  </si>
  <si>
    <t>https://upload.wikimedia.org/wikipedia/en/thumb/b/b4/Flag_of_Tunis.svg/640px-Flag_of_Tunis.svg.png</t>
  </si>
  <si>
    <t>https://upload.wikimedia.org/wikipedia/en/thumb/b/b4/Flag_of_Tunis.svg/1280px-Flag_of_Tunis.svg.png</t>
  </si>
  <si>
    <t>https://en.m.wikipedia.org/wiki/Tunis</t>
  </si>
  <si>
    <t>The city coat of arms on a blue field.</t>
  </si>
  <si>
    <t>Tunisia</t>
  </si>
  <si>
    <t>https://i.ibb.co/6vYvyJR/Tunisia-Flag.png</t>
  </si>
  <si>
    <t>https://upload.wikimedia.org/wikipedia/commons/thumb/c/ce/Flag_of_Tunisia.svg/2560px-Flag_of_Tunisia.svg.png</t>
  </si>
  <si>
    <t>https://en.wikipedia.org/wiki/Flag_of_Tunisia</t>
  </si>
  <si>
    <t xml:space="preserve">1831 </t>
  </si>
  <si>
    <t>The color red represents the blood of Tunisian martyrs killed during the Crusades before the advent of the Ottomans in 1574.  The white symbolizes peace, the disk symbolizes the radiance of the nation as the sun, while the crescent and five-pointed star represent unity of all Muslims and the Five Pillars of Islam, respectively.</t>
  </si>
  <si>
    <t>[TUN] Other</t>
  </si>
  <si>
    <t>[TUN]</t>
  </si>
  <si>
    <t>[SDN] Kassala State</t>
  </si>
  <si>
    <t>https://upload.wikimedia.org/wikipedia/commons/thumb/1/12/Flag_of_Kassala_Wilayyah.svg/640px-Flag_of_Kassala_Wilayyah.svg.png</t>
  </si>
  <si>
    <t>https://upload.wikimedia.org/wikipedia/commons/thumb/1/12/Flag_of_Kassala_Wilayyah.svg/2560px-Flag_of_Kassala_Wilayyah.svg.png</t>
  </si>
  <si>
    <t>https://en.wikipedia.org/wiki/Kassala_State</t>
  </si>
  <si>
    <t>The sub-national flags usually consist of the state's emblem displayed on a white or coloured background</t>
  </si>
  <si>
    <t>Sudan</t>
  </si>
  <si>
    <t>https://i.ibb.co/sW5DNd4/Sudan-Flag.png</t>
  </si>
  <si>
    <t>https://upload.wikimedia.org/wikipedia/commons/thumb/0/01/Flag_of_Sudan.svg/2560px-Flag_of_Sudan.svg.png</t>
  </si>
  <si>
    <t>https://en.wikipedia.org/wiki/Flag_of_Sudan</t>
  </si>
  <si>
    <t xml:space="preserve">1970 </t>
  </si>
  <si>
    <t>Red, white, black and green are called the pan-Arab colours and have been historically linked to the Arab people and Islamic religion for centuries. The colours stand for Arab unity and independence. The red stripe represents Sudan's struggle for independence and many other struggles, and the sacrifices of the country's martyrs. The white represents the people, light and optimism. It also represents the White Flag League which was a nationalist group that rose up against colonial rule in 1924. The black represents Sudan; in Arabic, 'Sudan,' means 'land of the black people.' It also represents the black flag of nationalists who fought colonial rule during the Mahdist Revolution, late in 19th century. Green represents Islam, agriculture and the prosperity of the land.</t>
  </si>
  <si>
    <t>Arabic, English</t>
  </si>
  <si>
    <t>[SDN]</t>
  </si>
  <si>
    <t>Niger</t>
  </si>
  <si>
    <t>https://i.ibb.co/8Dtc0Qq/Niger-Flag.png</t>
  </si>
  <si>
    <t>https://upload.wikimedia.org/wikipedia/commons/thumb/f/f4/Flag_of_Niger.svg/2389px-Flag_of_Niger.svg.png</t>
  </si>
  <si>
    <t>https://en.wikipedia.org/wiki/Flag_of_Niger</t>
  </si>
  <si>
    <t xml:space="preserve">A number of sources have described the symbolic intent of the flag, although official sources have yet to confirm. Common interpretations are that the upper orange band represents the northern regions of the Sahara Desert, or the Sahel, the center white band represents purity, or the Niger River, and the lower green band represents both hope and the fertile regions of southern Niger as well as the country's Muslim majority. The orange disc in the center band is thought to stand for the sun or independence. </t>
  </si>
  <si>
    <t>South Sudan</t>
  </si>
  <si>
    <t>https://i.ibb.co/hFhLmF9/South-Sudan-Flag.png</t>
  </si>
  <si>
    <t>https://upload.wikimedia.org/wikipedia/commons/thumb/7/7a/Flag_of_South_Sudan.svg/2560px-Flag_of_South_Sudan.svg.png</t>
  </si>
  <si>
    <t>https://en.wikipedia.org/wiki/Flag_of_South_Sudan</t>
  </si>
  <si>
    <t xml:space="preserve">2011, 2023 </t>
  </si>
  <si>
    <t>\n • Black: Represents the people of South Sudan.\n\n • Red: Represents blood that was shed for the independence of the country.\n\n • Green: Represents the country's agricultural, natural wealth, land, as well as progress.\n\n • White: Represents peace.\n\n • Blue: Represents waters of the Nile River, a source of life.\n\n • Yellow: Represents unity (of the states), hope, and determination for all people.</t>
  </si>
  <si>
    <t>[SSD]</t>
  </si>
  <si>
    <t>[BEN]</t>
  </si>
  <si>
    <t>[CMR]</t>
  </si>
  <si>
    <t>[COG]</t>
  </si>
  <si>
    <t>[CPV]</t>
  </si>
  <si>
    <t>[EGY]</t>
  </si>
  <si>
    <t>[GMB]</t>
  </si>
  <si>
    <t>[GNB]</t>
  </si>
  <si>
    <t>[LIB]</t>
  </si>
  <si>
    <t>[NER]</t>
  </si>
  <si>
    <t>[MLI]</t>
  </si>
  <si>
    <t>[RSA]</t>
  </si>
  <si>
    <t>[SLE]</t>
  </si>
  <si>
    <t>[TGO]</t>
  </si>
  <si>
    <t>[UGA]</t>
  </si>
  <si>
    <t>[ZWE]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</si>
</sst>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 #,##0.00_-;\-* #,##0.00_-;_-* &quot;-&quot;??_-;_-@_-"/>
  </numFmts>
  <fonts count="18" x14ac:knownFonts="1">
    <font>
      <sz val="11"/>
      <color theme="1"/>
      <name val="Aptos Narrow"/>
      <family val="2"/>
      <scheme val="minor"/>
    </font>
    <font>
      <sz val="11"/>
      <color theme="1"/>
      <name val="Aptos Narrow"/>
      <family val="2"/>
      <scheme val="minor"/>
    </font>
    <font>
      <sz val="11"/>
      <color rgb="FF000000"/>
      <name val="Aptos Narrow"/>
      <family val="2"/>
    </font>
    <font>
      <u/>
      <sz val="11"/>
      <color theme="10"/>
      <name val="Aptos Narrow"/>
      <family val="2"/>
      <scheme val="minor"/>
    </font>
    <font>
      <b/>
      <sz val="10"/>
      <color rgb="FF990000"/>
      <name val="Aptos Narrow"/>
      <family val="2"/>
      <scheme val="minor"/>
    </font>
    <font>
      <sz val="10"/>
      <color theme="1"/>
      <name val="Aptos Narrow"/>
      <family val="2"/>
      <scheme val="minor"/>
    </font>
    <font>
      <b/>
      <sz val="10"/>
      <color theme="1" tint="0.34998626667073579"/>
      <name val="Aptos Narrow"/>
      <family val="2"/>
      <scheme val="minor"/>
    </font>
    <font>
      <sz val="10"/>
      <color theme="0"/>
      <name val="Aptos Narrow"/>
      <family val="2"/>
      <scheme val="minor"/>
    </font>
    <font>
      <b/>
      <sz val="10"/>
      <color theme="0"/>
      <name val="Aptos Narrow"/>
      <family val="2"/>
      <scheme val="minor"/>
    </font>
    <font>
      <sz val="10"/>
      <name val="Aptos Narrow"/>
      <family val="2"/>
      <scheme val="minor"/>
    </font>
    <font>
      <b/>
      <sz val="10"/>
      <color theme="1"/>
      <name val="Aptos Narrow"/>
      <family val="2"/>
      <scheme val="minor"/>
    </font>
    <font>
      <sz val="11"/>
      <name val="Aptos Narrow"/>
      <family val="2"/>
      <scheme val="minor"/>
    </font>
    <font>
      <u/>
      <sz val="10"/>
      <color theme="10"/>
      <name val="Noto Sans"/>
      <family val="2"/>
    </font>
    <font>
      <u/>
      <sz val="10"/>
      <color theme="10"/>
      <name val="Aptos Narrow"/>
      <family val="2"/>
      <scheme val="minor"/>
    </font>
    <font>
      <sz val="10"/>
      <color theme="1" tint="0.34998626667073579"/>
      <name val="Aptos Narrow"/>
      <family val="2"/>
      <scheme val="minor"/>
    </font>
    <font>
      <b/>
      <sz val="11"/>
      <color theme="0" tint="-0.499984740745262"/>
      <name val="Aptos Narrow"/>
      <family val="2"/>
      <scheme val="minor"/>
    </font>
    <font>
      <b/>
      <sz val="10"/>
      <name val="Aptos Narrow"/>
      <family val="2"/>
      <scheme val="minor"/>
    </font>
    <font>
      <b/>
      <sz val="11"/>
      <name val="Aptos Narrow"/>
      <family val="2"/>
      <scheme val="minor"/>
    </font>
  </fonts>
  <fills count="30">
    <fill>
      <patternFill patternType="none"/>
    </fill>
    <fill>
      <patternFill patternType="gray125"/>
    </fill>
    <fill>
      <patternFill patternType="solid">
        <fgColor rgb="FFFFCCCC"/>
        <bgColor indexed="64"/>
      </patternFill>
    </fill>
    <fill>
      <patternFill patternType="solid">
        <fgColor theme="0" tint="-4.9989318521683403E-2"/>
        <bgColor indexed="64"/>
      </patternFill>
    </fill>
    <fill>
      <patternFill patternType="solid">
        <fgColor rgb="FF879D03"/>
        <bgColor indexed="64"/>
      </patternFill>
    </fill>
    <fill>
      <patternFill patternType="solid">
        <fgColor theme="6" tint="-0.249977111117893"/>
        <bgColor indexed="64"/>
      </patternFill>
    </fill>
    <fill>
      <patternFill patternType="solid">
        <fgColor theme="0" tint="-0.34998626667073579"/>
        <bgColor indexed="64"/>
      </patternFill>
    </fill>
    <fill>
      <patternFill patternType="solid">
        <fgColor theme="7" tint="-0.249977111117893"/>
        <bgColor indexed="64"/>
      </patternFill>
    </fill>
    <fill>
      <patternFill patternType="solid">
        <fgColor theme="4" tint="0.39997558519241921"/>
        <bgColor indexed="64"/>
      </patternFill>
    </fill>
    <fill>
      <patternFill patternType="solid">
        <fgColor rgb="FF002060"/>
        <bgColor indexed="64"/>
      </patternFill>
    </fill>
    <fill>
      <patternFill patternType="solid">
        <fgColor theme="5" tint="0.39997558519241921"/>
        <bgColor indexed="64"/>
      </patternFill>
    </fill>
    <fill>
      <patternFill patternType="solid">
        <fgColor rgb="FFC00000"/>
        <bgColor indexed="64"/>
      </patternFill>
    </fill>
    <fill>
      <patternFill patternType="solid">
        <fgColor theme="9" tint="0.39997558519241921"/>
        <bgColor indexed="64"/>
      </patternFill>
    </fill>
    <fill>
      <patternFill patternType="solid">
        <fgColor theme="7" tint="0.79998168889431442"/>
        <bgColor indexed="64"/>
      </patternFill>
    </fill>
    <fill>
      <patternFill patternType="solid">
        <fgColor theme="3"/>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6" tint="0.59999389629810485"/>
        <bgColor indexed="64"/>
      </patternFill>
    </fill>
    <fill>
      <patternFill patternType="solid">
        <fgColor theme="3" tint="0.89999084444715716"/>
        <bgColor indexed="64"/>
      </patternFill>
    </fill>
    <fill>
      <patternFill patternType="solid">
        <fgColor theme="8" tint="0.79998168889431442"/>
        <bgColor indexed="64"/>
      </patternFill>
    </fill>
    <fill>
      <patternFill patternType="solid">
        <fgColor rgb="FFF1F4E0"/>
        <bgColor indexed="64"/>
      </patternFill>
    </fill>
    <fill>
      <patternFill patternType="solid">
        <fgColor rgb="FFD8ECD8"/>
        <bgColor indexed="64"/>
      </patternFill>
    </fill>
    <fill>
      <patternFill patternType="solid">
        <fgColor theme="0"/>
        <bgColor indexed="64"/>
      </patternFill>
    </fill>
    <fill>
      <patternFill patternType="solid">
        <fgColor theme="1"/>
        <bgColor indexed="64"/>
      </patternFill>
    </fill>
    <fill>
      <patternFill patternType="solid">
        <fgColor rgb="FFFFFFCC"/>
        <bgColor indexed="64"/>
      </patternFill>
    </fill>
    <fill>
      <patternFill patternType="solid">
        <fgColor theme="3" tint="0.749992370372631"/>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rgb="FFD9CAF2"/>
        <bgColor indexed="64"/>
      </patternFill>
    </fill>
  </fills>
  <borders count="20">
    <border>
      <left/>
      <right/>
      <top/>
      <bottom/>
      <diagonal/>
    </border>
    <border>
      <left/>
      <right style="medium">
        <color rgb="FF747678"/>
      </right>
      <top style="medium">
        <color rgb="FF747678"/>
      </top>
      <bottom style="medium">
        <color rgb="FF747678"/>
      </bottom>
      <diagonal/>
    </border>
    <border>
      <left/>
      <right style="medium">
        <color indexed="64"/>
      </right>
      <top/>
      <bottom/>
      <diagonal/>
    </border>
    <border>
      <left style="thin">
        <color indexed="64"/>
      </left>
      <right style="medium">
        <color indexed="64"/>
      </right>
      <top style="medium">
        <color indexed="64"/>
      </top>
      <bottom style="thick">
        <color indexed="64"/>
      </bottom>
      <diagonal/>
    </border>
    <border>
      <left style="thin">
        <color indexed="64"/>
      </left>
      <right style="thin">
        <color indexed="64"/>
      </right>
      <top style="medium">
        <color indexed="64"/>
      </top>
      <bottom style="thick">
        <color indexed="64"/>
      </bottom>
      <diagonal/>
    </border>
    <border>
      <left style="thin">
        <color indexed="64"/>
      </left>
      <right/>
      <top style="medium">
        <color indexed="64"/>
      </top>
      <bottom style="thick">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medium">
        <color rgb="FF747678"/>
      </right>
      <top/>
      <bottom style="medium">
        <color rgb="FFDDDDDD"/>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style="medium">
        <color auto="1"/>
      </right>
      <top style="thin">
        <color indexed="64"/>
      </top>
      <bottom style="thin">
        <color indexed="64"/>
      </bottom>
      <diagonal/>
    </border>
    <border>
      <left style="thin">
        <color indexed="64"/>
      </left>
      <right style="medium">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top/>
      <bottom/>
      <diagonal/>
    </border>
  </borders>
  <cellStyleXfs count="5">
    <xf numFmtId="0" fontId="0" fillId="0" borderId="0"/>
    <xf numFmtId="164" fontId="1" fillId="0" borderId="0" applyFont="0" applyFill="0" applyBorder="0" applyAlignment="0" applyProtection="0"/>
    <xf numFmtId="9" fontId="1" fillId="0" borderId="0" applyFont="0" applyFill="0" applyBorder="0" applyAlignment="0" applyProtection="0"/>
    <xf numFmtId="0" fontId="3" fillId="0" borderId="0" applyNumberFormat="0" applyFill="0" applyBorder="0" applyAlignment="0" applyProtection="0"/>
    <xf numFmtId="0" fontId="12" fillId="0" borderId="0" applyNumberFormat="0" applyFill="0" applyBorder="0" applyAlignment="0" applyProtection="0"/>
  </cellStyleXfs>
  <cellXfs count="87">
    <xf numFmtId="0" fontId="0" fillId="0" borderId="0" xfId="0"/>
    <xf numFmtId="0" fontId="4" fillId="0" borderId="1" xfId="0" applyFont="1" applyBorder="1" applyAlignment="1">
      <alignment horizontal="center" vertical="center"/>
    </xf>
    <xf numFmtId="0" fontId="4"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horizontal="left"/>
    </xf>
    <xf numFmtId="0" fontId="5" fillId="2" borderId="0" xfId="0" applyFont="1" applyFill="1" applyAlignment="1">
      <alignment horizontal="left" vertical="center"/>
    </xf>
    <xf numFmtId="0" fontId="5" fillId="0" borderId="0" xfId="0" applyFont="1"/>
    <xf numFmtId="0" fontId="6" fillId="3" borderId="0" xfId="0" applyFont="1" applyFill="1"/>
    <xf numFmtId="3" fontId="7" fillId="4" borderId="0" xfId="1" applyNumberFormat="1" applyFont="1" applyFill="1" applyBorder="1" applyAlignment="1">
      <alignment horizontal="left"/>
    </xf>
    <xf numFmtId="3" fontId="7" fillId="5" borderId="0" xfId="1" applyNumberFormat="1" applyFont="1" applyFill="1" applyBorder="1" applyAlignment="1">
      <alignment horizontal="left"/>
    </xf>
    <xf numFmtId="3" fontId="7" fillId="6" borderId="0" xfId="1" applyNumberFormat="1" applyFont="1" applyFill="1" applyBorder="1" applyAlignment="1">
      <alignment horizontal="left"/>
    </xf>
    <xf numFmtId="49" fontId="8" fillId="7" borderId="0" xfId="1" applyNumberFormat="1" applyFont="1" applyFill="1" applyBorder="1" applyAlignment="1">
      <alignment horizontal="left"/>
    </xf>
    <xf numFmtId="3" fontId="9" fillId="8" borderId="0" xfId="1" applyNumberFormat="1" applyFont="1" applyFill="1" applyBorder="1" applyAlignment="1">
      <alignment horizontal="left"/>
    </xf>
    <xf numFmtId="0" fontId="10" fillId="0" borderId="2" xfId="0" applyFont="1" applyBorder="1" applyAlignment="1">
      <alignment horizontal="center"/>
    </xf>
    <xf numFmtId="0" fontId="8" fillId="9" borderId="3" xfId="0" applyFont="1" applyFill="1" applyBorder="1" applyAlignment="1">
      <alignment horizontal="center"/>
    </xf>
    <xf numFmtId="0" fontId="10" fillId="0" borderId="4" xfId="0" applyFont="1" applyBorder="1"/>
    <xf numFmtId="0" fontId="5" fillId="0" borderId="4" xfId="0" applyFont="1" applyBorder="1"/>
    <xf numFmtId="0" fontId="10" fillId="0" borderId="5" xfId="0" applyFont="1" applyBorder="1"/>
    <xf numFmtId="0" fontId="10" fillId="0" borderId="3" xfId="0" applyFont="1" applyBorder="1" applyAlignment="1">
      <alignment horizontal="center"/>
    </xf>
    <xf numFmtId="0" fontId="10" fillId="10" borderId="3" xfId="0" applyFont="1" applyFill="1" applyBorder="1"/>
    <xf numFmtId="0" fontId="10" fillId="10" borderId="6" xfId="0" applyFont="1" applyFill="1" applyBorder="1"/>
    <xf numFmtId="0" fontId="10" fillId="11" borderId="3" xfId="0" applyFont="1" applyFill="1" applyBorder="1"/>
    <xf numFmtId="0" fontId="10" fillId="0" borderId="6" xfId="0" applyFont="1" applyBorder="1"/>
    <xf numFmtId="0" fontId="10" fillId="12" borderId="6" xfId="0" applyFont="1" applyFill="1" applyBorder="1"/>
    <xf numFmtId="0" fontId="10" fillId="12" borderId="0" xfId="0" applyFont="1" applyFill="1"/>
    <xf numFmtId="0" fontId="8" fillId="9" borderId="5" xfId="0" applyFont="1" applyFill="1" applyBorder="1" applyAlignment="1">
      <alignment horizontal="center"/>
    </xf>
    <xf numFmtId="0" fontId="10" fillId="0" borderId="2" xfId="0" applyFont="1" applyBorder="1"/>
    <xf numFmtId="0" fontId="10" fillId="0" borderId="3" xfId="0" applyFont="1" applyBorder="1"/>
    <xf numFmtId="0" fontId="10" fillId="13" borderId="7" xfId="0" applyFont="1" applyFill="1" applyBorder="1"/>
    <xf numFmtId="0" fontId="10" fillId="13" borderId="6" xfId="0" applyFont="1" applyFill="1" applyBorder="1"/>
    <xf numFmtId="0" fontId="10" fillId="13" borderId="0" xfId="0" applyFont="1" applyFill="1"/>
    <xf numFmtId="16" fontId="7" fillId="14" borderId="0" xfId="1" applyNumberFormat="1" applyFont="1" applyFill="1" applyBorder="1" applyAlignment="1">
      <alignment horizontal="center"/>
    </xf>
    <xf numFmtId="0" fontId="10" fillId="0" borderId="8" xfId="0" applyFont="1" applyBorder="1"/>
    <xf numFmtId="0" fontId="10" fillId="0" borderId="0" xfId="0" applyFont="1"/>
    <xf numFmtId="9" fontId="0" fillId="15" borderId="9" xfId="2" applyFont="1" applyFill="1" applyBorder="1" applyAlignment="1">
      <alignment horizontal="center" vertical="center"/>
    </xf>
    <xf numFmtId="9" fontId="0" fillId="16" borderId="9" xfId="2" applyFont="1" applyFill="1" applyBorder="1" applyAlignment="1">
      <alignment horizontal="center" vertical="center"/>
    </xf>
    <xf numFmtId="0" fontId="10" fillId="0" borderId="10" xfId="0" applyFont="1" applyBorder="1"/>
    <xf numFmtId="9" fontId="11" fillId="15" borderId="9" xfId="2" applyFont="1" applyFill="1" applyBorder="1" applyAlignment="1">
      <alignment horizontal="center" vertical="center"/>
    </xf>
    <xf numFmtId="9" fontId="11" fillId="16" borderId="9" xfId="2" applyFont="1" applyFill="1" applyBorder="1" applyAlignment="1">
      <alignment horizontal="center" vertical="center"/>
    </xf>
    <xf numFmtId="0" fontId="13" fillId="17" borderId="11" xfId="4" applyFont="1" applyFill="1" applyBorder="1" applyAlignment="1">
      <alignment horizontal="left" vertical="center"/>
    </xf>
    <xf numFmtId="0" fontId="13" fillId="0" borderId="12" xfId="4" applyFont="1" applyFill="1" applyBorder="1" applyAlignment="1">
      <alignment horizontal="left" vertical="center"/>
    </xf>
    <xf numFmtId="0" fontId="5" fillId="0" borderId="0" xfId="0" applyFont="1" applyAlignment="1">
      <alignment horizontal="center" vertical="center"/>
    </xf>
    <xf numFmtId="0" fontId="13" fillId="18" borderId="9" xfId="3" applyFont="1" applyFill="1" applyBorder="1" applyAlignment="1">
      <alignment horizontal="left" vertical="center"/>
    </xf>
    <xf numFmtId="0" fontId="13" fillId="19" borderId="9" xfId="3" applyFont="1" applyFill="1" applyBorder="1" applyAlignment="1">
      <alignment horizontal="left" vertical="center"/>
    </xf>
    <xf numFmtId="0" fontId="5" fillId="2" borderId="9" xfId="0" applyFont="1" applyFill="1" applyBorder="1" applyAlignment="1">
      <alignment horizontal="left" vertical="center"/>
    </xf>
    <xf numFmtId="1" fontId="5" fillId="0" borderId="0" xfId="0" applyNumberFormat="1" applyFont="1" applyAlignment="1">
      <alignment horizontal="center" vertical="center"/>
    </xf>
    <xf numFmtId="0" fontId="14" fillId="3" borderId="9" xfId="0" applyFont="1" applyFill="1" applyBorder="1" applyAlignment="1">
      <alignment vertical="center"/>
    </xf>
    <xf numFmtId="0" fontId="5" fillId="0" borderId="9" xfId="0" applyFont="1" applyBorder="1" applyAlignment="1">
      <alignment vertical="center"/>
    </xf>
    <xf numFmtId="0" fontId="5" fillId="0" borderId="0" xfId="0" applyFont="1" applyAlignment="1">
      <alignment vertical="center"/>
    </xf>
    <xf numFmtId="3" fontId="5" fillId="20" borderId="9" xfId="1" applyNumberFormat="1" applyFont="1" applyFill="1" applyBorder="1" applyAlignment="1">
      <alignment horizontal="left" vertical="center"/>
    </xf>
    <xf numFmtId="3" fontId="5" fillId="21" borderId="13" xfId="1" applyNumberFormat="1" applyFont="1" applyFill="1" applyBorder="1" applyAlignment="1">
      <alignment horizontal="left" vertical="center"/>
    </xf>
    <xf numFmtId="3" fontId="5" fillId="16" borderId="13" xfId="1" applyNumberFormat="1" applyFont="1" applyFill="1" applyBorder="1" applyAlignment="1">
      <alignment horizontal="left" vertical="center"/>
    </xf>
    <xf numFmtId="49" fontId="10" fillId="18" borderId="13" xfId="1" applyNumberFormat="1" applyFont="1" applyFill="1" applyBorder="1" applyAlignment="1">
      <alignment horizontal="left" vertical="center"/>
    </xf>
    <xf numFmtId="3" fontId="5" fillId="22" borderId="13" xfId="1" applyNumberFormat="1" applyFont="1" applyFill="1" applyBorder="1" applyAlignment="1">
      <alignment horizontal="left" vertical="center"/>
    </xf>
    <xf numFmtId="0" fontId="5" fillId="0" borderId="13" xfId="0" applyFont="1" applyBorder="1" applyAlignment="1">
      <alignment horizontal="center" vertical="center"/>
    </xf>
    <xf numFmtId="0" fontId="5" fillId="0" borderId="14" xfId="0" applyFont="1" applyBorder="1" applyAlignment="1">
      <alignment horizontal="center" vertical="center"/>
    </xf>
    <xf numFmtId="0" fontId="5" fillId="22" borderId="15" xfId="0" applyFont="1" applyFill="1" applyBorder="1" applyAlignment="1">
      <alignment horizontal="center" vertical="center"/>
    </xf>
    <xf numFmtId="0" fontId="5" fillId="0" borderId="16" xfId="0" applyFont="1" applyBorder="1" applyAlignment="1">
      <alignment vertical="center"/>
    </xf>
    <xf numFmtId="0" fontId="5" fillId="0" borderId="17" xfId="0" applyFont="1" applyBorder="1" applyAlignment="1">
      <alignment vertical="center"/>
    </xf>
    <xf numFmtId="0" fontId="5" fillId="0" borderId="18" xfId="0" applyFont="1" applyBorder="1" applyAlignment="1">
      <alignment vertical="center"/>
    </xf>
    <xf numFmtId="0" fontId="5" fillId="19" borderId="15" xfId="0" applyFont="1" applyFill="1" applyBorder="1" applyAlignment="1">
      <alignment horizontal="center" vertical="center"/>
    </xf>
    <xf numFmtId="0" fontId="5" fillId="0" borderId="19" xfId="0" applyFont="1" applyBorder="1" applyAlignment="1">
      <alignment vertical="center"/>
    </xf>
    <xf numFmtId="0" fontId="5" fillId="3" borderId="9" xfId="0" applyFont="1" applyFill="1" applyBorder="1" applyAlignment="1">
      <alignment vertical="center"/>
    </xf>
    <xf numFmtId="0" fontId="5" fillId="23" borderId="9" xfId="0" applyFont="1" applyFill="1" applyBorder="1" applyAlignment="1">
      <alignment vertical="center"/>
    </xf>
    <xf numFmtId="0" fontId="5" fillId="15" borderId="9" xfId="0" applyFont="1" applyFill="1" applyBorder="1" applyAlignment="1">
      <alignment vertical="center"/>
    </xf>
    <xf numFmtId="0" fontId="5" fillId="13" borderId="9" xfId="0" applyFont="1" applyFill="1" applyBorder="1" applyAlignment="1">
      <alignment vertical="center"/>
    </xf>
    <xf numFmtId="0" fontId="5" fillId="24" borderId="9" xfId="0" applyFont="1" applyFill="1" applyBorder="1" applyAlignment="1">
      <alignment vertical="center"/>
    </xf>
    <xf numFmtId="0" fontId="5" fillId="25" borderId="13" xfId="0" applyFont="1" applyFill="1" applyBorder="1" applyAlignment="1">
      <alignment vertical="center"/>
    </xf>
    <xf numFmtId="0" fontId="5" fillId="15" borderId="0" xfId="0" applyFont="1" applyFill="1" applyAlignment="1">
      <alignment horizontal="center" vertical="center"/>
    </xf>
    <xf numFmtId="0" fontId="13" fillId="0" borderId="11" xfId="4" applyFont="1" applyFill="1" applyBorder="1" applyAlignment="1">
      <alignment horizontal="left" vertical="center"/>
    </xf>
    <xf numFmtId="0" fontId="5" fillId="0" borderId="14" xfId="0" applyFont="1" applyBorder="1" applyAlignment="1">
      <alignment vertical="center"/>
    </xf>
    <xf numFmtId="16" fontId="5" fillId="3" borderId="9" xfId="1" applyNumberFormat="1" applyFont="1" applyFill="1" applyBorder="1" applyAlignment="1">
      <alignment horizontal="center" vertical="center"/>
    </xf>
    <xf numFmtId="0" fontId="5" fillId="26" borderId="9" xfId="0" applyFont="1" applyFill="1" applyBorder="1" applyAlignment="1">
      <alignment vertical="center"/>
    </xf>
    <xf numFmtId="0" fontId="5" fillId="27" borderId="9" xfId="0" applyFont="1" applyFill="1" applyBorder="1" applyAlignment="1">
      <alignment vertical="center"/>
    </xf>
    <xf numFmtId="0" fontId="5" fillId="28" borderId="9" xfId="0" applyFont="1" applyFill="1" applyBorder="1" applyAlignment="1">
      <alignment vertical="center" wrapText="1"/>
    </xf>
    <xf numFmtId="14" fontId="5" fillId="0" borderId="19" xfId="0" applyNumberFormat="1" applyFont="1" applyBorder="1" applyAlignment="1">
      <alignment vertical="center"/>
    </xf>
    <xf numFmtId="14" fontId="5" fillId="0" borderId="0" xfId="0" applyNumberFormat="1" applyFont="1" applyAlignment="1">
      <alignment vertical="center"/>
    </xf>
    <xf numFmtId="9" fontId="15" fillId="0" borderId="9" xfId="2" applyFont="1" applyBorder="1" applyAlignment="1">
      <alignment horizontal="center" vertical="center"/>
    </xf>
    <xf numFmtId="0" fontId="3" fillId="0" borderId="0" xfId="3" applyAlignment="1">
      <alignment vertical="center"/>
    </xf>
    <xf numFmtId="0" fontId="13" fillId="18" borderId="11" xfId="4" applyFont="1" applyFill="1" applyBorder="1" applyAlignment="1">
      <alignment horizontal="left" vertical="center"/>
    </xf>
    <xf numFmtId="0" fontId="13" fillId="29" borderId="11" xfId="4" applyFont="1" applyFill="1" applyBorder="1" applyAlignment="1">
      <alignment horizontal="left" vertical="center"/>
    </xf>
    <xf numFmtId="0" fontId="9" fillId="0" borderId="0" xfId="0" applyFont="1"/>
    <xf numFmtId="0" fontId="9" fillId="0" borderId="0" xfId="0" applyFont="1" applyAlignment="1">
      <alignment horizontal="center"/>
    </xf>
    <xf numFmtId="0" fontId="9" fillId="0" borderId="0" xfId="0" applyFont="1" applyAlignment="1">
      <alignment horizontal="left"/>
    </xf>
    <xf numFmtId="49" fontId="16" fillId="0" borderId="0" xfId="0" applyNumberFormat="1" applyFont="1" applyAlignment="1">
      <alignment horizontal="left"/>
    </xf>
    <xf numFmtId="16" fontId="9" fillId="0" borderId="0" xfId="0" applyNumberFormat="1" applyFont="1" applyAlignment="1">
      <alignment horizontal="center"/>
    </xf>
    <xf numFmtId="9" fontId="17" fillId="0" borderId="0" xfId="2" applyFont="1" applyFill="1" applyBorder="1" applyAlignment="1">
      <alignment horizontal="center"/>
    </xf>
  </cellXfs>
  <cellStyles count="5">
    <cellStyle name="Comma" xfId="1" builtinId="3"/>
    <cellStyle name="Hyperlink" xfId="3" builtinId="8"/>
    <cellStyle name="Hyperlink 2" xfId="4" xr:uid="{5D1D40B9-889D-4A61-999E-A9591214F0F9}"/>
    <cellStyle name="Normal" xfId="0" builtinId="0"/>
    <cellStyle name="Percent" xfId="2" builtinId="5"/>
  </cellStyles>
  <dxfs count="6574">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0" tint="-0.499984740745262"/>
        </patternFill>
      </fill>
    </dxf>
    <dxf>
      <fill>
        <patternFill>
          <bgColor theme="3" tint="0.89996032593768116"/>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theme="0" tint="-0.499984740745262"/>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3" tint="0.89996032593768116"/>
        </patternFill>
      </fill>
    </dxf>
    <dxf>
      <font>
        <color rgb="FF9C5700"/>
      </font>
      <fill>
        <patternFill>
          <bgColor rgb="FFFFEB9C"/>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0" tint="-0.499984740745262"/>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0" tint="-0.499984740745262"/>
        </patternFill>
      </fill>
    </dxf>
    <dxf>
      <fill>
        <patternFill>
          <bgColor theme="3" tint="0.89996032593768116"/>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0" tint="-0.499984740745262"/>
        </patternFill>
      </fill>
    </dxf>
    <dxf>
      <fill>
        <patternFill>
          <bgColor theme="3" tint="0.89996032593768116"/>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0" tint="-0.499984740745262"/>
        </patternFill>
      </fill>
    </dxf>
    <dxf>
      <fill>
        <patternFill>
          <bgColor theme="3" tint="0.89996032593768116"/>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0" tint="-0.499984740745262"/>
        </patternFill>
      </fill>
    </dxf>
    <dxf>
      <fill>
        <patternFill>
          <bgColor theme="3" tint="0.89996032593768116"/>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0" tint="-0.499984740745262"/>
        </patternFill>
      </fill>
    </dxf>
    <dxf>
      <fill>
        <patternFill>
          <bgColor theme="3" tint="0.89996032593768116"/>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0" tint="-0.499984740745262"/>
        </patternFill>
      </fill>
    </dxf>
    <dxf>
      <fill>
        <patternFill>
          <bgColor theme="3" tint="0.89996032593768116"/>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0" tint="-0.499984740745262"/>
        </patternFill>
      </fill>
    </dxf>
    <dxf>
      <fill>
        <patternFill>
          <bgColor theme="3" tint="0.89996032593768116"/>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0" tint="-0.499984740745262"/>
        </patternFill>
      </fill>
    </dxf>
    <dxf>
      <fill>
        <patternFill>
          <bgColor theme="3" tint="0.89996032593768116"/>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0" tint="-0.499984740745262"/>
        </patternFill>
      </fill>
    </dxf>
    <dxf>
      <fill>
        <patternFill>
          <bgColor theme="3" tint="0.89996032593768116"/>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0" tint="-0.499984740745262"/>
        </patternFill>
      </fill>
    </dxf>
    <dxf>
      <fill>
        <patternFill>
          <bgColor theme="3" tint="0.89996032593768116"/>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0" tint="-0.499984740745262"/>
        </patternFill>
      </fill>
    </dxf>
    <dxf>
      <fill>
        <patternFill>
          <bgColor theme="3" tint="0.89996032593768116"/>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0" tint="-0.499984740745262"/>
        </patternFill>
      </fill>
    </dxf>
    <dxf>
      <fill>
        <patternFill>
          <bgColor theme="3" tint="0.89996032593768116"/>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0" tint="-0.499984740745262"/>
        </patternFill>
      </fill>
    </dxf>
    <dxf>
      <fill>
        <patternFill>
          <bgColor theme="3" tint="0.89996032593768116"/>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0" tint="-0.499984740745262"/>
        </patternFill>
      </fill>
    </dxf>
    <dxf>
      <fill>
        <patternFill>
          <bgColor theme="3" tint="0.89996032593768116"/>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0" tint="-0.499984740745262"/>
        </patternFill>
      </fill>
    </dxf>
    <dxf>
      <fill>
        <patternFill>
          <bgColor theme="3" tint="0.89996032593768116"/>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0" tint="-0.499984740745262"/>
        </patternFill>
      </fill>
    </dxf>
    <dxf>
      <fill>
        <patternFill>
          <bgColor theme="3" tint="0.89996032593768116"/>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0" tint="-0.499984740745262"/>
        </patternFill>
      </fill>
    </dxf>
    <dxf>
      <fill>
        <patternFill>
          <bgColor theme="3" tint="0.89996032593768116"/>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0" tint="-0.499984740745262"/>
        </patternFill>
      </fill>
    </dxf>
    <dxf>
      <fill>
        <patternFill>
          <bgColor theme="3" tint="0.89996032593768116"/>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0" tint="-0.499984740745262"/>
        </patternFill>
      </fill>
    </dxf>
    <dxf>
      <fill>
        <patternFill>
          <bgColor theme="3" tint="0.89996032593768116"/>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0" tint="-0.499984740745262"/>
        </patternFill>
      </fill>
    </dxf>
    <dxf>
      <fill>
        <patternFill>
          <bgColor theme="3" tint="0.89996032593768116"/>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theme="0" tint="-0.499984740745262"/>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3" tint="0.89996032593768116"/>
        </patternFill>
      </fill>
    </dxf>
    <dxf>
      <font>
        <color rgb="FF9C5700"/>
      </font>
      <fill>
        <patternFill>
          <bgColor rgb="FFFFEB9C"/>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0" tint="-0.499984740745262"/>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0" tint="-0.499984740745262"/>
        </patternFill>
      </fill>
    </dxf>
    <dxf>
      <fill>
        <patternFill>
          <bgColor theme="3" tint="0.89996032593768116"/>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0" tint="-0.499984740745262"/>
        </patternFill>
      </fill>
    </dxf>
    <dxf>
      <fill>
        <patternFill>
          <bgColor theme="3" tint="0.89996032593768116"/>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0" tint="-0.499984740745262"/>
        </patternFill>
      </fill>
    </dxf>
    <dxf>
      <fill>
        <patternFill>
          <bgColor theme="3" tint="0.89996032593768116"/>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0" tint="-0.499984740745262"/>
        </patternFill>
      </fill>
    </dxf>
    <dxf>
      <fill>
        <patternFill>
          <bgColor theme="3" tint="0.89996032593768116"/>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0" tint="-0.499984740745262"/>
        </patternFill>
      </fill>
    </dxf>
    <dxf>
      <fill>
        <patternFill>
          <bgColor theme="3" tint="0.89996032593768116"/>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0" tint="-0.499984740745262"/>
        </patternFill>
      </fill>
    </dxf>
    <dxf>
      <fill>
        <patternFill>
          <bgColor theme="3" tint="0.89996032593768116"/>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0" tint="-0.499984740745262"/>
        </patternFill>
      </fill>
    </dxf>
    <dxf>
      <fill>
        <patternFill>
          <bgColor theme="3" tint="0.89996032593768116"/>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0" tint="-0.499984740745262"/>
        </patternFill>
      </fill>
    </dxf>
    <dxf>
      <fill>
        <patternFill>
          <bgColor theme="3" tint="0.89996032593768116"/>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0" tint="-0.499984740745262"/>
        </patternFill>
      </fill>
    </dxf>
    <dxf>
      <fill>
        <patternFill>
          <bgColor theme="3" tint="0.89996032593768116"/>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0" tint="-0.499984740745262"/>
        </patternFill>
      </fill>
    </dxf>
    <dxf>
      <fill>
        <patternFill>
          <bgColor theme="3" tint="0.89996032593768116"/>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0" tint="-0.499984740745262"/>
        </patternFill>
      </fill>
    </dxf>
    <dxf>
      <fill>
        <patternFill>
          <bgColor theme="3" tint="0.89996032593768116"/>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0" tint="-0.499984740745262"/>
        </patternFill>
      </fill>
    </dxf>
    <dxf>
      <fill>
        <patternFill>
          <bgColor theme="3" tint="0.89996032593768116"/>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0" tint="-0.499984740745262"/>
        </patternFill>
      </fill>
    </dxf>
    <dxf>
      <fill>
        <patternFill>
          <bgColor theme="3" tint="0.89996032593768116"/>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0" tint="-0.499984740745262"/>
        </patternFill>
      </fill>
    </dxf>
    <dxf>
      <fill>
        <patternFill>
          <bgColor theme="3" tint="0.89996032593768116"/>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0" tint="-0.499984740745262"/>
        </patternFill>
      </fill>
    </dxf>
    <dxf>
      <fill>
        <patternFill>
          <bgColor theme="3" tint="0.89996032593768116"/>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0" tint="-0.499984740745262"/>
        </patternFill>
      </fill>
    </dxf>
    <dxf>
      <fill>
        <patternFill>
          <bgColor theme="3" tint="0.89996032593768116"/>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0" tint="-0.499984740745262"/>
        </patternFill>
      </fill>
    </dxf>
    <dxf>
      <fill>
        <patternFill>
          <bgColor theme="3" tint="0.89996032593768116"/>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0" tint="-0.499984740745262"/>
        </patternFill>
      </fill>
    </dxf>
    <dxf>
      <fill>
        <patternFill>
          <bgColor theme="3" tint="0.89996032593768116"/>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0" tint="-0.499984740745262"/>
        </patternFill>
      </fill>
    </dxf>
    <dxf>
      <fill>
        <patternFill>
          <bgColor theme="3" tint="0.89996032593768116"/>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0" tint="-0.499984740745262"/>
        </patternFill>
      </fill>
    </dxf>
    <dxf>
      <fill>
        <patternFill>
          <bgColor theme="3" tint="0.89996032593768116"/>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0" tint="-0.499984740745262"/>
        </patternFill>
      </fill>
    </dxf>
    <dxf>
      <fill>
        <patternFill>
          <bgColor theme="3" tint="0.89996032593768116"/>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0" tint="-0.499984740745262"/>
        </patternFill>
      </fill>
    </dxf>
    <dxf>
      <fill>
        <patternFill>
          <bgColor theme="3" tint="0.89996032593768116"/>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0" tint="-0.499984740745262"/>
        </patternFill>
      </fill>
    </dxf>
    <dxf>
      <fill>
        <patternFill>
          <bgColor theme="3" tint="0.89996032593768116"/>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0" tint="-0.499984740745262"/>
        </patternFill>
      </fill>
    </dxf>
    <dxf>
      <fill>
        <patternFill>
          <bgColor theme="3" tint="0.89996032593768116"/>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0" tint="-0.499984740745262"/>
        </patternFill>
      </fill>
    </dxf>
    <dxf>
      <fill>
        <patternFill>
          <bgColor theme="3" tint="0.89996032593768116"/>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0" tint="-0.499984740745262"/>
        </patternFill>
      </fill>
    </dxf>
    <dxf>
      <fill>
        <patternFill>
          <bgColor theme="3" tint="0.89996032593768116"/>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0" tint="-0.499984740745262"/>
        </patternFill>
      </fill>
    </dxf>
    <dxf>
      <fill>
        <patternFill>
          <bgColor theme="3" tint="0.89996032593768116"/>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0" tint="-0.499984740745262"/>
        </patternFill>
      </fill>
    </dxf>
    <dxf>
      <fill>
        <patternFill>
          <bgColor theme="3" tint="0.89996032593768116"/>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0" tint="-0.499984740745262"/>
        </patternFill>
      </fill>
    </dxf>
    <dxf>
      <fill>
        <patternFill>
          <bgColor theme="3" tint="0.89996032593768116"/>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0" tint="-0.499984740745262"/>
        </patternFill>
      </fill>
    </dxf>
    <dxf>
      <fill>
        <patternFill>
          <bgColor theme="3" tint="0.89996032593768116"/>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0" tint="-0.499984740745262"/>
        </patternFill>
      </fill>
    </dxf>
    <dxf>
      <fill>
        <patternFill>
          <bgColor theme="3" tint="0.89996032593768116"/>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0" tint="-0.499984740745262"/>
        </patternFill>
      </fill>
    </dxf>
    <dxf>
      <fill>
        <patternFill>
          <bgColor theme="3" tint="0.89996032593768116"/>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0" tint="-0.499984740745262"/>
        </patternFill>
      </fill>
    </dxf>
    <dxf>
      <fill>
        <patternFill>
          <bgColor theme="3" tint="0.89996032593768116"/>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0" tint="-0.499984740745262"/>
        </patternFill>
      </fill>
    </dxf>
    <dxf>
      <fill>
        <patternFill>
          <bgColor theme="3" tint="0.89996032593768116"/>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0" tint="-0.499984740745262"/>
        </patternFill>
      </fill>
    </dxf>
    <dxf>
      <fill>
        <patternFill>
          <bgColor theme="3" tint="0.89996032593768116"/>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sharedStrings" Target="sharedStrings.xml"/><Relationship Id="rId68" Type="http://schemas.microsoft.com/office/2017/06/relationships/rdRichValueTypes" Target="richData/rdRichValueTyp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microsoft.com/office/2017/06/relationships/rdRichValue" Target="richData/rdrichvalue.xml"/><Relationship Id="rId5" Type="http://schemas.openxmlformats.org/officeDocument/2006/relationships/worksheet" Target="worksheets/sheet5.xml"/><Relationship Id="rId61" Type="http://schemas.openxmlformats.org/officeDocument/2006/relationships/theme" Target="theme/theme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heetMetadata" Target="metadata.xml"/><Relationship Id="rId69"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1.xml"/><Relationship Id="rId67"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styles" Target="styles.xml"/><Relationship Id="rId7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externalLink" Target="externalLinks/externalLink2.xml"/><Relationship Id="rId65" Type="http://schemas.microsoft.com/office/2022/10/relationships/richValueRel" Target="richData/richValueRel.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3368040</xdr:colOff>
          <xdr:row>0</xdr:row>
          <xdr:rowOff>0</xdr:rowOff>
        </xdr:from>
        <xdr:to>
          <xdr:col>2</xdr:col>
          <xdr:colOff>83820</xdr:colOff>
          <xdr:row>0</xdr:row>
          <xdr:rowOff>373380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82906AB6-EC71-42F0-86A3-37C3D998445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8194" name="Button 2" hidden="1">
              <a:extLst>
                <a:ext uri="{63B3BB69-23CF-44E3-9099-C40C66FF867C}">
                  <a14:compatExt spid="_x0000_s8194"/>
                </a:ext>
                <a:ext uri="{FF2B5EF4-FFF2-40B4-BE49-F238E27FC236}">
                  <a16:creationId xmlns:a16="http://schemas.microsoft.com/office/drawing/2014/main" id="{8BB3EFD7-B21F-4B32-846E-1B18C0668AA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8195" name="Button 3" hidden="1">
              <a:extLst>
                <a:ext uri="{63B3BB69-23CF-44E3-9099-C40C66FF867C}">
                  <a14:compatExt spid="_x0000_s8195"/>
                </a:ext>
                <a:ext uri="{FF2B5EF4-FFF2-40B4-BE49-F238E27FC236}">
                  <a16:creationId xmlns:a16="http://schemas.microsoft.com/office/drawing/2014/main" id="{9B78BB7D-23ED-4E94-9112-B04A70DD8FF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3368040</xdr:colOff>
          <xdr:row>0</xdr:row>
          <xdr:rowOff>0</xdr:rowOff>
        </xdr:from>
        <xdr:to>
          <xdr:col>2</xdr:col>
          <xdr:colOff>83820</xdr:colOff>
          <xdr:row>0</xdr:row>
          <xdr:rowOff>373380</xdr:rowOff>
        </xdr:to>
        <xdr:sp macro="" textlink="">
          <xdr:nvSpPr>
            <xdr:cNvPr id="9217" name="Button 1" hidden="1">
              <a:extLst>
                <a:ext uri="{63B3BB69-23CF-44E3-9099-C40C66FF867C}">
                  <a14:compatExt spid="_x0000_s9217"/>
                </a:ext>
                <a:ext uri="{FF2B5EF4-FFF2-40B4-BE49-F238E27FC236}">
                  <a16:creationId xmlns:a16="http://schemas.microsoft.com/office/drawing/2014/main" id="{A1DAE41F-E3D7-4FCA-B129-85431C78CEBD}"/>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9218" name="Button 2" hidden="1">
              <a:extLst>
                <a:ext uri="{63B3BB69-23CF-44E3-9099-C40C66FF867C}">
                  <a14:compatExt spid="_x0000_s9218"/>
                </a:ext>
                <a:ext uri="{FF2B5EF4-FFF2-40B4-BE49-F238E27FC236}">
                  <a16:creationId xmlns:a16="http://schemas.microsoft.com/office/drawing/2014/main" id="{5DC70B30-5924-4E86-B241-BF7877A1DC3D}"/>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9219" name="Button 3" hidden="1">
              <a:extLst>
                <a:ext uri="{63B3BB69-23CF-44E3-9099-C40C66FF867C}">
                  <a14:compatExt spid="_x0000_s9219"/>
                </a:ext>
                <a:ext uri="{FF2B5EF4-FFF2-40B4-BE49-F238E27FC236}">
                  <a16:creationId xmlns:a16="http://schemas.microsoft.com/office/drawing/2014/main" id="{E3BD268A-55E3-4ACE-8AA2-E2EBC26C72A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3368040</xdr:colOff>
          <xdr:row>0</xdr:row>
          <xdr:rowOff>0</xdr:rowOff>
        </xdr:from>
        <xdr:to>
          <xdr:col>2</xdr:col>
          <xdr:colOff>83820</xdr:colOff>
          <xdr:row>0</xdr:row>
          <xdr:rowOff>373380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73CECA16-201C-4A7F-84B1-1079C756BA7A}"/>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28674" name="Button 2" hidden="1">
              <a:extLst>
                <a:ext uri="{63B3BB69-23CF-44E3-9099-C40C66FF867C}">
                  <a14:compatExt spid="_x0000_s28674"/>
                </a:ext>
                <a:ext uri="{FF2B5EF4-FFF2-40B4-BE49-F238E27FC236}">
                  <a16:creationId xmlns:a16="http://schemas.microsoft.com/office/drawing/2014/main" id="{595CCCA2-4931-43D1-9064-6B56A58C1ACA}"/>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28675" name="Button 3" hidden="1">
              <a:extLst>
                <a:ext uri="{63B3BB69-23CF-44E3-9099-C40C66FF867C}">
                  <a14:compatExt spid="_x0000_s28675"/>
                </a:ext>
                <a:ext uri="{FF2B5EF4-FFF2-40B4-BE49-F238E27FC236}">
                  <a16:creationId xmlns:a16="http://schemas.microsoft.com/office/drawing/2014/main" id="{6BBA4069-EAFD-4E72-A7A8-E0BFD86706B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3368040</xdr:colOff>
          <xdr:row>0</xdr:row>
          <xdr:rowOff>0</xdr:rowOff>
        </xdr:from>
        <xdr:to>
          <xdr:col>2</xdr:col>
          <xdr:colOff>83820</xdr:colOff>
          <xdr:row>0</xdr:row>
          <xdr:rowOff>373380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3B6BC142-6D41-48C0-B156-4DC52FFA5B6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A0FC1E2C-7D65-4608-AAA6-892B07D8DE7E}"/>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4B990AF7-0D71-42B5-88F8-B3C5EBB29F1A}"/>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3368040</xdr:colOff>
          <xdr:row>0</xdr:row>
          <xdr:rowOff>0</xdr:rowOff>
        </xdr:from>
        <xdr:to>
          <xdr:col>2</xdr:col>
          <xdr:colOff>83820</xdr:colOff>
          <xdr:row>0</xdr:row>
          <xdr:rowOff>373380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96CEA61-C6A2-49FD-8C8B-AA7C54764D1C}"/>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C2A61984-37E1-43D1-9A58-5A0D530B1EA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27651" name="Button 3" hidden="1">
              <a:extLst>
                <a:ext uri="{63B3BB69-23CF-44E3-9099-C40C66FF867C}">
                  <a14:compatExt spid="_x0000_s27651"/>
                </a:ext>
                <a:ext uri="{FF2B5EF4-FFF2-40B4-BE49-F238E27FC236}">
                  <a16:creationId xmlns:a16="http://schemas.microsoft.com/office/drawing/2014/main" id="{5DFC2671-C233-4913-881D-610D6464143A}"/>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3368040</xdr:colOff>
          <xdr:row>0</xdr:row>
          <xdr:rowOff>0</xdr:rowOff>
        </xdr:from>
        <xdr:to>
          <xdr:col>2</xdr:col>
          <xdr:colOff>83820</xdr:colOff>
          <xdr:row>0</xdr:row>
          <xdr:rowOff>373380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8721CC61-12C8-41B6-87C5-46CBC3095D7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3F6CF31B-D697-49C7-973C-E73641C9F7B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30723" name="Button 3" hidden="1">
              <a:extLst>
                <a:ext uri="{63B3BB69-23CF-44E3-9099-C40C66FF867C}">
                  <a14:compatExt spid="_x0000_s30723"/>
                </a:ext>
                <a:ext uri="{FF2B5EF4-FFF2-40B4-BE49-F238E27FC236}">
                  <a16:creationId xmlns:a16="http://schemas.microsoft.com/office/drawing/2014/main" id="{3BE66BBF-DCCD-4B34-BDB1-9A3B4A8C79A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3368040</xdr:colOff>
          <xdr:row>0</xdr:row>
          <xdr:rowOff>0</xdr:rowOff>
        </xdr:from>
        <xdr:to>
          <xdr:col>2</xdr:col>
          <xdr:colOff>83820</xdr:colOff>
          <xdr:row>0</xdr:row>
          <xdr:rowOff>373380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1F85A7A2-E213-4B33-B3CE-36D59C8BB85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E85A9415-F3AC-4EC3-AA4F-48311A68F0B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35843" name="Button 3" hidden="1">
              <a:extLst>
                <a:ext uri="{63B3BB69-23CF-44E3-9099-C40C66FF867C}">
                  <a14:compatExt spid="_x0000_s35843"/>
                </a:ext>
                <a:ext uri="{FF2B5EF4-FFF2-40B4-BE49-F238E27FC236}">
                  <a16:creationId xmlns:a16="http://schemas.microsoft.com/office/drawing/2014/main" id="{901AAA7B-6732-4F92-AC64-0DFA9B52ABC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3368040</xdr:colOff>
          <xdr:row>0</xdr:row>
          <xdr:rowOff>0</xdr:rowOff>
        </xdr:from>
        <xdr:to>
          <xdr:col>2</xdr:col>
          <xdr:colOff>83820</xdr:colOff>
          <xdr:row>0</xdr:row>
          <xdr:rowOff>373380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4F04099A-F394-4A4F-A46B-283BA18E372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71233846-4869-43A2-9F02-F884859EC23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34819" name="Button 3" hidden="1">
              <a:extLst>
                <a:ext uri="{63B3BB69-23CF-44E3-9099-C40C66FF867C}">
                  <a14:compatExt spid="_x0000_s34819"/>
                </a:ext>
                <a:ext uri="{FF2B5EF4-FFF2-40B4-BE49-F238E27FC236}">
                  <a16:creationId xmlns:a16="http://schemas.microsoft.com/office/drawing/2014/main" id="{9562E9FB-AD6B-4982-86D6-D913954B8E6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3368040</xdr:colOff>
          <xdr:row>0</xdr:row>
          <xdr:rowOff>0</xdr:rowOff>
        </xdr:from>
        <xdr:to>
          <xdr:col>2</xdr:col>
          <xdr:colOff>83820</xdr:colOff>
          <xdr:row>0</xdr:row>
          <xdr:rowOff>373380</xdr:rowOff>
        </xdr:to>
        <xdr:sp macro="" textlink="">
          <xdr:nvSpPr>
            <xdr:cNvPr id="6145" name="Button 1" hidden="1">
              <a:extLst>
                <a:ext uri="{63B3BB69-23CF-44E3-9099-C40C66FF867C}">
                  <a14:compatExt spid="_x0000_s6145"/>
                </a:ext>
                <a:ext uri="{FF2B5EF4-FFF2-40B4-BE49-F238E27FC236}">
                  <a16:creationId xmlns:a16="http://schemas.microsoft.com/office/drawing/2014/main" id="{47C27461-FE6C-4AAC-BB72-BCB736B8CC7D}"/>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6146" name="Button 2" hidden="1">
              <a:extLst>
                <a:ext uri="{63B3BB69-23CF-44E3-9099-C40C66FF867C}">
                  <a14:compatExt spid="_x0000_s6146"/>
                </a:ext>
                <a:ext uri="{FF2B5EF4-FFF2-40B4-BE49-F238E27FC236}">
                  <a16:creationId xmlns:a16="http://schemas.microsoft.com/office/drawing/2014/main" id="{39B95AB9-660B-4FB3-89B0-4F2549C0429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6147" name="Button 3" hidden="1">
              <a:extLst>
                <a:ext uri="{63B3BB69-23CF-44E3-9099-C40C66FF867C}">
                  <a14:compatExt spid="_x0000_s6147"/>
                </a:ext>
                <a:ext uri="{FF2B5EF4-FFF2-40B4-BE49-F238E27FC236}">
                  <a16:creationId xmlns:a16="http://schemas.microsoft.com/office/drawing/2014/main" id="{13801D77-4A1A-4EE2-8EEA-BE48AC0E9A6A}"/>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3368040</xdr:colOff>
          <xdr:row>0</xdr:row>
          <xdr:rowOff>0</xdr:rowOff>
        </xdr:from>
        <xdr:to>
          <xdr:col>2</xdr:col>
          <xdr:colOff>83820</xdr:colOff>
          <xdr:row>0</xdr:row>
          <xdr:rowOff>373380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985D50CE-EFDF-46F4-AE00-AA7B56F9403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33794" name="Button 2" hidden="1">
              <a:extLst>
                <a:ext uri="{63B3BB69-23CF-44E3-9099-C40C66FF867C}">
                  <a14:compatExt spid="_x0000_s33794"/>
                </a:ext>
                <a:ext uri="{FF2B5EF4-FFF2-40B4-BE49-F238E27FC236}">
                  <a16:creationId xmlns:a16="http://schemas.microsoft.com/office/drawing/2014/main" id="{E73FDD9E-8A6A-41B0-A15A-50F67F75D94C}"/>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33795" name="Button 3" hidden="1">
              <a:extLst>
                <a:ext uri="{63B3BB69-23CF-44E3-9099-C40C66FF867C}">
                  <a14:compatExt spid="_x0000_s33795"/>
                </a:ext>
                <a:ext uri="{FF2B5EF4-FFF2-40B4-BE49-F238E27FC236}">
                  <a16:creationId xmlns:a16="http://schemas.microsoft.com/office/drawing/2014/main" id="{68560BA3-E25D-44F8-8CC8-D242B738186A}"/>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3368040</xdr:colOff>
          <xdr:row>0</xdr:row>
          <xdr:rowOff>0</xdr:rowOff>
        </xdr:from>
        <xdr:to>
          <xdr:col>2</xdr:col>
          <xdr:colOff>83820</xdr:colOff>
          <xdr:row>0</xdr:row>
          <xdr:rowOff>373380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4EA14F46-98F0-4A1D-928B-F8529B7619F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32770" name="Button 2" hidden="1">
              <a:extLst>
                <a:ext uri="{63B3BB69-23CF-44E3-9099-C40C66FF867C}">
                  <a14:compatExt spid="_x0000_s32770"/>
                </a:ext>
                <a:ext uri="{FF2B5EF4-FFF2-40B4-BE49-F238E27FC236}">
                  <a16:creationId xmlns:a16="http://schemas.microsoft.com/office/drawing/2014/main" id="{75AB912F-C348-4D43-9564-3B93874D3ACA}"/>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32771" name="Button 3" hidden="1">
              <a:extLst>
                <a:ext uri="{63B3BB69-23CF-44E3-9099-C40C66FF867C}">
                  <a14:compatExt spid="_x0000_s32771"/>
                </a:ext>
                <a:ext uri="{FF2B5EF4-FFF2-40B4-BE49-F238E27FC236}">
                  <a16:creationId xmlns:a16="http://schemas.microsoft.com/office/drawing/2014/main" id="{6FA1C698-F56D-44AE-8C5F-8ED610E1FB6D}"/>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3368040</xdr:colOff>
          <xdr:row>0</xdr:row>
          <xdr:rowOff>0</xdr:rowOff>
        </xdr:from>
        <xdr:to>
          <xdr:col>2</xdr:col>
          <xdr:colOff>83820</xdr:colOff>
          <xdr:row>0</xdr:row>
          <xdr:rowOff>373380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4F78C235-0388-4E9B-B425-1EEDA8D4058B}"/>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31746" name="Button 2" hidden="1">
              <a:extLst>
                <a:ext uri="{63B3BB69-23CF-44E3-9099-C40C66FF867C}">
                  <a14:compatExt spid="_x0000_s31746"/>
                </a:ext>
                <a:ext uri="{FF2B5EF4-FFF2-40B4-BE49-F238E27FC236}">
                  <a16:creationId xmlns:a16="http://schemas.microsoft.com/office/drawing/2014/main" id="{1DFB87CF-3E54-4F59-BD4A-0BFDA0D574F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31747" name="Button 3" hidden="1">
              <a:extLst>
                <a:ext uri="{63B3BB69-23CF-44E3-9099-C40C66FF867C}">
                  <a14:compatExt spid="_x0000_s31747"/>
                </a:ext>
                <a:ext uri="{FF2B5EF4-FFF2-40B4-BE49-F238E27FC236}">
                  <a16:creationId xmlns:a16="http://schemas.microsoft.com/office/drawing/2014/main" id="{26009D0B-021B-4503-BA04-499A33D65F8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3368040</xdr:colOff>
          <xdr:row>0</xdr:row>
          <xdr:rowOff>0</xdr:rowOff>
        </xdr:from>
        <xdr:to>
          <xdr:col>2</xdr:col>
          <xdr:colOff>83820</xdr:colOff>
          <xdr:row>0</xdr:row>
          <xdr:rowOff>373380</xdr:rowOff>
        </xdr:to>
        <xdr:sp macro="" textlink="">
          <xdr:nvSpPr>
            <xdr:cNvPr id="44033" name="Button 1" hidden="1">
              <a:extLst>
                <a:ext uri="{63B3BB69-23CF-44E3-9099-C40C66FF867C}">
                  <a14:compatExt spid="_x0000_s44033"/>
                </a:ext>
                <a:ext uri="{FF2B5EF4-FFF2-40B4-BE49-F238E27FC236}">
                  <a16:creationId xmlns:a16="http://schemas.microsoft.com/office/drawing/2014/main" id="{667F3F96-7E3D-495A-8D8E-E1E81A58620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44034" name="Button 2" hidden="1">
              <a:extLst>
                <a:ext uri="{63B3BB69-23CF-44E3-9099-C40C66FF867C}">
                  <a14:compatExt spid="_x0000_s44034"/>
                </a:ext>
                <a:ext uri="{FF2B5EF4-FFF2-40B4-BE49-F238E27FC236}">
                  <a16:creationId xmlns:a16="http://schemas.microsoft.com/office/drawing/2014/main" id="{B9CF83A9-F128-4DCD-91AC-BFC2F99C5FFC}"/>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44035" name="Button 3" hidden="1">
              <a:extLst>
                <a:ext uri="{63B3BB69-23CF-44E3-9099-C40C66FF867C}">
                  <a14:compatExt spid="_x0000_s44035"/>
                </a:ext>
                <a:ext uri="{FF2B5EF4-FFF2-40B4-BE49-F238E27FC236}">
                  <a16:creationId xmlns:a16="http://schemas.microsoft.com/office/drawing/2014/main" id="{DF27EB1B-0E74-4400-B941-86F8A24C1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3368040</xdr:colOff>
          <xdr:row>0</xdr:row>
          <xdr:rowOff>0</xdr:rowOff>
        </xdr:from>
        <xdr:to>
          <xdr:col>2</xdr:col>
          <xdr:colOff>83820</xdr:colOff>
          <xdr:row>0</xdr:row>
          <xdr:rowOff>373380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4FE377EE-D1D2-4EB4-BAE7-7171E573530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43010" name="Button 2" hidden="1">
              <a:extLst>
                <a:ext uri="{63B3BB69-23CF-44E3-9099-C40C66FF867C}">
                  <a14:compatExt spid="_x0000_s43010"/>
                </a:ext>
                <a:ext uri="{FF2B5EF4-FFF2-40B4-BE49-F238E27FC236}">
                  <a16:creationId xmlns:a16="http://schemas.microsoft.com/office/drawing/2014/main" id="{C414A764-3445-4109-BDFC-3F47A4D3373F}"/>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43011" name="Button 3" hidden="1">
              <a:extLst>
                <a:ext uri="{63B3BB69-23CF-44E3-9099-C40C66FF867C}">
                  <a14:compatExt spid="_x0000_s43011"/>
                </a:ext>
                <a:ext uri="{FF2B5EF4-FFF2-40B4-BE49-F238E27FC236}">
                  <a16:creationId xmlns:a16="http://schemas.microsoft.com/office/drawing/2014/main" id="{F1119905-2C5B-40CC-9329-F915A92EB16D}"/>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3368040</xdr:colOff>
          <xdr:row>0</xdr:row>
          <xdr:rowOff>0</xdr:rowOff>
        </xdr:from>
        <xdr:to>
          <xdr:col>2</xdr:col>
          <xdr:colOff>83820</xdr:colOff>
          <xdr:row>0</xdr:row>
          <xdr:rowOff>373380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7E5F598B-1A83-4064-9462-6F4DEE69B85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C3C828B4-5868-4AA5-ADBD-5F6D6369BEC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41987" name="Button 3" hidden="1">
              <a:extLst>
                <a:ext uri="{63B3BB69-23CF-44E3-9099-C40C66FF867C}">
                  <a14:compatExt spid="_x0000_s41987"/>
                </a:ext>
                <a:ext uri="{FF2B5EF4-FFF2-40B4-BE49-F238E27FC236}">
                  <a16:creationId xmlns:a16="http://schemas.microsoft.com/office/drawing/2014/main" id="{46EB92EA-12B2-4E60-8175-1C3BFCF2AE1D}"/>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3368040</xdr:colOff>
          <xdr:row>0</xdr:row>
          <xdr:rowOff>0</xdr:rowOff>
        </xdr:from>
        <xdr:to>
          <xdr:col>2</xdr:col>
          <xdr:colOff>83820</xdr:colOff>
          <xdr:row>0</xdr:row>
          <xdr:rowOff>373380</xdr:rowOff>
        </xdr:to>
        <xdr:sp macro="" textlink="">
          <xdr:nvSpPr>
            <xdr:cNvPr id="39937" name="Button 1" hidden="1">
              <a:extLst>
                <a:ext uri="{63B3BB69-23CF-44E3-9099-C40C66FF867C}">
                  <a14:compatExt spid="_x0000_s39937"/>
                </a:ext>
                <a:ext uri="{FF2B5EF4-FFF2-40B4-BE49-F238E27FC236}">
                  <a16:creationId xmlns:a16="http://schemas.microsoft.com/office/drawing/2014/main" id="{E11C1F43-0822-4D89-9BC9-EFB48C43602B}"/>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39938" name="Button 2" hidden="1">
              <a:extLst>
                <a:ext uri="{63B3BB69-23CF-44E3-9099-C40C66FF867C}">
                  <a14:compatExt spid="_x0000_s39938"/>
                </a:ext>
                <a:ext uri="{FF2B5EF4-FFF2-40B4-BE49-F238E27FC236}">
                  <a16:creationId xmlns:a16="http://schemas.microsoft.com/office/drawing/2014/main" id="{4F25A28F-011F-48B7-97D9-041E5B00C68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39939" name="Button 3" hidden="1">
              <a:extLst>
                <a:ext uri="{63B3BB69-23CF-44E3-9099-C40C66FF867C}">
                  <a14:compatExt spid="_x0000_s39939"/>
                </a:ext>
                <a:ext uri="{FF2B5EF4-FFF2-40B4-BE49-F238E27FC236}">
                  <a16:creationId xmlns:a16="http://schemas.microsoft.com/office/drawing/2014/main" id="{4A2298D5-AFF0-4FA9-8CEB-1F16520DEDF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3368040</xdr:colOff>
          <xdr:row>0</xdr:row>
          <xdr:rowOff>0</xdr:rowOff>
        </xdr:from>
        <xdr:to>
          <xdr:col>2</xdr:col>
          <xdr:colOff>83820</xdr:colOff>
          <xdr:row>0</xdr:row>
          <xdr:rowOff>373380</xdr:rowOff>
        </xdr:to>
        <xdr:sp macro="" textlink="">
          <xdr:nvSpPr>
            <xdr:cNvPr id="40961" name="Button 1" hidden="1">
              <a:extLst>
                <a:ext uri="{63B3BB69-23CF-44E3-9099-C40C66FF867C}">
                  <a14:compatExt spid="_x0000_s40961"/>
                </a:ext>
                <a:ext uri="{FF2B5EF4-FFF2-40B4-BE49-F238E27FC236}">
                  <a16:creationId xmlns:a16="http://schemas.microsoft.com/office/drawing/2014/main" id="{2AF7BE55-4B47-447E-B54D-33837596CC6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40962" name="Button 2" hidden="1">
              <a:extLst>
                <a:ext uri="{63B3BB69-23CF-44E3-9099-C40C66FF867C}">
                  <a14:compatExt spid="_x0000_s40962"/>
                </a:ext>
                <a:ext uri="{FF2B5EF4-FFF2-40B4-BE49-F238E27FC236}">
                  <a16:creationId xmlns:a16="http://schemas.microsoft.com/office/drawing/2014/main" id="{F6314DDF-8D67-424F-AF4D-E64A8D057C9D}"/>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40963" name="Button 3" hidden="1">
              <a:extLst>
                <a:ext uri="{63B3BB69-23CF-44E3-9099-C40C66FF867C}">
                  <a14:compatExt spid="_x0000_s40963"/>
                </a:ext>
                <a:ext uri="{FF2B5EF4-FFF2-40B4-BE49-F238E27FC236}">
                  <a16:creationId xmlns:a16="http://schemas.microsoft.com/office/drawing/2014/main" id="{7C0BFCE0-08CA-41C4-A34E-685433E0CBC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3368040</xdr:colOff>
          <xdr:row>0</xdr:row>
          <xdr:rowOff>0</xdr:rowOff>
        </xdr:from>
        <xdr:to>
          <xdr:col>2</xdr:col>
          <xdr:colOff>83820</xdr:colOff>
          <xdr:row>0</xdr:row>
          <xdr:rowOff>373380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1286BF39-A3BA-40A8-85F7-AF573720E1F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71F8BAEA-B269-4F4D-A34B-FD6F262E351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38915" name="Button 3" hidden="1">
              <a:extLst>
                <a:ext uri="{63B3BB69-23CF-44E3-9099-C40C66FF867C}">
                  <a14:compatExt spid="_x0000_s38915"/>
                </a:ext>
                <a:ext uri="{FF2B5EF4-FFF2-40B4-BE49-F238E27FC236}">
                  <a16:creationId xmlns:a16="http://schemas.microsoft.com/office/drawing/2014/main" id="{3C3B2B1B-9D2E-4E69-966C-119AA42AC2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3368040</xdr:colOff>
          <xdr:row>0</xdr:row>
          <xdr:rowOff>0</xdr:rowOff>
        </xdr:from>
        <xdr:to>
          <xdr:col>2</xdr:col>
          <xdr:colOff>83820</xdr:colOff>
          <xdr:row>0</xdr:row>
          <xdr:rowOff>373380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A53D2921-2ED9-4750-8356-2858E2031BCF}"/>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3CEBA914-7284-491C-8131-286D36DB44DA}"/>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37891" name="Button 3" hidden="1">
              <a:extLst>
                <a:ext uri="{63B3BB69-23CF-44E3-9099-C40C66FF867C}">
                  <a14:compatExt spid="_x0000_s37891"/>
                </a:ext>
                <a:ext uri="{FF2B5EF4-FFF2-40B4-BE49-F238E27FC236}">
                  <a16:creationId xmlns:a16="http://schemas.microsoft.com/office/drawing/2014/main" id="{19EBA659-20A6-48F6-A17C-2E82CE4F574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3368040</xdr:colOff>
          <xdr:row>0</xdr:row>
          <xdr:rowOff>0</xdr:rowOff>
        </xdr:from>
        <xdr:to>
          <xdr:col>2</xdr:col>
          <xdr:colOff>83820</xdr:colOff>
          <xdr:row>0</xdr:row>
          <xdr:rowOff>373380</xdr:rowOff>
        </xdr:to>
        <xdr:sp macro="" textlink="">
          <xdr:nvSpPr>
            <xdr:cNvPr id="52225" name="Button 1" hidden="1">
              <a:extLst>
                <a:ext uri="{63B3BB69-23CF-44E3-9099-C40C66FF867C}">
                  <a14:compatExt spid="_x0000_s52225"/>
                </a:ext>
                <a:ext uri="{FF2B5EF4-FFF2-40B4-BE49-F238E27FC236}">
                  <a16:creationId xmlns:a16="http://schemas.microsoft.com/office/drawing/2014/main" id="{D6F86A25-25B0-4895-A504-981AD363D4AA}"/>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52226" name="Button 2" hidden="1">
              <a:extLst>
                <a:ext uri="{63B3BB69-23CF-44E3-9099-C40C66FF867C}">
                  <a14:compatExt spid="_x0000_s52226"/>
                </a:ext>
                <a:ext uri="{FF2B5EF4-FFF2-40B4-BE49-F238E27FC236}">
                  <a16:creationId xmlns:a16="http://schemas.microsoft.com/office/drawing/2014/main" id="{F2897B4A-4A04-490D-9F75-1D27EC1B2C3C}"/>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52227" name="Button 3" hidden="1">
              <a:extLst>
                <a:ext uri="{63B3BB69-23CF-44E3-9099-C40C66FF867C}">
                  <a14:compatExt spid="_x0000_s52227"/>
                </a:ext>
                <a:ext uri="{FF2B5EF4-FFF2-40B4-BE49-F238E27FC236}">
                  <a16:creationId xmlns:a16="http://schemas.microsoft.com/office/drawing/2014/main" id="{03333679-A313-4322-A98C-77B7B3D8A1BC}"/>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3368040</xdr:colOff>
          <xdr:row>0</xdr:row>
          <xdr:rowOff>0</xdr:rowOff>
        </xdr:from>
        <xdr:to>
          <xdr:col>2</xdr:col>
          <xdr:colOff>83820</xdr:colOff>
          <xdr:row>0</xdr:row>
          <xdr:rowOff>373380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A0B7520A-6DB9-4F28-B5D0-AB54E589509E}"/>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BF61C7A6-2DC2-499C-AE88-964B2606597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36867" name="Button 3" hidden="1">
              <a:extLst>
                <a:ext uri="{63B3BB69-23CF-44E3-9099-C40C66FF867C}">
                  <a14:compatExt spid="_x0000_s36867"/>
                </a:ext>
                <a:ext uri="{FF2B5EF4-FFF2-40B4-BE49-F238E27FC236}">
                  <a16:creationId xmlns:a16="http://schemas.microsoft.com/office/drawing/2014/main" id="{E5F07582-BA8F-412F-B5B6-9A5B5F18D47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3368040</xdr:colOff>
          <xdr:row>0</xdr:row>
          <xdr:rowOff>0</xdr:rowOff>
        </xdr:from>
        <xdr:to>
          <xdr:col>2</xdr:col>
          <xdr:colOff>83820</xdr:colOff>
          <xdr:row>0</xdr:row>
          <xdr:rowOff>373380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8F24FC4B-0FB3-4CFD-861D-8032F349CC3F}"/>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50178" name="Button 2" hidden="1">
              <a:extLst>
                <a:ext uri="{63B3BB69-23CF-44E3-9099-C40C66FF867C}">
                  <a14:compatExt spid="_x0000_s50178"/>
                </a:ext>
                <a:ext uri="{FF2B5EF4-FFF2-40B4-BE49-F238E27FC236}">
                  <a16:creationId xmlns:a16="http://schemas.microsoft.com/office/drawing/2014/main" id="{3C472560-FCA9-4479-8020-E96A027BD69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50179" name="Button 3" hidden="1">
              <a:extLst>
                <a:ext uri="{63B3BB69-23CF-44E3-9099-C40C66FF867C}">
                  <a14:compatExt spid="_x0000_s50179"/>
                </a:ext>
                <a:ext uri="{FF2B5EF4-FFF2-40B4-BE49-F238E27FC236}">
                  <a16:creationId xmlns:a16="http://schemas.microsoft.com/office/drawing/2014/main" id="{96AB50D3-E876-4434-BE80-9240462C106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3368040</xdr:colOff>
          <xdr:row>0</xdr:row>
          <xdr:rowOff>0</xdr:rowOff>
        </xdr:from>
        <xdr:to>
          <xdr:col>2</xdr:col>
          <xdr:colOff>83820</xdr:colOff>
          <xdr:row>0</xdr:row>
          <xdr:rowOff>373380</xdr:rowOff>
        </xdr:to>
        <xdr:sp macro="" textlink="">
          <xdr:nvSpPr>
            <xdr:cNvPr id="49153" name="Button 1" hidden="1">
              <a:extLst>
                <a:ext uri="{63B3BB69-23CF-44E3-9099-C40C66FF867C}">
                  <a14:compatExt spid="_x0000_s49153"/>
                </a:ext>
                <a:ext uri="{FF2B5EF4-FFF2-40B4-BE49-F238E27FC236}">
                  <a16:creationId xmlns:a16="http://schemas.microsoft.com/office/drawing/2014/main" id="{0F3EDBDA-D90E-40B3-A896-A70FEA1D8D4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49154" name="Button 2" hidden="1">
              <a:extLst>
                <a:ext uri="{63B3BB69-23CF-44E3-9099-C40C66FF867C}">
                  <a14:compatExt spid="_x0000_s49154"/>
                </a:ext>
                <a:ext uri="{FF2B5EF4-FFF2-40B4-BE49-F238E27FC236}">
                  <a16:creationId xmlns:a16="http://schemas.microsoft.com/office/drawing/2014/main" id="{B019EE47-E340-47DD-A0A4-81EEF6EF36D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49155" name="Button 3" hidden="1">
              <a:extLst>
                <a:ext uri="{63B3BB69-23CF-44E3-9099-C40C66FF867C}">
                  <a14:compatExt spid="_x0000_s49155"/>
                </a:ext>
                <a:ext uri="{FF2B5EF4-FFF2-40B4-BE49-F238E27FC236}">
                  <a16:creationId xmlns:a16="http://schemas.microsoft.com/office/drawing/2014/main" id="{E4ED483C-BD48-4BDC-8059-5F12FB8BA84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3368040</xdr:colOff>
          <xdr:row>0</xdr:row>
          <xdr:rowOff>0</xdr:rowOff>
        </xdr:from>
        <xdr:to>
          <xdr:col>2</xdr:col>
          <xdr:colOff>83820</xdr:colOff>
          <xdr:row>0</xdr:row>
          <xdr:rowOff>373380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F3D55549-4241-4470-8A28-B2A6D630F10C}"/>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51202" name="Button 2" hidden="1">
              <a:extLst>
                <a:ext uri="{63B3BB69-23CF-44E3-9099-C40C66FF867C}">
                  <a14:compatExt spid="_x0000_s51202"/>
                </a:ext>
                <a:ext uri="{FF2B5EF4-FFF2-40B4-BE49-F238E27FC236}">
                  <a16:creationId xmlns:a16="http://schemas.microsoft.com/office/drawing/2014/main" id="{DE652BB4-FC74-458F-8BD3-C4C40896189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51203" name="Button 3" hidden="1">
              <a:extLst>
                <a:ext uri="{63B3BB69-23CF-44E3-9099-C40C66FF867C}">
                  <a14:compatExt spid="_x0000_s51203"/>
                </a:ext>
                <a:ext uri="{FF2B5EF4-FFF2-40B4-BE49-F238E27FC236}">
                  <a16:creationId xmlns:a16="http://schemas.microsoft.com/office/drawing/2014/main" id="{C62686CD-3D8A-4C5A-8102-15FDB3E4DBCD}"/>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3368040</xdr:colOff>
          <xdr:row>0</xdr:row>
          <xdr:rowOff>0</xdr:rowOff>
        </xdr:from>
        <xdr:to>
          <xdr:col>2</xdr:col>
          <xdr:colOff>83820</xdr:colOff>
          <xdr:row>0</xdr:row>
          <xdr:rowOff>373380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BC3946D8-EB55-4631-87C7-27930F76179B}"/>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48130" name="Button 2" hidden="1">
              <a:extLst>
                <a:ext uri="{63B3BB69-23CF-44E3-9099-C40C66FF867C}">
                  <a14:compatExt spid="_x0000_s48130"/>
                </a:ext>
                <a:ext uri="{FF2B5EF4-FFF2-40B4-BE49-F238E27FC236}">
                  <a16:creationId xmlns:a16="http://schemas.microsoft.com/office/drawing/2014/main" id="{E1D6556A-6A5F-42EE-9D93-7FE31205750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48131" name="Button 3" hidden="1">
              <a:extLst>
                <a:ext uri="{63B3BB69-23CF-44E3-9099-C40C66FF867C}">
                  <a14:compatExt spid="_x0000_s48131"/>
                </a:ext>
                <a:ext uri="{FF2B5EF4-FFF2-40B4-BE49-F238E27FC236}">
                  <a16:creationId xmlns:a16="http://schemas.microsoft.com/office/drawing/2014/main" id="{6E29F587-6E64-4439-AADC-11415089F6EF}"/>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3368040</xdr:colOff>
          <xdr:row>0</xdr:row>
          <xdr:rowOff>0</xdr:rowOff>
        </xdr:from>
        <xdr:to>
          <xdr:col>2</xdr:col>
          <xdr:colOff>83820</xdr:colOff>
          <xdr:row>0</xdr:row>
          <xdr:rowOff>373380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3BE754BE-BF57-48E9-AB2D-6E336CC8EE7D}"/>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594DB172-B726-4A32-906E-47F8C34F1B9C}"/>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8D2B50AE-E165-4985-92F4-7B6BBE5E54B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3368040</xdr:colOff>
          <xdr:row>0</xdr:row>
          <xdr:rowOff>0</xdr:rowOff>
        </xdr:from>
        <xdr:to>
          <xdr:col>2</xdr:col>
          <xdr:colOff>83820</xdr:colOff>
          <xdr:row>0</xdr:row>
          <xdr:rowOff>373380</xdr:rowOff>
        </xdr:to>
        <xdr:sp macro="" textlink="">
          <xdr:nvSpPr>
            <xdr:cNvPr id="46081" name="Button 1" hidden="1">
              <a:extLst>
                <a:ext uri="{63B3BB69-23CF-44E3-9099-C40C66FF867C}">
                  <a14:compatExt spid="_x0000_s46081"/>
                </a:ext>
                <a:ext uri="{FF2B5EF4-FFF2-40B4-BE49-F238E27FC236}">
                  <a16:creationId xmlns:a16="http://schemas.microsoft.com/office/drawing/2014/main" id="{17AE9F86-91B7-4638-AE0F-B6AC9644F0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46082" name="Button 2" hidden="1">
              <a:extLst>
                <a:ext uri="{63B3BB69-23CF-44E3-9099-C40C66FF867C}">
                  <a14:compatExt spid="_x0000_s46082"/>
                </a:ext>
                <a:ext uri="{FF2B5EF4-FFF2-40B4-BE49-F238E27FC236}">
                  <a16:creationId xmlns:a16="http://schemas.microsoft.com/office/drawing/2014/main" id="{874C3424-C384-40B0-8A54-98CDCD45E5F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46083" name="Button 3" hidden="1">
              <a:extLst>
                <a:ext uri="{63B3BB69-23CF-44E3-9099-C40C66FF867C}">
                  <a14:compatExt spid="_x0000_s46083"/>
                </a:ext>
                <a:ext uri="{FF2B5EF4-FFF2-40B4-BE49-F238E27FC236}">
                  <a16:creationId xmlns:a16="http://schemas.microsoft.com/office/drawing/2014/main" id="{724767C0-D9C7-4C08-8370-CCE0AD903CE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3368040</xdr:colOff>
          <xdr:row>0</xdr:row>
          <xdr:rowOff>0</xdr:rowOff>
        </xdr:from>
        <xdr:to>
          <xdr:col>2</xdr:col>
          <xdr:colOff>83820</xdr:colOff>
          <xdr:row>0</xdr:row>
          <xdr:rowOff>373380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74BA0A4D-B440-4A5B-9AC7-184281F9652A}"/>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45058" name="Button 2" hidden="1">
              <a:extLst>
                <a:ext uri="{63B3BB69-23CF-44E3-9099-C40C66FF867C}">
                  <a14:compatExt spid="_x0000_s45058"/>
                </a:ext>
                <a:ext uri="{FF2B5EF4-FFF2-40B4-BE49-F238E27FC236}">
                  <a16:creationId xmlns:a16="http://schemas.microsoft.com/office/drawing/2014/main" id="{B8DC179A-D25E-4209-A5BB-90B98814DE7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45059" name="Button 3" hidden="1">
              <a:extLst>
                <a:ext uri="{63B3BB69-23CF-44E3-9099-C40C66FF867C}">
                  <a14:compatExt spid="_x0000_s45059"/>
                </a:ext>
                <a:ext uri="{FF2B5EF4-FFF2-40B4-BE49-F238E27FC236}">
                  <a16:creationId xmlns:a16="http://schemas.microsoft.com/office/drawing/2014/main" id="{AA0EBBDE-1F5B-4022-8A8F-DAABBFA2F9B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3368040</xdr:colOff>
          <xdr:row>0</xdr:row>
          <xdr:rowOff>0</xdr:rowOff>
        </xdr:from>
        <xdr:to>
          <xdr:col>2</xdr:col>
          <xdr:colOff>83820</xdr:colOff>
          <xdr:row>0</xdr:row>
          <xdr:rowOff>373380</xdr:rowOff>
        </xdr:to>
        <xdr:sp macro="" textlink="">
          <xdr:nvSpPr>
            <xdr:cNvPr id="56321" name="Button 1" hidden="1">
              <a:extLst>
                <a:ext uri="{63B3BB69-23CF-44E3-9099-C40C66FF867C}">
                  <a14:compatExt spid="_x0000_s56321"/>
                </a:ext>
                <a:ext uri="{FF2B5EF4-FFF2-40B4-BE49-F238E27FC236}">
                  <a16:creationId xmlns:a16="http://schemas.microsoft.com/office/drawing/2014/main" id="{8687DC45-EB09-4EB1-B608-DDDBF8F898B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56322" name="Button 2" hidden="1">
              <a:extLst>
                <a:ext uri="{63B3BB69-23CF-44E3-9099-C40C66FF867C}">
                  <a14:compatExt spid="_x0000_s56322"/>
                </a:ext>
                <a:ext uri="{FF2B5EF4-FFF2-40B4-BE49-F238E27FC236}">
                  <a16:creationId xmlns:a16="http://schemas.microsoft.com/office/drawing/2014/main" id="{AA400B86-F291-46BF-9579-2500761CBD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56323" name="Button 3" hidden="1">
              <a:extLst>
                <a:ext uri="{63B3BB69-23CF-44E3-9099-C40C66FF867C}">
                  <a14:compatExt spid="_x0000_s56323"/>
                </a:ext>
                <a:ext uri="{FF2B5EF4-FFF2-40B4-BE49-F238E27FC236}">
                  <a16:creationId xmlns:a16="http://schemas.microsoft.com/office/drawing/2014/main" id="{7995E0AB-2AC0-4E69-A366-2CFE750C1B4C}"/>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3368040</xdr:colOff>
          <xdr:row>0</xdr:row>
          <xdr:rowOff>0</xdr:rowOff>
        </xdr:from>
        <xdr:to>
          <xdr:col>2</xdr:col>
          <xdr:colOff>83820</xdr:colOff>
          <xdr:row>0</xdr:row>
          <xdr:rowOff>373380</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362701CE-C6F9-40DD-A8CC-F07F6F9CAC1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53250" name="Button 2" hidden="1">
              <a:extLst>
                <a:ext uri="{63B3BB69-23CF-44E3-9099-C40C66FF867C}">
                  <a14:compatExt spid="_x0000_s53250"/>
                </a:ext>
                <a:ext uri="{FF2B5EF4-FFF2-40B4-BE49-F238E27FC236}">
                  <a16:creationId xmlns:a16="http://schemas.microsoft.com/office/drawing/2014/main" id="{D192C424-85D4-471F-A5DD-F665DDEEE9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53251" name="Button 3" hidden="1">
              <a:extLst>
                <a:ext uri="{63B3BB69-23CF-44E3-9099-C40C66FF867C}">
                  <a14:compatExt spid="_x0000_s53251"/>
                </a:ext>
                <a:ext uri="{FF2B5EF4-FFF2-40B4-BE49-F238E27FC236}">
                  <a16:creationId xmlns:a16="http://schemas.microsoft.com/office/drawing/2014/main" id="{EB815974-4804-4336-8EBE-A136002123E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3368040</xdr:colOff>
          <xdr:row>0</xdr:row>
          <xdr:rowOff>0</xdr:rowOff>
        </xdr:from>
        <xdr:to>
          <xdr:col>2</xdr:col>
          <xdr:colOff>83820</xdr:colOff>
          <xdr:row>0</xdr:row>
          <xdr:rowOff>373380</xdr:rowOff>
        </xdr:to>
        <xdr:sp macro="" textlink="">
          <xdr:nvSpPr>
            <xdr:cNvPr id="54273" name="Button 1" hidden="1">
              <a:extLst>
                <a:ext uri="{63B3BB69-23CF-44E3-9099-C40C66FF867C}">
                  <a14:compatExt spid="_x0000_s54273"/>
                </a:ext>
                <a:ext uri="{FF2B5EF4-FFF2-40B4-BE49-F238E27FC236}">
                  <a16:creationId xmlns:a16="http://schemas.microsoft.com/office/drawing/2014/main" id="{4D385BC5-D467-4521-B88A-26858848D47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54274" name="Button 2" hidden="1">
              <a:extLst>
                <a:ext uri="{63B3BB69-23CF-44E3-9099-C40C66FF867C}">
                  <a14:compatExt spid="_x0000_s54274"/>
                </a:ext>
                <a:ext uri="{FF2B5EF4-FFF2-40B4-BE49-F238E27FC236}">
                  <a16:creationId xmlns:a16="http://schemas.microsoft.com/office/drawing/2014/main" id="{E670B490-5939-4B90-896C-3A66847D9FB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54275" name="Button 3" hidden="1">
              <a:extLst>
                <a:ext uri="{63B3BB69-23CF-44E3-9099-C40C66FF867C}">
                  <a14:compatExt spid="_x0000_s54275"/>
                </a:ext>
                <a:ext uri="{FF2B5EF4-FFF2-40B4-BE49-F238E27FC236}">
                  <a16:creationId xmlns:a16="http://schemas.microsoft.com/office/drawing/2014/main" id="{C6F3AC72-E50D-438D-BF8A-5BD299BE7D6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3368040</xdr:colOff>
          <xdr:row>0</xdr:row>
          <xdr:rowOff>0</xdr:rowOff>
        </xdr:from>
        <xdr:to>
          <xdr:col>2</xdr:col>
          <xdr:colOff>83820</xdr:colOff>
          <xdr:row>0</xdr:row>
          <xdr:rowOff>373380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86D84A7A-6938-45CB-BB94-9AB37B278E3B}"/>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57346" name="Button 2" hidden="1">
              <a:extLst>
                <a:ext uri="{63B3BB69-23CF-44E3-9099-C40C66FF867C}">
                  <a14:compatExt spid="_x0000_s57346"/>
                </a:ext>
                <a:ext uri="{FF2B5EF4-FFF2-40B4-BE49-F238E27FC236}">
                  <a16:creationId xmlns:a16="http://schemas.microsoft.com/office/drawing/2014/main" id="{C2AF5273-17E7-4FD1-985F-FF4A12BCE8C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57347" name="Button 3" hidden="1">
              <a:extLst>
                <a:ext uri="{63B3BB69-23CF-44E3-9099-C40C66FF867C}">
                  <a14:compatExt spid="_x0000_s57347"/>
                </a:ext>
                <a:ext uri="{FF2B5EF4-FFF2-40B4-BE49-F238E27FC236}">
                  <a16:creationId xmlns:a16="http://schemas.microsoft.com/office/drawing/2014/main" id="{6674F39C-4BA9-4BF9-9816-C842C26C7E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3368040</xdr:colOff>
          <xdr:row>0</xdr:row>
          <xdr:rowOff>0</xdr:rowOff>
        </xdr:from>
        <xdr:to>
          <xdr:col>2</xdr:col>
          <xdr:colOff>83820</xdr:colOff>
          <xdr:row>0</xdr:row>
          <xdr:rowOff>373380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24C5F8E0-58F5-493C-AC2D-BF870C2D527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59394" name="Button 2" hidden="1">
              <a:extLst>
                <a:ext uri="{63B3BB69-23CF-44E3-9099-C40C66FF867C}">
                  <a14:compatExt spid="_x0000_s59394"/>
                </a:ext>
                <a:ext uri="{FF2B5EF4-FFF2-40B4-BE49-F238E27FC236}">
                  <a16:creationId xmlns:a16="http://schemas.microsoft.com/office/drawing/2014/main" id="{7CE3D213-88A1-4AA4-8452-99BDF792930A}"/>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59395" name="Button 3" hidden="1">
              <a:extLst>
                <a:ext uri="{63B3BB69-23CF-44E3-9099-C40C66FF867C}">
                  <a14:compatExt spid="_x0000_s59395"/>
                </a:ext>
                <a:ext uri="{FF2B5EF4-FFF2-40B4-BE49-F238E27FC236}">
                  <a16:creationId xmlns:a16="http://schemas.microsoft.com/office/drawing/2014/main" id="{F5C384F1-6BEC-491F-AD6F-0F8E1CF3C25B}"/>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3368040</xdr:colOff>
          <xdr:row>0</xdr:row>
          <xdr:rowOff>0</xdr:rowOff>
        </xdr:from>
        <xdr:to>
          <xdr:col>2</xdr:col>
          <xdr:colOff>83820</xdr:colOff>
          <xdr:row>0</xdr:row>
          <xdr:rowOff>373380</xdr:rowOff>
        </xdr:to>
        <xdr:sp macro="" textlink="">
          <xdr:nvSpPr>
            <xdr:cNvPr id="7169" name="Button 1" hidden="1">
              <a:extLst>
                <a:ext uri="{63B3BB69-23CF-44E3-9099-C40C66FF867C}">
                  <a14:compatExt spid="_x0000_s7169"/>
                </a:ext>
                <a:ext uri="{FF2B5EF4-FFF2-40B4-BE49-F238E27FC236}">
                  <a16:creationId xmlns:a16="http://schemas.microsoft.com/office/drawing/2014/main" id="{73C1A1F1-FCCB-46B1-963A-DF8D0B3AA89A}"/>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7170" name="Button 2" hidden="1">
              <a:extLst>
                <a:ext uri="{63B3BB69-23CF-44E3-9099-C40C66FF867C}">
                  <a14:compatExt spid="_x0000_s7170"/>
                </a:ext>
                <a:ext uri="{FF2B5EF4-FFF2-40B4-BE49-F238E27FC236}">
                  <a16:creationId xmlns:a16="http://schemas.microsoft.com/office/drawing/2014/main" id="{8B06A986-D9FA-4649-8183-C25FE77ED2E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7171" name="Button 3" hidden="1">
              <a:extLst>
                <a:ext uri="{63B3BB69-23CF-44E3-9099-C40C66FF867C}">
                  <a14:compatExt spid="_x0000_s7171"/>
                </a:ext>
                <a:ext uri="{FF2B5EF4-FFF2-40B4-BE49-F238E27FC236}">
                  <a16:creationId xmlns:a16="http://schemas.microsoft.com/office/drawing/2014/main" id="{C11B1E31-4B06-474F-9CAD-32446B9EC17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3368040</xdr:colOff>
          <xdr:row>0</xdr:row>
          <xdr:rowOff>0</xdr:rowOff>
        </xdr:from>
        <xdr:to>
          <xdr:col>2</xdr:col>
          <xdr:colOff>83820</xdr:colOff>
          <xdr:row>0</xdr:row>
          <xdr:rowOff>373380</xdr:rowOff>
        </xdr:to>
        <xdr:sp macro="" textlink="">
          <xdr:nvSpPr>
            <xdr:cNvPr id="60417" name="Button 1" hidden="1">
              <a:extLst>
                <a:ext uri="{63B3BB69-23CF-44E3-9099-C40C66FF867C}">
                  <a14:compatExt spid="_x0000_s60417"/>
                </a:ext>
                <a:ext uri="{FF2B5EF4-FFF2-40B4-BE49-F238E27FC236}">
                  <a16:creationId xmlns:a16="http://schemas.microsoft.com/office/drawing/2014/main" id="{6116B8F4-54BB-460A-95C9-0650E057138A}"/>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60418" name="Button 2" hidden="1">
              <a:extLst>
                <a:ext uri="{63B3BB69-23CF-44E3-9099-C40C66FF867C}">
                  <a14:compatExt spid="_x0000_s60418"/>
                </a:ext>
                <a:ext uri="{FF2B5EF4-FFF2-40B4-BE49-F238E27FC236}">
                  <a16:creationId xmlns:a16="http://schemas.microsoft.com/office/drawing/2014/main" id="{61965464-D707-45D8-8E2B-BB603B912F1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60419" name="Button 3" hidden="1">
              <a:extLst>
                <a:ext uri="{63B3BB69-23CF-44E3-9099-C40C66FF867C}">
                  <a14:compatExt spid="_x0000_s60419"/>
                </a:ext>
                <a:ext uri="{FF2B5EF4-FFF2-40B4-BE49-F238E27FC236}">
                  <a16:creationId xmlns:a16="http://schemas.microsoft.com/office/drawing/2014/main" id="{759FD60F-09EB-4147-AD53-333FAF542E0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3368040</xdr:colOff>
          <xdr:row>0</xdr:row>
          <xdr:rowOff>0</xdr:rowOff>
        </xdr:from>
        <xdr:to>
          <xdr:col>2</xdr:col>
          <xdr:colOff>83820</xdr:colOff>
          <xdr:row>0</xdr:row>
          <xdr:rowOff>373380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42FBB933-2507-4C45-A7B9-295B6154638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1A051B8B-AB18-42EB-821D-7CA231E4DD9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DA042F20-8CB9-4CDE-96F9-FA607533C5E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3368040</xdr:colOff>
          <xdr:row>0</xdr:row>
          <xdr:rowOff>0</xdr:rowOff>
        </xdr:from>
        <xdr:to>
          <xdr:col>2</xdr:col>
          <xdr:colOff>83820</xdr:colOff>
          <xdr:row>0</xdr:row>
          <xdr:rowOff>373380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8ABC583F-79B9-4C27-82EF-51E86BAAC5B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C8B3C934-0430-4DBB-A7C4-306EAF7BED6D}"/>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A007BDBE-5093-4581-8919-18A7A4BDC2F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3368040</xdr:colOff>
          <xdr:row>0</xdr:row>
          <xdr:rowOff>0</xdr:rowOff>
        </xdr:from>
        <xdr:to>
          <xdr:col>2</xdr:col>
          <xdr:colOff>83820</xdr:colOff>
          <xdr:row>0</xdr:row>
          <xdr:rowOff>373380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2B94FCCC-FE13-4B83-88F1-59EA34A4AB3D}"/>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24578" name="Button 2" hidden="1">
              <a:extLst>
                <a:ext uri="{63B3BB69-23CF-44E3-9099-C40C66FF867C}">
                  <a14:compatExt spid="_x0000_s24578"/>
                </a:ext>
                <a:ext uri="{FF2B5EF4-FFF2-40B4-BE49-F238E27FC236}">
                  <a16:creationId xmlns:a16="http://schemas.microsoft.com/office/drawing/2014/main" id="{CF1FF768-FCAD-48B4-B6AA-CABF85E079AD}"/>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24579" name="Button 3" hidden="1">
              <a:extLst>
                <a:ext uri="{63B3BB69-23CF-44E3-9099-C40C66FF867C}">
                  <a14:compatExt spid="_x0000_s24579"/>
                </a:ext>
                <a:ext uri="{FF2B5EF4-FFF2-40B4-BE49-F238E27FC236}">
                  <a16:creationId xmlns:a16="http://schemas.microsoft.com/office/drawing/2014/main" id="{89FA99BA-03F1-41DD-9828-9063C671260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3368040</xdr:colOff>
          <xdr:row>0</xdr:row>
          <xdr:rowOff>0</xdr:rowOff>
        </xdr:from>
        <xdr:to>
          <xdr:col>2</xdr:col>
          <xdr:colOff>83820</xdr:colOff>
          <xdr:row>0</xdr:row>
          <xdr:rowOff>373380</xdr:rowOff>
        </xdr:to>
        <xdr:sp macro="" textlink="">
          <xdr:nvSpPr>
            <xdr:cNvPr id="55297" name="Button 1" hidden="1">
              <a:extLst>
                <a:ext uri="{63B3BB69-23CF-44E3-9099-C40C66FF867C}">
                  <a14:compatExt spid="_x0000_s55297"/>
                </a:ext>
                <a:ext uri="{FF2B5EF4-FFF2-40B4-BE49-F238E27FC236}">
                  <a16:creationId xmlns:a16="http://schemas.microsoft.com/office/drawing/2014/main" id="{50EF30EF-BEBE-47CE-9B89-B584001EA78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55298" name="Button 2" hidden="1">
              <a:extLst>
                <a:ext uri="{63B3BB69-23CF-44E3-9099-C40C66FF867C}">
                  <a14:compatExt spid="_x0000_s55298"/>
                </a:ext>
                <a:ext uri="{FF2B5EF4-FFF2-40B4-BE49-F238E27FC236}">
                  <a16:creationId xmlns:a16="http://schemas.microsoft.com/office/drawing/2014/main" id="{D9939D5B-E932-4BA5-B359-F794ACE2F00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55299" name="Button 3" hidden="1">
              <a:extLst>
                <a:ext uri="{63B3BB69-23CF-44E3-9099-C40C66FF867C}">
                  <a14:compatExt spid="_x0000_s55299"/>
                </a:ext>
                <a:ext uri="{FF2B5EF4-FFF2-40B4-BE49-F238E27FC236}">
                  <a16:creationId xmlns:a16="http://schemas.microsoft.com/office/drawing/2014/main" id="{CE297105-56A4-4F8F-89E0-1C1E870D132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3368040</xdr:colOff>
          <xdr:row>0</xdr:row>
          <xdr:rowOff>0</xdr:rowOff>
        </xdr:from>
        <xdr:to>
          <xdr:col>2</xdr:col>
          <xdr:colOff>83820</xdr:colOff>
          <xdr:row>0</xdr:row>
          <xdr:rowOff>373380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BAF710D5-91A2-4B45-9CC4-5D877BD7C0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44C1AB8F-C081-42F7-B8A3-372BAD55212C}"/>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21507" name="Button 3" hidden="1">
              <a:extLst>
                <a:ext uri="{63B3BB69-23CF-44E3-9099-C40C66FF867C}">
                  <a14:compatExt spid="_x0000_s21507"/>
                </a:ext>
                <a:ext uri="{FF2B5EF4-FFF2-40B4-BE49-F238E27FC236}">
                  <a16:creationId xmlns:a16="http://schemas.microsoft.com/office/drawing/2014/main" id="{F8C7AE39-0125-489A-9741-AE2B870CFAF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3368040</xdr:colOff>
          <xdr:row>0</xdr:row>
          <xdr:rowOff>0</xdr:rowOff>
        </xdr:from>
        <xdr:to>
          <xdr:col>2</xdr:col>
          <xdr:colOff>83820</xdr:colOff>
          <xdr:row>0</xdr:row>
          <xdr:rowOff>373380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A4B1E5-06F2-48F4-AD91-5F780A2E110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B7D9B6F5-D262-4EE9-A577-C8D1E7B890DA}"/>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D52D8471-F154-4494-A737-3966F188F89C}"/>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3368040</xdr:colOff>
          <xdr:row>0</xdr:row>
          <xdr:rowOff>0</xdr:rowOff>
        </xdr:from>
        <xdr:to>
          <xdr:col>2</xdr:col>
          <xdr:colOff>83820</xdr:colOff>
          <xdr:row>0</xdr:row>
          <xdr:rowOff>373380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7824DF78-AA48-4589-A5C0-CB458296DB8C}"/>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45137656-6536-4433-8D56-24EDDDD2C92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35F31F53-34AE-4765-A2E2-BF73C5B618BF}"/>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3368040</xdr:colOff>
          <xdr:row>0</xdr:row>
          <xdr:rowOff>0</xdr:rowOff>
        </xdr:from>
        <xdr:to>
          <xdr:col>2</xdr:col>
          <xdr:colOff>83820</xdr:colOff>
          <xdr:row>0</xdr:row>
          <xdr:rowOff>373380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CB52C6BD-90FE-40C9-9A15-18A18209F3B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C34A57AB-3981-4649-8F02-9A25EE4C2F6B}"/>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22531" name="Button 3" hidden="1">
              <a:extLst>
                <a:ext uri="{63B3BB69-23CF-44E3-9099-C40C66FF867C}">
                  <a14:compatExt spid="_x0000_s22531"/>
                </a:ext>
                <a:ext uri="{FF2B5EF4-FFF2-40B4-BE49-F238E27FC236}">
                  <a16:creationId xmlns:a16="http://schemas.microsoft.com/office/drawing/2014/main" id="{99C3FE11-9281-42CF-8D8D-FD88ED29BAFB}"/>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4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3368040</xdr:colOff>
          <xdr:row>0</xdr:row>
          <xdr:rowOff>0</xdr:rowOff>
        </xdr:from>
        <xdr:to>
          <xdr:col>2</xdr:col>
          <xdr:colOff>83820</xdr:colOff>
          <xdr:row>0</xdr:row>
          <xdr:rowOff>373380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307CC30D-0142-493E-B547-D3939A0D9D4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990A4D1C-9254-4A9F-8D9A-825CFABABF7B}"/>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F560A70A-3BB0-446F-9359-E7A40AC61C4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4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3368040</xdr:colOff>
          <xdr:row>0</xdr:row>
          <xdr:rowOff>0</xdr:rowOff>
        </xdr:from>
        <xdr:to>
          <xdr:col>2</xdr:col>
          <xdr:colOff>83820</xdr:colOff>
          <xdr:row>0</xdr:row>
          <xdr:rowOff>373380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4783EDF8-AC9F-4671-8FA0-236C3D20E88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73AB5F0B-9F2C-4A6E-86A5-FAD3AA267C0F}"/>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26627" name="Button 3" hidden="1">
              <a:extLst>
                <a:ext uri="{63B3BB69-23CF-44E3-9099-C40C66FF867C}">
                  <a14:compatExt spid="_x0000_s26627"/>
                </a:ext>
                <a:ext uri="{FF2B5EF4-FFF2-40B4-BE49-F238E27FC236}">
                  <a16:creationId xmlns:a16="http://schemas.microsoft.com/office/drawing/2014/main" id="{7F425118-25A1-4408-96CD-A96D9E2ACD0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4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3368040</xdr:colOff>
          <xdr:row>0</xdr:row>
          <xdr:rowOff>0</xdr:rowOff>
        </xdr:from>
        <xdr:to>
          <xdr:col>2</xdr:col>
          <xdr:colOff>83820</xdr:colOff>
          <xdr:row>0</xdr:row>
          <xdr:rowOff>373380</xdr:rowOff>
        </xdr:to>
        <xdr:sp macro="" textlink="">
          <xdr:nvSpPr>
            <xdr:cNvPr id="58369" name="Button 1" hidden="1">
              <a:extLst>
                <a:ext uri="{63B3BB69-23CF-44E3-9099-C40C66FF867C}">
                  <a14:compatExt spid="_x0000_s58369"/>
                </a:ext>
                <a:ext uri="{FF2B5EF4-FFF2-40B4-BE49-F238E27FC236}">
                  <a16:creationId xmlns:a16="http://schemas.microsoft.com/office/drawing/2014/main" id="{059B0D65-0B2E-45A9-8246-AE3058973EDC}"/>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58370" name="Button 2" hidden="1">
              <a:extLst>
                <a:ext uri="{63B3BB69-23CF-44E3-9099-C40C66FF867C}">
                  <a14:compatExt spid="_x0000_s58370"/>
                </a:ext>
                <a:ext uri="{FF2B5EF4-FFF2-40B4-BE49-F238E27FC236}">
                  <a16:creationId xmlns:a16="http://schemas.microsoft.com/office/drawing/2014/main" id="{18C6EACD-8799-4976-8985-507CE07C8F8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58371" name="Button 3" hidden="1">
              <a:extLst>
                <a:ext uri="{63B3BB69-23CF-44E3-9099-C40C66FF867C}">
                  <a14:compatExt spid="_x0000_s58371"/>
                </a:ext>
                <a:ext uri="{FF2B5EF4-FFF2-40B4-BE49-F238E27FC236}">
                  <a16:creationId xmlns:a16="http://schemas.microsoft.com/office/drawing/2014/main" id="{E674E731-8D80-4467-B6C9-29C3850C860A}"/>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4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3368040</xdr:colOff>
          <xdr:row>0</xdr:row>
          <xdr:rowOff>0</xdr:rowOff>
        </xdr:from>
        <xdr:to>
          <xdr:col>2</xdr:col>
          <xdr:colOff>83820</xdr:colOff>
          <xdr:row>0</xdr:row>
          <xdr:rowOff>373380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E0FBDB62-1EBF-4186-A26E-F808A30A9E7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32B0399A-F0CC-497F-9344-47D7306B01F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17411" name="Button 3" hidden="1">
              <a:extLst>
                <a:ext uri="{63B3BB69-23CF-44E3-9099-C40C66FF867C}">
                  <a14:compatExt spid="_x0000_s17411"/>
                </a:ext>
                <a:ext uri="{FF2B5EF4-FFF2-40B4-BE49-F238E27FC236}">
                  <a16:creationId xmlns:a16="http://schemas.microsoft.com/office/drawing/2014/main" id="{767E150F-0735-4AEE-9F1E-A6609B5040DC}"/>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4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3368040</xdr:colOff>
          <xdr:row>0</xdr:row>
          <xdr:rowOff>0</xdr:rowOff>
        </xdr:from>
        <xdr:to>
          <xdr:col>2</xdr:col>
          <xdr:colOff>83820</xdr:colOff>
          <xdr:row>0</xdr:row>
          <xdr:rowOff>373380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8803E06B-5FF7-4FCB-B9E9-A68C9A4CD1F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3BDCA93D-2EB4-4B2D-A720-10C04C89B75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E9B0371D-9F33-46C6-8D72-DA19A5E3422F}"/>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4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3368040</xdr:colOff>
          <xdr:row>0</xdr:row>
          <xdr:rowOff>0</xdr:rowOff>
        </xdr:from>
        <xdr:to>
          <xdr:col>2</xdr:col>
          <xdr:colOff>83820</xdr:colOff>
          <xdr:row>0</xdr:row>
          <xdr:rowOff>373380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747BD7B9-6225-4806-9133-8123AAAF7EC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E751F09A-CEA2-4A30-BF8D-1CABFADFFCD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73BC18E3-9AAC-4E3D-BF48-F9D6C7D857EF}"/>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5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3368040</xdr:colOff>
          <xdr:row>0</xdr:row>
          <xdr:rowOff>0</xdr:rowOff>
        </xdr:from>
        <xdr:to>
          <xdr:col>2</xdr:col>
          <xdr:colOff>83820</xdr:colOff>
          <xdr:row>0</xdr:row>
          <xdr:rowOff>373380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6F2E4A67-6E16-4611-B188-27DC415169A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DAAAB87E-E676-48A1-9EC4-EA850993AC0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DB4A8777-711C-4D60-BF0A-06AA396C326F}"/>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5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3368040</xdr:colOff>
          <xdr:row>0</xdr:row>
          <xdr:rowOff>0</xdr:rowOff>
        </xdr:from>
        <xdr:to>
          <xdr:col>2</xdr:col>
          <xdr:colOff>83820</xdr:colOff>
          <xdr:row>0</xdr:row>
          <xdr:rowOff>373380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12F39D52-69FA-4CED-BA81-ADC84F6767C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CAAE4C37-0A32-4BB9-B33F-97C74CEDE9C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2BA4AE12-E8DF-46F0-A98F-217E5AF681B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5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3368040</xdr:colOff>
          <xdr:row>0</xdr:row>
          <xdr:rowOff>0</xdr:rowOff>
        </xdr:from>
        <xdr:to>
          <xdr:col>2</xdr:col>
          <xdr:colOff>83820</xdr:colOff>
          <xdr:row>0</xdr:row>
          <xdr:rowOff>373380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880BED02-C4BD-4814-A83E-AAE4D8D6A87D}"/>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739D37B3-224F-41F0-B362-3D18CEE1A66B}"/>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B005F8CB-0884-4A65-ABA7-347A5E88D4F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5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3368040</xdr:colOff>
          <xdr:row>0</xdr:row>
          <xdr:rowOff>0</xdr:rowOff>
        </xdr:from>
        <xdr:to>
          <xdr:col>2</xdr:col>
          <xdr:colOff>83820</xdr:colOff>
          <xdr:row>0</xdr:row>
          <xdr:rowOff>373380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D7BCBED4-4CCA-4672-95FB-15B9DA548FFB}"/>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41B6DBFF-BA6F-4EB7-905E-0A5EA534415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4FE7CDF4-A83F-49DC-94D9-7A620A5F166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5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3368040</xdr:colOff>
          <xdr:row>0</xdr:row>
          <xdr:rowOff>0</xdr:rowOff>
        </xdr:from>
        <xdr:to>
          <xdr:col>2</xdr:col>
          <xdr:colOff>83820</xdr:colOff>
          <xdr:row>0</xdr:row>
          <xdr:rowOff>373380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EFE86C36-DB96-4B66-B8C2-7BA5D3E74D3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B7D1F7AB-7533-4BAB-AC1D-DA7E083E106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1CAFFF80-C22F-498C-8F80-30F0F986B41D}"/>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5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3368040</xdr:colOff>
          <xdr:row>0</xdr:row>
          <xdr:rowOff>0</xdr:rowOff>
        </xdr:from>
        <xdr:to>
          <xdr:col>2</xdr:col>
          <xdr:colOff>83820</xdr:colOff>
          <xdr:row>0</xdr:row>
          <xdr:rowOff>373380</xdr:rowOff>
        </xdr:to>
        <xdr:sp macro="" textlink="">
          <xdr:nvSpPr>
            <xdr:cNvPr id="5121" name="Button 1" hidden="1">
              <a:extLst>
                <a:ext uri="{63B3BB69-23CF-44E3-9099-C40C66FF867C}">
                  <a14:compatExt spid="_x0000_s5121"/>
                </a:ext>
                <a:ext uri="{FF2B5EF4-FFF2-40B4-BE49-F238E27FC236}">
                  <a16:creationId xmlns:a16="http://schemas.microsoft.com/office/drawing/2014/main" id="{EF9F8BA6-FD28-4C93-BD36-94C04956B5D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5122" name="Button 2" hidden="1">
              <a:extLst>
                <a:ext uri="{63B3BB69-23CF-44E3-9099-C40C66FF867C}">
                  <a14:compatExt spid="_x0000_s5122"/>
                </a:ext>
                <a:ext uri="{FF2B5EF4-FFF2-40B4-BE49-F238E27FC236}">
                  <a16:creationId xmlns:a16="http://schemas.microsoft.com/office/drawing/2014/main" id="{27DB4DE3-75E8-49F5-B8CF-75CB8ABC2DA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5123" name="Button 3" hidden="1">
              <a:extLst>
                <a:ext uri="{63B3BB69-23CF-44E3-9099-C40C66FF867C}">
                  <a14:compatExt spid="_x0000_s5123"/>
                </a:ext>
                <a:ext uri="{FF2B5EF4-FFF2-40B4-BE49-F238E27FC236}">
                  <a16:creationId xmlns:a16="http://schemas.microsoft.com/office/drawing/2014/main" id="{C7B1755B-1AE8-4B2E-B515-C5A0860F7B6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5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3368040</xdr:colOff>
          <xdr:row>0</xdr:row>
          <xdr:rowOff>0</xdr:rowOff>
        </xdr:from>
        <xdr:to>
          <xdr:col>2</xdr:col>
          <xdr:colOff>83820</xdr:colOff>
          <xdr:row>0</xdr:row>
          <xdr:rowOff>373380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633486D9-2712-4B69-A9CF-CBC5D468A6CF}"/>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2050" name="Button 2" hidden="1">
              <a:extLst>
                <a:ext uri="{63B3BB69-23CF-44E3-9099-C40C66FF867C}">
                  <a14:compatExt spid="_x0000_s2050"/>
                </a:ext>
                <a:ext uri="{FF2B5EF4-FFF2-40B4-BE49-F238E27FC236}">
                  <a16:creationId xmlns:a16="http://schemas.microsoft.com/office/drawing/2014/main" id="{6D8E8CF2-639E-4DFD-9C39-EC559077EEC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2051" name="Button 3" hidden="1">
              <a:extLst>
                <a:ext uri="{63B3BB69-23CF-44E3-9099-C40C66FF867C}">
                  <a14:compatExt spid="_x0000_s2051"/>
                </a:ext>
                <a:ext uri="{FF2B5EF4-FFF2-40B4-BE49-F238E27FC236}">
                  <a16:creationId xmlns:a16="http://schemas.microsoft.com/office/drawing/2014/main" id="{9FD353DC-1850-4A2B-B7CC-629D9B0CE05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5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3368040</xdr:colOff>
          <xdr:row>0</xdr:row>
          <xdr:rowOff>0</xdr:rowOff>
        </xdr:from>
        <xdr:to>
          <xdr:col>2</xdr:col>
          <xdr:colOff>83820</xdr:colOff>
          <xdr:row>0</xdr:row>
          <xdr:rowOff>373380</xdr:rowOff>
        </xdr:to>
        <xdr:sp macro="" textlink="">
          <xdr:nvSpPr>
            <xdr:cNvPr id="4097" name="Button 1" hidden="1">
              <a:extLst>
                <a:ext uri="{63B3BB69-23CF-44E3-9099-C40C66FF867C}">
                  <a14:compatExt spid="_x0000_s4097"/>
                </a:ext>
                <a:ext uri="{FF2B5EF4-FFF2-40B4-BE49-F238E27FC236}">
                  <a16:creationId xmlns:a16="http://schemas.microsoft.com/office/drawing/2014/main" id="{A929596D-660B-48AF-8E25-1A237A10755E}"/>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4098" name="Button 2" hidden="1">
              <a:extLst>
                <a:ext uri="{63B3BB69-23CF-44E3-9099-C40C66FF867C}">
                  <a14:compatExt spid="_x0000_s4098"/>
                </a:ext>
                <a:ext uri="{FF2B5EF4-FFF2-40B4-BE49-F238E27FC236}">
                  <a16:creationId xmlns:a16="http://schemas.microsoft.com/office/drawing/2014/main" id="{94367432-A69C-46CB-A2DA-95B59C726ECE}"/>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4099" name="Button 3" hidden="1">
              <a:extLst>
                <a:ext uri="{63B3BB69-23CF-44E3-9099-C40C66FF867C}">
                  <a14:compatExt spid="_x0000_s4099"/>
                </a:ext>
                <a:ext uri="{FF2B5EF4-FFF2-40B4-BE49-F238E27FC236}">
                  <a16:creationId xmlns:a16="http://schemas.microsoft.com/office/drawing/2014/main" id="{4B126A9E-EC24-4ACE-9811-438682EA840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Juan.Castillo\Desktop\Macro%20Test\SouthAmerica_Suba_NL77.xlsm" TargetMode="External"/><Relationship Id="rId1" Type="http://schemas.openxmlformats.org/officeDocument/2006/relationships/externalLinkPath" Target="SouthAmerica_Suba_NL77.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Juan.Castillo\Desktop\Macro%20Test\Asia_Suba_NL.xlsm" TargetMode="External"/><Relationship Id="rId1" Type="http://schemas.openxmlformats.org/officeDocument/2006/relationships/externalLinkPath" Target="Asia_Suba_N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ivs"/>
      <sheetName val="ARG"/>
      <sheetName val="BOL"/>
      <sheetName val="BRA"/>
      <sheetName val="CHL"/>
      <sheetName val="COL"/>
      <sheetName val="ECU"/>
      <sheetName val="FLK"/>
      <sheetName val="GUF"/>
      <sheetName val="GUY"/>
      <sheetName val="PER"/>
      <sheetName val="PRY"/>
      <sheetName val="SUR"/>
      <sheetName val="URU"/>
      <sheetName val="VEN"/>
      <sheetName val="SouthAmerica_Suba_NL77"/>
    </sheetNames>
    <definedNames>
      <definedName name="ReplaceLineBreaksWithNewLineManualRange"/>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ivs"/>
      <sheetName val="AFG"/>
      <sheetName val="ARM"/>
      <sheetName val="AZE"/>
      <sheetName val="BGD"/>
      <sheetName val="BHR"/>
      <sheetName val="BTN"/>
      <sheetName val="BRN"/>
      <sheetName val="CHI"/>
      <sheetName val="GEO"/>
      <sheetName val="IDN"/>
      <sheetName val="IND"/>
      <sheetName val="IOT"/>
      <sheetName val="IRQ"/>
      <sheetName val="IRN"/>
      <sheetName val="ISR"/>
      <sheetName val="JOR"/>
      <sheetName val="JPN"/>
      <sheetName val="KAZ"/>
      <sheetName val="KGY"/>
      <sheetName val="KHM"/>
      <sheetName val="KWT"/>
      <sheetName val="LAO"/>
      <sheetName val="LBN"/>
      <sheetName val="LKA"/>
      <sheetName val="MAL"/>
      <sheetName val="MDV"/>
      <sheetName val="MMR"/>
      <sheetName val="MNG"/>
      <sheetName val="NEP"/>
      <sheetName val="NKO"/>
      <sheetName val="OMN"/>
      <sheetName val="PAK"/>
      <sheetName val="PHI"/>
      <sheetName val="PSE"/>
      <sheetName val="QAT"/>
      <sheetName val="RUS"/>
      <sheetName val="SAU"/>
      <sheetName val="SGP"/>
      <sheetName val="SKO"/>
      <sheetName val="SYR"/>
      <sheetName val="THA"/>
      <sheetName val="TJK"/>
      <sheetName val="TKM"/>
      <sheetName val="TLS"/>
      <sheetName val="TUR"/>
      <sheetName val="TWN"/>
      <sheetName val="UAE"/>
      <sheetName val="UZB"/>
      <sheetName val="VNM"/>
      <sheetName val="YEM"/>
      <sheetName val="Asia_Suba_NL"/>
    </sheetNames>
    <definedNames>
      <definedName name="GoToSheet"/>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refreshError="1"/>
    </sheetDataSet>
  </externalBook>
</externalLink>
</file>

<file path=xl/richData/_rels/richValueRel.xml.rels><?xml version="1.0" encoding="UTF-8" standalone="yes"?>
<Relationships xmlns="http://schemas.openxmlformats.org/package/2006/relationships"><Relationship Id="rId117" Type="http://schemas.openxmlformats.org/officeDocument/2006/relationships/image" Target="../media/image117.png"/><Relationship Id="rId21" Type="http://schemas.openxmlformats.org/officeDocument/2006/relationships/image" Target="../media/image21.png"/><Relationship Id="rId42" Type="http://schemas.openxmlformats.org/officeDocument/2006/relationships/image" Target="../media/image42.png"/><Relationship Id="rId63" Type="http://schemas.openxmlformats.org/officeDocument/2006/relationships/image" Target="../media/image63.png"/><Relationship Id="rId84" Type="http://schemas.openxmlformats.org/officeDocument/2006/relationships/image" Target="../media/image84.png"/><Relationship Id="rId138" Type="http://schemas.openxmlformats.org/officeDocument/2006/relationships/image" Target="../media/image138.png"/><Relationship Id="rId16" Type="http://schemas.openxmlformats.org/officeDocument/2006/relationships/image" Target="../media/image16.png"/><Relationship Id="rId107" Type="http://schemas.openxmlformats.org/officeDocument/2006/relationships/image" Target="../media/image107.png"/><Relationship Id="rId11" Type="http://schemas.openxmlformats.org/officeDocument/2006/relationships/image" Target="../media/image11.png"/><Relationship Id="rId32" Type="http://schemas.openxmlformats.org/officeDocument/2006/relationships/image" Target="../media/image32.png"/><Relationship Id="rId37" Type="http://schemas.openxmlformats.org/officeDocument/2006/relationships/image" Target="../media/image37.png"/><Relationship Id="rId53" Type="http://schemas.openxmlformats.org/officeDocument/2006/relationships/image" Target="../media/image53.png"/><Relationship Id="rId58" Type="http://schemas.openxmlformats.org/officeDocument/2006/relationships/image" Target="../media/image58.png"/><Relationship Id="rId74" Type="http://schemas.openxmlformats.org/officeDocument/2006/relationships/image" Target="../media/image74.png"/><Relationship Id="rId79" Type="http://schemas.openxmlformats.org/officeDocument/2006/relationships/image" Target="../media/image79.png"/><Relationship Id="rId102" Type="http://schemas.openxmlformats.org/officeDocument/2006/relationships/image" Target="../media/image102.png"/><Relationship Id="rId123" Type="http://schemas.openxmlformats.org/officeDocument/2006/relationships/image" Target="../media/image123.png"/><Relationship Id="rId128" Type="http://schemas.openxmlformats.org/officeDocument/2006/relationships/image" Target="../media/image128.png"/><Relationship Id="rId5" Type="http://schemas.openxmlformats.org/officeDocument/2006/relationships/image" Target="../media/image5.png"/><Relationship Id="rId90" Type="http://schemas.openxmlformats.org/officeDocument/2006/relationships/image" Target="../media/image90.png"/><Relationship Id="rId95" Type="http://schemas.openxmlformats.org/officeDocument/2006/relationships/image" Target="../media/image95.png"/><Relationship Id="rId22" Type="http://schemas.openxmlformats.org/officeDocument/2006/relationships/image" Target="../media/image22.png"/><Relationship Id="rId27" Type="http://schemas.openxmlformats.org/officeDocument/2006/relationships/image" Target="../media/image27.png"/><Relationship Id="rId43" Type="http://schemas.openxmlformats.org/officeDocument/2006/relationships/image" Target="../media/image43.png"/><Relationship Id="rId48" Type="http://schemas.openxmlformats.org/officeDocument/2006/relationships/image" Target="../media/image48.png"/><Relationship Id="rId64" Type="http://schemas.openxmlformats.org/officeDocument/2006/relationships/image" Target="../media/image64.png"/><Relationship Id="rId69" Type="http://schemas.openxmlformats.org/officeDocument/2006/relationships/image" Target="../media/image69.png"/><Relationship Id="rId113" Type="http://schemas.openxmlformats.org/officeDocument/2006/relationships/image" Target="../media/image113.png"/><Relationship Id="rId118" Type="http://schemas.openxmlformats.org/officeDocument/2006/relationships/image" Target="../media/image118.png"/><Relationship Id="rId134" Type="http://schemas.openxmlformats.org/officeDocument/2006/relationships/image" Target="../media/image134.png"/><Relationship Id="rId139" Type="http://schemas.openxmlformats.org/officeDocument/2006/relationships/image" Target="../media/image139.png"/><Relationship Id="rId80" Type="http://schemas.openxmlformats.org/officeDocument/2006/relationships/image" Target="../media/image80.png"/><Relationship Id="rId85" Type="http://schemas.openxmlformats.org/officeDocument/2006/relationships/image" Target="../media/image85.png"/><Relationship Id="rId12" Type="http://schemas.openxmlformats.org/officeDocument/2006/relationships/image" Target="../media/image12.png"/><Relationship Id="rId17" Type="http://schemas.openxmlformats.org/officeDocument/2006/relationships/image" Target="../media/image17.png"/><Relationship Id="rId33" Type="http://schemas.openxmlformats.org/officeDocument/2006/relationships/image" Target="../media/image33.png"/><Relationship Id="rId38" Type="http://schemas.openxmlformats.org/officeDocument/2006/relationships/image" Target="../media/image38.gif"/><Relationship Id="rId59" Type="http://schemas.openxmlformats.org/officeDocument/2006/relationships/image" Target="../media/image59.png"/><Relationship Id="rId103" Type="http://schemas.openxmlformats.org/officeDocument/2006/relationships/image" Target="../media/image103.png"/><Relationship Id="rId108" Type="http://schemas.openxmlformats.org/officeDocument/2006/relationships/image" Target="../media/image108.png"/><Relationship Id="rId124" Type="http://schemas.openxmlformats.org/officeDocument/2006/relationships/image" Target="../media/image124.png"/><Relationship Id="rId129" Type="http://schemas.openxmlformats.org/officeDocument/2006/relationships/image" Target="../media/image129.png"/><Relationship Id="rId54" Type="http://schemas.openxmlformats.org/officeDocument/2006/relationships/image" Target="../media/image54.png"/><Relationship Id="rId70" Type="http://schemas.openxmlformats.org/officeDocument/2006/relationships/image" Target="../media/image70.png"/><Relationship Id="rId75" Type="http://schemas.openxmlformats.org/officeDocument/2006/relationships/image" Target="../media/image75.png"/><Relationship Id="rId91" Type="http://schemas.openxmlformats.org/officeDocument/2006/relationships/image" Target="../media/image91.png"/><Relationship Id="rId96" Type="http://schemas.openxmlformats.org/officeDocument/2006/relationships/image" Target="../media/image96.png"/><Relationship Id="rId1" Type="http://schemas.openxmlformats.org/officeDocument/2006/relationships/image" Target="../media/image1.png"/><Relationship Id="rId6" Type="http://schemas.openxmlformats.org/officeDocument/2006/relationships/image" Target="../media/image6.png"/><Relationship Id="rId23" Type="http://schemas.openxmlformats.org/officeDocument/2006/relationships/image" Target="../media/image23.png"/><Relationship Id="rId28" Type="http://schemas.openxmlformats.org/officeDocument/2006/relationships/image" Target="../media/image28.png"/><Relationship Id="rId49" Type="http://schemas.openxmlformats.org/officeDocument/2006/relationships/image" Target="../media/image49.png"/><Relationship Id="rId114" Type="http://schemas.openxmlformats.org/officeDocument/2006/relationships/image" Target="../media/image114.png"/><Relationship Id="rId119" Type="http://schemas.openxmlformats.org/officeDocument/2006/relationships/image" Target="../media/image119.png"/><Relationship Id="rId44" Type="http://schemas.openxmlformats.org/officeDocument/2006/relationships/image" Target="../media/image44.png"/><Relationship Id="rId60" Type="http://schemas.openxmlformats.org/officeDocument/2006/relationships/image" Target="../media/image60.png"/><Relationship Id="rId65" Type="http://schemas.openxmlformats.org/officeDocument/2006/relationships/image" Target="../media/image65.png"/><Relationship Id="rId81" Type="http://schemas.openxmlformats.org/officeDocument/2006/relationships/image" Target="../media/image81.png"/><Relationship Id="rId86" Type="http://schemas.openxmlformats.org/officeDocument/2006/relationships/image" Target="../media/image86.png"/><Relationship Id="rId130" Type="http://schemas.openxmlformats.org/officeDocument/2006/relationships/image" Target="../media/image130.png"/><Relationship Id="rId135" Type="http://schemas.openxmlformats.org/officeDocument/2006/relationships/image" Target="../media/image135.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120" Type="http://schemas.openxmlformats.org/officeDocument/2006/relationships/image" Target="../media/image120.png"/><Relationship Id="rId125" Type="http://schemas.openxmlformats.org/officeDocument/2006/relationships/image" Target="../media/image125.png"/><Relationship Id="rId7" Type="http://schemas.openxmlformats.org/officeDocument/2006/relationships/image" Target="../media/image7.png"/><Relationship Id="rId71" Type="http://schemas.openxmlformats.org/officeDocument/2006/relationships/image" Target="../media/image71.gif"/><Relationship Id="rId92" Type="http://schemas.openxmlformats.org/officeDocument/2006/relationships/image" Target="../media/image92.png"/><Relationship Id="rId2" Type="http://schemas.openxmlformats.org/officeDocument/2006/relationships/image" Target="../media/image2.gif"/><Relationship Id="rId29" Type="http://schemas.openxmlformats.org/officeDocument/2006/relationships/image" Target="../media/image29.png"/><Relationship Id="rId24" Type="http://schemas.openxmlformats.org/officeDocument/2006/relationships/image" Target="../media/image24.png"/><Relationship Id="rId40" Type="http://schemas.openxmlformats.org/officeDocument/2006/relationships/image" Target="../media/image40.png"/><Relationship Id="rId45" Type="http://schemas.openxmlformats.org/officeDocument/2006/relationships/image" Target="../media/image45.png"/><Relationship Id="rId66" Type="http://schemas.openxmlformats.org/officeDocument/2006/relationships/image" Target="../media/image66.png"/><Relationship Id="rId87" Type="http://schemas.openxmlformats.org/officeDocument/2006/relationships/image" Target="../media/image87.png"/><Relationship Id="rId110" Type="http://schemas.openxmlformats.org/officeDocument/2006/relationships/image" Target="../media/image110.png"/><Relationship Id="rId115" Type="http://schemas.openxmlformats.org/officeDocument/2006/relationships/image" Target="../media/image115.png"/><Relationship Id="rId131" Type="http://schemas.openxmlformats.org/officeDocument/2006/relationships/image" Target="../media/image131.png"/><Relationship Id="rId136" Type="http://schemas.openxmlformats.org/officeDocument/2006/relationships/image" Target="../media/image136.png"/><Relationship Id="rId61" Type="http://schemas.openxmlformats.org/officeDocument/2006/relationships/image" Target="../media/image61.png"/><Relationship Id="rId82" Type="http://schemas.openxmlformats.org/officeDocument/2006/relationships/image" Target="../media/image82.png"/><Relationship Id="rId19" Type="http://schemas.openxmlformats.org/officeDocument/2006/relationships/image" Target="../media/image19.png"/><Relationship Id="rId14" Type="http://schemas.openxmlformats.org/officeDocument/2006/relationships/image" Target="../media/image14.png"/><Relationship Id="rId30" Type="http://schemas.openxmlformats.org/officeDocument/2006/relationships/image" Target="../media/image30.png"/><Relationship Id="rId35" Type="http://schemas.openxmlformats.org/officeDocument/2006/relationships/image" Target="../media/image35.png"/><Relationship Id="rId56" Type="http://schemas.openxmlformats.org/officeDocument/2006/relationships/image" Target="../media/image56.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26" Type="http://schemas.openxmlformats.org/officeDocument/2006/relationships/image" Target="../media/image126.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93" Type="http://schemas.openxmlformats.org/officeDocument/2006/relationships/image" Target="../media/image93.png"/><Relationship Id="rId98" Type="http://schemas.openxmlformats.org/officeDocument/2006/relationships/image" Target="../media/image98.png"/><Relationship Id="rId121" Type="http://schemas.openxmlformats.org/officeDocument/2006/relationships/image" Target="../media/image121.png"/><Relationship Id="rId3" Type="http://schemas.openxmlformats.org/officeDocument/2006/relationships/image" Target="../media/image3.png"/><Relationship Id="rId25" Type="http://schemas.openxmlformats.org/officeDocument/2006/relationships/image" Target="../media/image25.png"/><Relationship Id="rId46" Type="http://schemas.openxmlformats.org/officeDocument/2006/relationships/image" Target="../media/image46.png"/><Relationship Id="rId67" Type="http://schemas.openxmlformats.org/officeDocument/2006/relationships/image" Target="../media/image67.png"/><Relationship Id="rId116" Type="http://schemas.openxmlformats.org/officeDocument/2006/relationships/image" Target="../media/image116.png"/><Relationship Id="rId137" Type="http://schemas.openxmlformats.org/officeDocument/2006/relationships/image" Target="../media/image137.png"/><Relationship Id="rId20" Type="http://schemas.openxmlformats.org/officeDocument/2006/relationships/image" Target="../media/image20.png"/><Relationship Id="rId41" Type="http://schemas.openxmlformats.org/officeDocument/2006/relationships/image" Target="../media/image41.png"/><Relationship Id="rId62" Type="http://schemas.openxmlformats.org/officeDocument/2006/relationships/image" Target="../media/image62.png"/><Relationship Id="rId83" Type="http://schemas.openxmlformats.org/officeDocument/2006/relationships/image" Target="../media/image83.png"/><Relationship Id="rId88" Type="http://schemas.openxmlformats.org/officeDocument/2006/relationships/image" Target="../media/image88.png"/><Relationship Id="rId111" Type="http://schemas.openxmlformats.org/officeDocument/2006/relationships/image" Target="../media/image111.png"/><Relationship Id="rId132" Type="http://schemas.openxmlformats.org/officeDocument/2006/relationships/image" Target="../media/image132.png"/><Relationship Id="rId15" Type="http://schemas.openxmlformats.org/officeDocument/2006/relationships/image" Target="../media/image15.png"/><Relationship Id="rId36" Type="http://schemas.openxmlformats.org/officeDocument/2006/relationships/image" Target="../media/image36.png"/><Relationship Id="rId57" Type="http://schemas.openxmlformats.org/officeDocument/2006/relationships/image" Target="../media/image57.png"/><Relationship Id="rId106" Type="http://schemas.openxmlformats.org/officeDocument/2006/relationships/image" Target="../media/image106.png"/><Relationship Id="rId127" Type="http://schemas.openxmlformats.org/officeDocument/2006/relationships/image" Target="../media/image127.png"/><Relationship Id="rId10" Type="http://schemas.openxmlformats.org/officeDocument/2006/relationships/image" Target="../media/image10.png"/><Relationship Id="rId31" Type="http://schemas.openxmlformats.org/officeDocument/2006/relationships/image" Target="../media/image31.png"/><Relationship Id="rId52" Type="http://schemas.openxmlformats.org/officeDocument/2006/relationships/image" Target="../media/image52.png"/><Relationship Id="rId73" Type="http://schemas.openxmlformats.org/officeDocument/2006/relationships/image" Target="../media/image73.png"/><Relationship Id="rId78" Type="http://schemas.openxmlformats.org/officeDocument/2006/relationships/image" Target="../media/image78.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122" Type="http://schemas.openxmlformats.org/officeDocument/2006/relationships/image" Target="../media/image122.png"/><Relationship Id="rId4" Type="http://schemas.openxmlformats.org/officeDocument/2006/relationships/image" Target="../media/image4.png"/><Relationship Id="rId9" Type="http://schemas.openxmlformats.org/officeDocument/2006/relationships/image" Target="../media/image9.png"/><Relationship Id="rId26" Type="http://schemas.openxmlformats.org/officeDocument/2006/relationships/image" Target="../media/image26.png"/><Relationship Id="rId47" Type="http://schemas.openxmlformats.org/officeDocument/2006/relationships/image" Target="../media/image47.png"/><Relationship Id="rId68" Type="http://schemas.openxmlformats.org/officeDocument/2006/relationships/image" Target="../media/image68.png"/><Relationship Id="rId89" Type="http://schemas.openxmlformats.org/officeDocument/2006/relationships/image" Target="../media/image89.png"/><Relationship Id="rId112" Type="http://schemas.openxmlformats.org/officeDocument/2006/relationships/image" Target="../media/image112.png"/><Relationship Id="rId133" Type="http://schemas.openxmlformats.org/officeDocument/2006/relationships/image" Target="../media/image133.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39">
  <rv s="0">
    <v>0</v>
    <v>5</v>
  </rv>
  <rv s="0">
    <v>1</v>
    <v>5</v>
  </rv>
  <rv s="0">
    <v>2</v>
    <v>5</v>
  </rv>
  <rv s="0">
    <v>3</v>
    <v>5</v>
  </rv>
  <rv s="0">
    <v>4</v>
    <v>5</v>
  </rv>
  <rv s="0">
    <v>5</v>
    <v>5</v>
  </rv>
  <rv s="0">
    <v>6</v>
    <v>5</v>
  </rv>
  <rv s="0">
    <v>7</v>
    <v>5</v>
  </rv>
  <rv s="0">
    <v>8</v>
    <v>5</v>
  </rv>
  <rv s="0">
    <v>9</v>
    <v>5</v>
  </rv>
  <rv s="0">
    <v>10</v>
    <v>5</v>
  </rv>
  <rv s="0">
    <v>11</v>
    <v>5</v>
  </rv>
  <rv s="0">
    <v>12</v>
    <v>5</v>
  </rv>
  <rv s="0">
    <v>13</v>
    <v>5</v>
  </rv>
  <rv s="0">
    <v>14</v>
    <v>5</v>
  </rv>
  <rv s="0">
    <v>15</v>
    <v>5</v>
  </rv>
  <rv s="0">
    <v>16</v>
    <v>5</v>
  </rv>
  <rv s="0">
    <v>17</v>
    <v>5</v>
  </rv>
  <rv s="0">
    <v>18</v>
    <v>5</v>
  </rv>
  <rv s="0">
    <v>19</v>
    <v>5</v>
  </rv>
  <rv s="0">
    <v>20</v>
    <v>5</v>
  </rv>
  <rv s="0">
    <v>21</v>
    <v>5</v>
  </rv>
  <rv s="0">
    <v>22</v>
    <v>5</v>
  </rv>
  <rv s="0">
    <v>23</v>
    <v>5</v>
  </rv>
  <rv s="0">
    <v>24</v>
    <v>5</v>
  </rv>
  <rv s="0">
    <v>25</v>
    <v>5</v>
  </rv>
  <rv s="0">
    <v>26</v>
    <v>5</v>
  </rv>
  <rv s="0">
    <v>27</v>
    <v>5</v>
  </rv>
  <rv s="0">
    <v>28</v>
    <v>5</v>
  </rv>
  <rv s="0">
    <v>29</v>
    <v>5</v>
  </rv>
  <rv s="0">
    <v>30</v>
    <v>5</v>
  </rv>
  <rv s="0">
    <v>31</v>
    <v>5</v>
  </rv>
  <rv s="0">
    <v>32</v>
    <v>5</v>
  </rv>
  <rv s="0">
    <v>33</v>
    <v>5</v>
  </rv>
  <rv s="0">
    <v>34</v>
    <v>5</v>
  </rv>
  <rv s="0">
    <v>35</v>
    <v>5</v>
  </rv>
  <rv s="0">
    <v>36</v>
    <v>5</v>
  </rv>
  <rv s="0">
    <v>37</v>
    <v>5</v>
  </rv>
  <rv s="0">
    <v>38</v>
    <v>5</v>
  </rv>
  <rv s="0">
    <v>39</v>
    <v>5</v>
  </rv>
  <rv s="0">
    <v>40</v>
    <v>5</v>
  </rv>
  <rv s="0">
    <v>41</v>
    <v>5</v>
  </rv>
  <rv s="0">
    <v>42</v>
    <v>5</v>
  </rv>
  <rv s="0">
    <v>43</v>
    <v>5</v>
  </rv>
  <rv s="0">
    <v>44</v>
    <v>5</v>
  </rv>
  <rv s="0">
    <v>45</v>
    <v>5</v>
  </rv>
  <rv s="0">
    <v>46</v>
    <v>5</v>
  </rv>
  <rv s="0">
    <v>47</v>
    <v>5</v>
  </rv>
  <rv s="0">
    <v>48</v>
    <v>5</v>
  </rv>
  <rv s="0">
    <v>49</v>
    <v>5</v>
  </rv>
  <rv s="0">
    <v>50</v>
    <v>5</v>
  </rv>
  <rv s="0">
    <v>51</v>
    <v>5</v>
  </rv>
  <rv s="0">
    <v>52</v>
    <v>5</v>
  </rv>
  <rv s="0">
    <v>53</v>
    <v>5</v>
  </rv>
  <rv s="0">
    <v>54</v>
    <v>5</v>
  </rv>
  <rv s="0">
    <v>55</v>
    <v>5</v>
  </rv>
  <rv s="0">
    <v>56</v>
    <v>5</v>
  </rv>
  <rv s="0">
    <v>57</v>
    <v>5</v>
  </rv>
  <rv s="0">
    <v>58</v>
    <v>5</v>
  </rv>
  <rv s="0">
    <v>59</v>
    <v>5</v>
  </rv>
  <rv s="0">
    <v>60</v>
    <v>5</v>
  </rv>
  <rv s="0">
    <v>61</v>
    <v>5</v>
  </rv>
  <rv s="0">
    <v>62</v>
    <v>5</v>
  </rv>
  <rv s="0">
    <v>63</v>
    <v>5</v>
  </rv>
  <rv s="0">
    <v>64</v>
    <v>5</v>
  </rv>
  <rv s="0">
    <v>65</v>
    <v>5</v>
  </rv>
  <rv s="0">
    <v>66</v>
    <v>5</v>
  </rv>
  <rv s="0">
    <v>67</v>
    <v>5</v>
  </rv>
  <rv s="0">
    <v>68</v>
    <v>5</v>
  </rv>
  <rv s="0">
    <v>69</v>
    <v>5</v>
  </rv>
  <rv s="0">
    <v>70</v>
    <v>5</v>
  </rv>
  <rv s="0">
    <v>71</v>
    <v>5</v>
  </rv>
  <rv s="0">
    <v>72</v>
    <v>5</v>
  </rv>
  <rv s="0">
    <v>73</v>
    <v>5</v>
  </rv>
  <rv s="0">
    <v>74</v>
    <v>5</v>
  </rv>
  <rv s="0">
    <v>75</v>
    <v>5</v>
  </rv>
  <rv s="0">
    <v>76</v>
    <v>5</v>
  </rv>
  <rv s="0">
    <v>77</v>
    <v>5</v>
  </rv>
  <rv s="0">
    <v>78</v>
    <v>5</v>
  </rv>
  <rv s="0">
    <v>79</v>
    <v>5</v>
  </rv>
  <rv s="0">
    <v>80</v>
    <v>5</v>
  </rv>
  <rv s="0">
    <v>81</v>
    <v>5</v>
  </rv>
  <rv s="0">
    <v>82</v>
    <v>5</v>
  </rv>
  <rv s="0">
    <v>83</v>
    <v>5</v>
  </rv>
  <rv s="0">
    <v>84</v>
    <v>5</v>
  </rv>
  <rv s="0">
    <v>85</v>
    <v>5</v>
  </rv>
  <rv s="0">
    <v>86</v>
    <v>5</v>
  </rv>
  <rv s="0">
    <v>87</v>
    <v>5</v>
  </rv>
  <rv s="0">
    <v>88</v>
    <v>5</v>
  </rv>
  <rv s="0">
    <v>89</v>
    <v>5</v>
  </rv>
  <rv s="0">
    <v>90</v>
    <v>5</v>
  </rv>
  <rv s="0">
    <v>91</v>
    <v>5</v>
  </rv>
  <rv s="0">
    <v>92</v>
    <v>5</v>
  </rv>
  <rv s="0">
    <v>93</v>
    <v>5</v>
  </rv>
  <rv s="0">
    <v>94</v>
    <v>5</v>
  </rv>
  <rv s="0">
    <v>95</v>
    <v>5</v>
  </rv>
  <rv s="0">
    <v>96</v>
    <v>5</v>
  </rv>
  <rv s="0">
    <v>97</v>
    <v>5</v>
  </rv>
  <rv s="0">
    <v>98</v>
    <v>5</v>
  </rv>
  <rv s="0">
    <v>99</v>
    <v>5</v>
  </rv>
  <rv s="0">
    <v>100</v>
    <v>5</v>
  </rv>
  <rv s="0">
    <v>101</v>
    <v>5</v>
  </rv>
  <rv s="0">
    <v>102</v>
    <v>5</v>
  </rv>
  <rv s="0">
    <v>103</v>
    <v>5</v>
  </rv>
  <rv s="0">
    <v>104</v>
    <v>5</v>
  </rv>
  <rv s="0">
    <v>105</v>
    <v>5</v>
  </rv>
  <rv s="0">
    <v>106</v>
    <v>5</v>
  </rv>
  <rv s="0">
    <v>107</v>
    <v>5</v>
  </rv>
  <rv s="0">
    <v>108</v>
    <v>5</v>
  </rv>
  <rv s="0">
    <v>109</v>
    <v>5</v>
  </rv>
  <rv s="0">
    <v>110</v>
    <v>5</v>
  </rv>
  <rv s="0">
    <v>111</v>
    <v>5</v>
  </rv>
  <rv s="0">
    <v>112</v>
    <v>5</v>
  </rv>
  <rv s="0">
    <v>113</v>
    <v>5</v>
  </rv>
  <rv s="0">
    <v>114</v>
    <v>5</v>
  </rv>
  <rv s="0">
    <v>115</v>
    <v>5</v>
  </rv>
  <rv s="0">
    <v>116</v>
    <v>5</v>
  </rv>
  <rv s="0">
    <v>117</v>
    <v>5</v>
  </rv>
  <rv s="0">
    <v>118</v>
    <v>5</v>
  </rv>
  <rv s="0">
    <v>119</v>
    <v>5</v>
  </rv>
  <rv s="0">
    <v>120</v>
    <v>5</v>
  </rv>
  <rv s="0">
    <v>121</v>
    <v>5</v>
  </rv>
  <rv s="0">
    <v>122</v>
    <v>5</v>
  </rv>
  <rv s="0">
    <v>123</v>
    <v>5</v>
  </rv>
  <rv s="0">
    <v>124</v>
    <v>5</v>
  </rv>
  <rv s="0">
    <v>125</v>
    <v>5</v>
  </rv>
  <rv s="0">
    <v>126</v>
    <v>5</v>
  </rv>
  <rv s="0">
    <v>127</v>
    <v>5</v>
  </rv>
  <rv s="0">
    <v>128</v>
    <v>5</v>
  </rv>
  <rv s="0">
    <v>129</v>
    <v>5</v>
  </rv>
  <rv s="0">
    <v>130</v>
    <v>5</v>
  </rv>
  <rv s="0">
    <v>131</v>
    <v>5</v>
  </rv>
  <rv s="0">
    <v>132</v>
    <v>5</v>
  </rv>
  <rv s="0">
    <v>133</v>
    <v>5</v>
  </rv>
  <rv s="0">
    <v>134</v>
    <v>5</v>
  </rv>
  <rv s="0">
    <v>135</v>
    <v>5</v>
  </rv>
  <rv s="0">
    <v>136</v>
    <v>5</v>
  </rv>
  <rv s="0">
    <v>137</v>
    <v>5</v>
  </rv>
  <rv s="0">
    <v>138</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el r:id="rId15"/>
  <rel r:id="rId16"/>
  <rel r:id="rId17"/>
  <rel r:id="rId18"/>
  <rel r:id="rId19"/>
  <rel r:id="rId20"/>
  <rel r:id="rId21"/>
  <rel r:id="rId22"/>
  <rel r:id="rId23"/>
  <rel r:id="rId24"/>
  <rel r:id="rId25"/>
  <rel r:id="rId26"/>
  <rel r:id="rId27"/>
  <rel r:id="rId28"/>
  <rel r:id="rId29"/>
  <rel r:id="rId30"/>
  <rel r:id="rId31"/>
  <rel r:id="rId32"/>
  <rel r:id="rId33"/>
  <rel r:id="rId34"/>
  <rel r:id="rId35"/>
  <rel r:id="rId36"/>
  <rel r:id="rId37"/>
  <rel r:id="rId38"/>
  <rel r:id="rId39"/>
  <rel r:id="rId40"/>
  <rel r:id="rId41"/>
  <rel r:id="rId42"/>
  <rel r:id="rId43"/>
  <rel r:id="rId44"/>
  <rel r:id="rId45"/>
  <rel r:id="rId46"/>
  <rel r:id="rId47"/>
  <rel r:id="rId48"/>
  <rel r:id="rId49"/>
  <rel r:id="rId50"/>
  <rel r:id="rId51"/>
  <rel r:id="rId52"/>
  <rel r:id="rId53"/>
  <rel r:id="rId54"/>
  <rel r:id="rId55"/>
  <rel r:id="rId56"/>
  <rel r:id="rId57"/>
  <rel r:id="rId58"/>
  <rel r:id="rId59"/>
  <rel r:id="rId60"/>
  <rel r:id="rId61"/>
  <rel r:id="rId62"/>
  <rel r:id="rId63"/>
  <rel r:id="rId64"/>
  <rel r:id="rId65"/>
  <rel r:id="rId66"/>
  <rel r:id="rId67"/>
  <rel r:id="rId68"/>
  <rel r:id="rId69"/>
  <rel r:id="rId70"/>
  <rel r:id="rId71"/>
  <rel r:id="rId72"/>
  <rel r:id="rId73"/>
  <rel r:id="rId74"/>
  <rel r:id="rId75"/>
  <rel r:id="rId76"/>
  <rel r:id="rId77"/>
  <rel r:id="rId78"/>
  <rel r:id="rId79"/>
  <rel r:id="rId80"/>
  <rel r:id="rId81"/>
  <rel r:id="rId82"/>
  <rel r:id="rId83"/>
  <rel r:id="rId84"/>
  <rel r:id="rId85"/>
  <rel r:id="rId86"/>
  <rel r:id="rId87"/>
  <rel r:id="rId88"/>
  <rel r:id="rId89"/>
  <rel r:id="rId90"/>
  <rel r:id="rId91"/>
  <rel r:id="rId92"/>
  <rel r:id="rId93"/>
  <rel r:id="rId94"/>
  <rel r:id="rId95"/>
  <rel r:id="rId96"/>
  <rel r:id="rId97"/>
  <rel r:id="rId98"/>
  <rel r:id="rId99"/>
  <rel r:id="rId100"/>
  <rel r:id="rId101"/>
  <rel r:id="rId102"/>
  <rel r:id="rId103"/>
  <rel r:id="rId104"/>
  <rel r:id="rId105"/>
  <rel r:id="rId106"/>
  <rel r:id="rId107"/>
  <rel r:id="rId108"/>
  <rel r:id="rId109"/>
  <rel r:id="rId110"/>
  <rel r:id="rId111"/>
  <rel r:id="rId112"/>
  <rel r:id="rId113"/>
  <rel r:id="rId114"/>
  <rel r:id="rId115"/>
  <rel r:id="rId116"/>
  <rel r:id="rId117"/>
  <rel r:id="rId118"/>
  <rel r:id="rId119"/>
  <rel r:id="rId120"/>
  <rel r:id="rId121"/>
  <rel r:id="rId122"/>
  <rel r:id="rId123"/>
  <rel r:id="rId124"/>
  <rel r:id="rId125"/>
  <rel r:id="rId126"/>
  <rel r:id="rId127"/>
  <rel r:id="rId128"/>
  <rel r:id="rId129"/>
  <rel r:id="rId130"/>
  <rel r:id="rId131"/>
  <rel r:id="rId132"/>
  <rel r:id="rId133"/>
  <rel r:id="rId134"/>
  <rel r:id="rId135"/>
  <rel r:id="rId136"/>
  <rel r:id="rId137"/>
  <rel r:id="rId138"/>
  <rel r:id="rId139"/>
</richValueRel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hyperlink" Target="https://en.wikipedia.org/wiki/Coat_of_arms_of_Algiers" TargetMode="External"/><Relationship Id="rId7" Type="http://schemas.openxmlformats.org/officeDocument/2006/relationships/ctrlProp" Target="../ctrlProps/ctrlProp4.xml"/><Relationship Id="rId2" Type="http://schemas.openxmlformats.org/officeDocument/2006/relationships/hyperlink" Target="https://upload.wikimedia.org/wikipedia/commons/thumb/c/c6/Flag_of_Algiers.svg/2560px-Flag_of_Algiers.svg.png" TargetMode="External"/><Relationship Id="rId1" Type="http://schemas.openxmlformats.org/officeDocument/2006/relationships/hyperlink" Target="https://upload.wikimedia.org/wikipedia/commons/thumb/c/c6/Flag_of_Algiers.svg/640px-Flag_of_Algiers.svg.png" TargetMode="External"/><Relationship Id="rId6" Type="http://schemas.openxmlformats.org/officeDocument/2006/relationships/vmlDrawing" Target="../drawings/vmlDrawing2.vml"/><Relationship Id="rId5" Type="http://schemas.openxmlformats.org/officeDocument/2006/relationships/drawing" Target="../drawings/drawing2.xml"/><Relationship Id="rId4" Type="http://schemas.openxmlformats.org/officeDocument/2006/relationships/printerSettings" Target="../printerSettings/printerSettings2.bin"/><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trlProp" Target="../ctrlProps/ctrlProp9.xml"/><Relationship Id="rId2" Type="http://schemas.openxmlformats.org/officeDocument/2006/relationships/printerSettings" Target="../printerSettings/printerSettings3.bin"/><Relationship Id="rId1" Type="http://schemas.openxmlformats.org/officeDocument/2006/relationships/hyperlink" Target="https://upload.wikimedia.org/wikipedia/commons/thumb/0/0a/Flag_of_Benin.svg/2560px-Flag_of_Benin.svg.png" TargetMode="External"/><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2.xml"/><Relationship Id="rId3" Type="http://schemas.openxmlformats.org/officeDocument/2006/relationships/printerSettings" Target="../printerSettings/printerSettings4.bin"/><Relationship Id="rId7" Type="http://schemas.openxmlformats.org/officeDocument/2006/relationships/ctrlProp" Target="../ctrlProps/ctrlProp11.xml"/><Relationship Id="rId2" Type="http://schemas.openxmlformats.org/officeDocument/2006/relationships/hyperlink" Target="https://upload.wikimedia.org/wikipedia/commons/thumb/3/31/Flag_of_Burkina_Faso.svg/2560px-Flag_of_Burkina_Faso.svg.png" TargetMode="External"/><Relationship Id="rId1" Type="http://schemas.openxmlformats.org/officeDocument/2006/relationships/hyperlink" Target="https://fbref.com/en/country/BFA/Burkina-Faso-Football" TargetMode="External"/><Relationship Id="rId6" Type="http://schemas.openxmlformats.org/officeDocument/2006/relationships/ctrlProp" Target="../ctrlProps/ctrlProp10.xml"/><Relationship Id="rId5" Type="http://schemas.openxmlformats.org/officeDocument/2006/relationships/vmlDrawing" Target="../drawings/vmlDrawing4.vml"/><Relationship Id="rId4"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hyperlink" Target="https://en.wikipedia.org/wiki/Flag_of_Burundi" TargetMode="External"/><Relationship Id="rId7" Type="http://schemas.openxmlformats.org/officeDocument/2006/relationships/vmlDrawing" Target="../drawings/vmlDrawing5.vml"/><Relationship Id="rId2" Type="http://schemas.openxmlformats.org/officeDocument/2006/relationships/hyperlink" Target="https://fbref.com/en/country/BDI/Burundi-Football" TargetMode="External"/><Relationship Id="rId1" Type="http://schemas.openxmlformats.org/officeDocument/2006/relationships/hyperlink" Target="https://en.wikipedia.org/wiki/Martyazo" TargetMode="External"/><Relationship Id="rId6" Type="http://schemas.openxmlformats.org/officeDocument/2006/relationships/drawing" Target="../drawings/drawing5.xml"/><Relationship Id="rId5" Type="http://schemas.openxmlformats.org/officeDocument/2006/relationships/printerSettings" Target="../printerSettings/printerSettings5.bin"/><Relationship Id="rId10" Type="http://schemas.openxmlformats.org/officeDocument/2006/relationships/ctrlProp" Target="../ctrlProps/ctrlProp15.xml"/><Relationship Id="rId4" Type="http://schemas.openxmlformats.org/officeDocument/2006/relationships/hyperlink" Target="https://upload.wikimedia.org/wikipedia/commons/thumb/5/50/Flag_of_Burundi.svg/2560px-Flag_of_Burundi.svg.png" TargetMode="External"/><Relationship Id="rId9"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8.xml"/><Relationship Id="rId3" Type="http://schemas.openxmlformats.org/officeDocument/2006/relationships/printerSettings" Target="../printerSettings/printerSettings6.bin"/><Relationship Id="rId7" Type="http://schemas.openxmlformats.org/officeDocument/2006/relationships/ctrlProp" Target="../ctrlProps/ctrlProp17.xml"/><Relationship Id="rId2" Type="http://schemas.openxmlformats.org/officeDocument/2006/relationships/hyperlink" Target="https://upload.wikimedia.org/wikipedia/commons/thumb/f/fa/Flag_of_Botswana.svg/2560px-Flag_of_Botswana.svg.png" TargetMode="External"/><Relationship Id="rId1" Type="http://schemas.openxmlformats.org/officeDocument/2006/relationships/hyperlink" Target="https://fbref.com/en/country/BOT/Botswana-Football" TargetMode="External"/><Relationship Id="rId6" Type="http://schemas.openxmlformats.org/officeDocument/2006/relationships/ctrlProp" Target="../ctrlProps/ctrlProp16.xml"/><Relationship Id="rId5" Type="http://schemas.openxmlformats.org/officeDocument/2006/relationships/vmlDrawing" Target="../drawings/vmlDrawing6.vml"/><Relationship Id="rId4"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7" Type="http://schemas.openxmlformats.org/officeDocument/2006/relationships/ctrlProp" Target="../ctrlProps/ctrlProp21.xml"/><Relationship Id="rId2" Type="http://schemas.openxmlformats.org/officeDocument/2006/relationships/printerSettings" Target="../printerSettings/printerSettings7.bin"/><Relationship Id="rId1" Type="http://schemas.openxmlformats.org/officeDocument/2006/relationships/hyperlink" Target="https://fbref.com/en/country/CTA/Central-African-Republic-Football" TargetMode="External"/><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7" Type="http://schemas.openxmlformats.org/officeDocument/2006/relationships/ctrlProp" Target="../ctrlProps/ctrlProp24.xml"/><Relationship Id="rId2" Type="http://schemas.openxmlformats.org/officeDocument/2006/relationships/printerSettings" Target="../printerSettings/printerSettings8.bin"/><Relationship Id="rId1" Type="http://schemas.openxmlformats.org/officeDocument/2006/relationships/hyperlink" Target="https://fbref.com/en/country/CIV/Cote-dIvoire-Football" TargetMode="External"/><Relationship Id="rId6" Type="http://schemas.openxmlformats.org/officeDocument/2006/relationships/ctrlProp" Target="../ctrlProps/ctrlProp23.xml"/><Relationship Id="rId5" Type="http://schemas.openxmlformats.org/officeDocument/2006/relationships/ctrlProp" Target="../ctrlProps/ctrlProp22.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7" Type="http://schemas.openxmlformats.org/officeDocument/2006/relationships/ctrlProp" Target="../ctrlProps/ctrlProp27.xml"/><Relationship Id="rId2" Type="http://schemas.openxmlformats.org/officeDocument/2006/relationships/printerSettings" Target="../printerSettings/printerSettings9.bin"/><Relationship Id="rId1" Type="http://schemas.openxmlformats.org/officeDocument/2006/relationships/hyperlink" Target="https://fbref.com/en/country/CMR/Cameroon-Football" TargetMode="External"/><Relationship Id="rId6" Type="http://schemas.openxmlformats.org/officeDocument/2006/relationships/ctrlProp" Target="../ctrlProps/ctrlProp26.xml"/><Relationship Id="rId5" Type="http://schemas.openxmlformats.org/officeDocument/2006/relationships/ctrlProp" Target="../ctrlProps/ctrlProp25.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30.xml"/><Relationship Id="rId3" Type="http://schemas.openxmlformats.org/officeDocument/2006/relationships/printerSettings" Target="../printerSettings/printerSettings10.bin"/><Relationship Id="rId7" Type="http://schemas.openxmlformats.org/officeDocument/2006/relationships/ctrlProp" Target="../ctrlProps/ctrlProp29.xml"/><Relationship Id="rId2" Type="http://schemas.openxmlformats.org/officeDocument/2006/relationships/hyperlink" Target="https://upload.wikimedia.org/wikipedia/commons/thumb/9/92/Flag_of_the_Republic_of_the_Congo.svg/2560px-Flag_of_the_Republic_of_the_Congo.svg.png" TargetMode="External"/><Relationship Id="rId1" Type="http://schemas.openxmlformats.org/officeDocument/2006/relationships/hyperlink" Target="https://fbref.com/en/country/CGO/Congo-Football" TargetMode="External"/><Relationship Id="rId6" Type="http://schemas.openxmlformats.org/officeDocument/2006/relationships/ctrlProp" Target="../ctrlProps/ctrlProp28.xml"/><Relationship Id="rId5" Type="http://schemas.openxmlformats.org/officeDocument/2006/relationships/vmlDrawing" Target="../drawings/vmlDrawing10.vml"/><Relationship Id="rId4"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33.xml"/><Relationship Id="rId3" Type="http://schemas.openxmlformats.org/officeDocument/2006/relationships/printerSettings" Target="../printerSettings/printerSettings11.bin"/><Relationship Id="rId7" Type="http://schemas.openxmlformats.org/officeDocument/2006/relationships/ctrlProp" Target="../ctrlProps/ctrlProp32.xml"/><Relationship Id="rId2" Type="http://schemas.openxmlformats.org/officeDocument/2006/relationships/hyperlink" Target="https://upload.wikimedia.org/wikipedia/commons/thumb/9/94/Flag_of_the_Comoros.svg/2560px-Flag_of_the_Comoros.svg.png" TargetMode="External"/><Relationship Id="rId1" Type="http://schemas.openxmlformats.org/officeDocument/2006/relationships/hyperlink" Target="https://fbref.com/en/country/COM/Comoros-Football" TargetMode="External"/><Relationship Id="rId6" Type="http://schemas.openxmlformats.org/officeDocument/2006/relationships/ctrlProp" Target="../ctrlProps/ctrlProp31.xml"/><Relationship Id="rId5" Type="http://schemas.openxmlformats.org/officeDocument/2006/relationships/vmlDrawing" Target="../drawings/vmlDrawing11.vml"/><Relationship Id="rId4"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7" Type="http://schemas.openxmlformats.org/officeDocument/2006/relationships/ctrlProp" Target="../ctrlProps/ctrlProp36.xml"/><Relationship Id="rId2" Type="http://schemas.openxmlformats.org/officeDocument/2006/relationships/printerSettings" Target="../printerSettings/printerSettings12.bin"/><Relationship Id="rId1" Type="http://schemas.openxmlformats.org/officeDocument/2006/relationships/hyperlink" Target="https://fbref.com/en/country/CPV/Cape-Verde-Football" TargetMode="External"/><Relationship Id="rId6" Type="http://schemas.openxmlformats.org/officeDocument/2006/relationships/ctrlProp" Target="../ctrlProps/ctrlProp35.xml"/><Relationship Id="rId5" Type="http://schemas.openxmlformats.org/officeDocument/2006/relationships/ctrlProp" Target="../ctrlProps/ctrlProp34.xml"/><Relationship Id="rId4" Type="http://schemas.openxmlformats.org/officeDocument/2006/relationships/vmlDrawing" Target="../drawings/vmlDrawing12.v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13.xml"/><Relationship Id="rId7" Type="http://schemas.openxmlformats.org/officeDocument/2006/relationships/ctrlProp" Target="../ctrlProps/ctrlProp39.xml"/><Relationship Id="rId2" Type="http://schemas.openxmlformats.org/officeDocument/2006/relationships/printerSettings" Target="../printerSettings/printerSettings13.bin"/><Relationship Id="rId1" Type="http://schemas.openxmlformats.org/officeDocument/2006/relationships/hyperlink" Target="https://fbref.com/en/country/DJI/Djibouti-Football" TargetMode="External"/><Relationship Id="rId6" Type="http://schemas.openxmlformats.org/officeDocument/2006/relationships/ctrlProp" Target="../ctrlProps/ctrlProp38.xml"/><Relationship Id="rId5" Type="http://schemas.openxmlformats.org/officeDocument/2006/relationships/ctrlProp" Target="../ctrlProps/ctrlProp37.xml"/><Relationship Id="rId4" Type="http://schemas.openxmlformats.org/officeDocument/2006/relationships/vmlDrawing" Target="../drawings/vmlDrawing13.v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7" Type="http://schemas.openxmlformats.org/officeDocument/2006/relationships/ctrlProp" Target="../ctrlProps/ctrlProp42.xml"/><Relationship Id="rId2" Type="http://schemas.openxmlformats.org/officeDocument/2006/relationships/printerSettings" Target="../printerSettings/printerSettings14.bin"/><Relationship Id="rId1" Type="http://schemas.openxmlformats.org/officeDocument/2006/relationships/hyperlink" Target="https://fbref.com/en/country/COD/Congo-DR-Football" TargetMode="External"/><Relationship Id="rId6" Type="http://schemas.openxmlformats.org/officeDocument/2006/relationships/ctrlProp" Target="../ctrlProps/ctrlProp41.xml"/><Relationship Id="rId5" Type="http://schemas.openxmlformats.org/officeDocument/2006/relationships/ctrlProp" Target="../ctrlProps/ctrlProp40.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45.xml"/><Relationship Id="rId3" Type="http://schemas.openxmlformats.org/officeDocument/2006/relationships/printerSettings" Target="../printerSettings/printerSettings15.bin"/><Relationship Id="rId7" Type="http://schemas.openxmlformats.org/officeDocument/2006/relationships/ctrlProp" Target="../ctrlProps/ctrlProp44.xml"/><Relationship Id="rId2" Type="http://schemas.openxmlformats.org/officeDocument/2006/relationships/hyperlink" Target="https://upload.wikimedia.org/wikipedia/commons/thumb/f/fe/Flag_of_Egypt.svg/2560px-Flag_of_Egypt.svg.png" TargetMode="External"/><Relationship Id="rId1" Type="http://schemas.openxmlformats.org/officeDocument/2006/relationships/hyperlink" Target="https://fbref.com/en/country/EGY/Egypt-Football" TargetMode="External"/><Relationship Id="rId6" Type="http://schemas.openxmlformats.org/officeDocument/2006/relationships/ctrlProp" Target="../ctrlProps/ctrlProp43.xml"/><Relationship Id="rId5" Type="http://schemas.openxmlformats.org/officeDocument/2006/relationships/vmlDrawing" Target="../drawings/vmlDrawing15.vml"/><Relationship Id="rId4"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6.xml"/><Relationship Id="rId7" Type="http://schemas.openxmlformats.org/officeDocument/2006/relationships/ctrlProp" Target="../ctrlProps/ctrlProp48.xml"/><Relationship Id="rId2" Type="http://schemas.openxmlformats.org/officeDocument/2006/relationships/printerSettings" Target="../printerSettings/printerSettings16.bin"/><Relationship Id="rId1" Type="http://schemas.openxmlformats.org/officeDocument/2006/relationships/hyperlink" Target="https://fbref.com/en/country/EQG/Equatorial-Guinea-Football" TargetMode="External"/><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51.xml"/><Relationship Id="rId3" Type="http://schemas.openxmlformats.org/officeDocument/2006/relationships/printerSettings" Target="../printerSettings/printerSettings17.bin"/><Relationship Id="rId7" Type="http://schemas.openxmlformats.org/officeDocument/2006/relationships/ctrlProp" Target="../ctrlProps/ctrlProp50.xml"/><Relationship Id="rId2" Type="http://schemas.openxmlformats.org/officeDocument/2006/relationships/hyperlink" Target="https://en.wikipedia.org/wiki/Federation_of_Ethiopia_and_Eritrea" TargetMode="External"/><Relationship Id="rId1" Type="http://schemas.openxmlformats.org/officeDocument/2006/relationships/hyperlink" Target="https://fbref.com/en/country/ERI/Eritrea-Football" TargetMode="External"/><Relationship Id="rId6" Type="http://schemas.openxmlformats.org/officeDocument/2006/relationships/ctrlProp" Target="../ctrlProps/ctrlProp49.xml"/><Relationship Id="rId5" Type="http://schemas.openxmlformats.org/officeDocument/2006/relationships/vmlDrawing" Target="../drawings/vmlDrawing17.vml"/><Relationship Id="rId4"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54.xml"/><Relationship Id="rId3" Type="http://schemas.openxmlformats.org/officeDocument/2006/relationships/printerSettings" Target="../printerSettings/printerSettings18.bin"/><Relationship Id="rId7" Type="http://schemas.openxmlformats.org/officeDocument/2006/relationships/ctrlProp" Target="../ctrlProps/ctrlProp53.xml"/><Relationship Id="rId2" Type="http://schemas.openxmlformats.org/officeDocument/2006/relationships/hyperlink" Target="https://fbref.com/en/country/ETH/Ethiopia-Football" TargetMode="External"/><Relationship Id="rId1" Type="http://schemas.openxmlformats.org/officeDocument/2006/relationships/hyperlink" Target="https://upload.wikimedia.org/wikipedia/commons/thumb/6/6f/Flag_of_Addis_Ababa.svg/2560px-Flag_of_Addis_Ababa.svg.png" TargetMode="External"/><Relationship Id="rId6" Type="http://schemas.openxmlformats.org/officeDocument/2006/relationships/ctrlProp" Target="../ctrlProps/ctrlProp52.xml"/><Relationship Id="rId5" Type="http://schemas.openxmlformats.org/officeDocument/2006/relationships/vmlDrawing" Target="../drawings/vmlDrawing18.vml"/><Relationship Id="rId4"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57.xml"/><Relationship Id="rId3" Type="http://schemas.openxmlformats.org/officeDocument/2006/relationships/printerSettings" Target="../printerSettings/printerSettings19.bin"/><Relationship Id="rId7" Type="http://schemas.openxmlformats.org/officeDocument/2006/relationships/ctrlProp" Target="../ctrlProps/ctrlProp56.xml"/><Relationship Id="rId2" Type="http://schemas.openxmlformats.org/officeDocument/2006/relationships/hyperlink" Target="https://upload.wikimedia.org/wikipedia/commons/thumb/0/04/Flag_of_Gabon.svg/2560px-Flag_of_Gabon.svg.png" TargetMode="External"/><Relationship Id="rId1" Type="http://schemas.openxmlformats.org/officeDocument/2006/relationships/hyperlink" Target="https://fbref.com/en/country/GAB/Gabon-Football" TargetMode="External"/><Relationship Id="rId6" Type="http://schemas.openxmlformats.org/officeDocument/2006/relationships/ctrlProp" Target="../ctrlProps/ctrlProp55.xml"/><Relationship Id="rId5" Type="http://schemas.openxmlformats.org/officeDocument/2006/relationships/vmlDrawing" Target="../drawings/vmlDrawing19.vml"/><Relationship Id="rId4"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59.xml"/><Relationship Id="rId3" Type="http://schemas.openxmlformats.org/officeDocument/2006/relationships/hyperlink" Target="https://upload.wikimedia.org/wikipedia/commons/thumb/7/77/Flag_of_The_Gambia.svg/2560px-Flag_of_The_Gambia.svg.png" TargetMode="External"/><Relationship Id="rId7" Type="http://schemas.openxmlformats.org/officeDocument/2006/relationships/ctrlProp" Target="../ctrlProps/ctrlProp58.xml"/><Relationship Id="rId2" Type="http://schemas.openxmlformats.org/officeDocument/2006/relationships/hyperlink" Target="https://fbref.com/en/country/GAM/Gambia-Football" TargetMode="External"/><Relationship Id="rId1" Type="http://schemas.openxmlformats.org/officeDocument/2006/relationships/hyperlink" Target="https://en.wikipedia.org/wiki/Flag_of_the_Gambia" TargetMode="External"/><Relationship Id="rId6" Type="http://schemas.openxmlformats.org/officeDocument/2006/relationships/vmlDrawing" Target="../drawings/vmlDrawing20.vml"/><Relationship Id="rId5" Type="http://schemas.openxmlformats.org/officeDocument/2006/relationships/drawing" Target="../drawings/drawing20.xml"/><Relationship Id="rId4" Type="http://schemas.openxmlformats.org/officeDocument/2006/relationships/printerSettings" Target="../printerSettings/printerSettings20.bin"/><Relationship Id="rId9" Type="http://schemas.openxmlformats.org/officeDocument/2006/relationships/ctrlProp" Target="../ctrlProps/ctrlProp60.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63.xml"/><Relationship Id="rId3" Type="http://schemas.openxmlformats.org/officeDocument/2006/relationships/printerSettings" Target="../printerSettings/printerSettings21.bin"/><Relationship Id="rId7" Type="http://schemas.openxmlformats.org/officeDocument/2006/relationships/ctrlProp" Target="../ctrlProps/ctrlProp62.xml"/><Relationship Id="rId2" Type="http://schemas.openxmlformats.org/officeDocument/2006/relationships/hyperlink" Target="https://en.wikipedia.org/wiki/Flag_of_Ghana" TargetMode="External"/><Relationship Id="rId1" Type="http://schemas.openxmlformats.org/officeDocument/2006/relationships/hyperlink" Target="https://fbref.com/en/country/GHA/Ghana-Football" TargetMode="External"/><Relationship Id="rId6" Type="http://schemas.openxmlformats.org/officeDocument/2006/relationships/ctrlProp" Target="../ctrlProps/ctrlProp61.xml"/><Relationship Id="rId5" Type="http://schemas.openxmlformats.org/officeDocument/2006/relationships/vmlDrawing" Target="../drawings/vmlDrawing21.vml"/><Relationship Id="rId4"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3" Type="http://schemas.openxmlformats.org/officeDocument/2006/relationships/drawing" Target="../drawings/drawing22.xml"/><Relationship Id="rId7" Type="http://schemas.openxmlformats.org/officeDocument/2006/relationships/ctrlProp" Target="../ctrlProps/ctrlProp66.xml"/><Relationship Id="rId2" Type="http://schemas.openxmlformats.org/officeDocument/2006/relationships/printerSettings" Target="../printerSettings/printerSettings22.bin"/><Relationship Id="rId1" Type="http://schemas.openxmlformats.org/officeDocument/2006/relationships/hyperlink" Target="https://fbref.com/en/country/GUI/Guinea-Football" TargetMode="External"/><Relationship Id="rId6" Type="http://schemas.openxmlformats.org/officeDocument/2006/relationships/ctrlProp" Target="../ctrlProps/ctrlProp65.xml"/><Relationship Id="rId5" Type="http://schemas.openxmlformats.org/officeDocument/2006/relationships/ctrlProp" Target="../ctrlProps/ctrlProp64.xml"/><Relationship Id="rId4" Type="http://schemas.openxmlformats.org/officeDocument/2006/relationships/vmlDrawing" Target="../drawings/vmlDrawing22.vml"/></Relationships>
</file>

<file path=xl/worksheets/_rels/sheet23.xml.rels><?xml version="1.0" encoding="UTF-8" standalone="yes"?>
<Relationships xmlns="http://schemas.openxmlformats.org/package/2006/relationships"><Relationship Id="rId3" Type="http://schemas.openxmlformats.org/officeDocument/2006/relationships/drawing" Target="../drawings/drawing23.xml"/><Relationship Id="rId7" Type="http://schemas.openxmlformats.org/officeDocument/2006/relationships/ctrlProp" Target="../ctrlProps/ctrlProp69.xml"/><Relationship Id="rId2" Type="http://schemas.openxmlformats.org/officeDocument/2006/relationships/printerSettings" Target="../printerSettings/printerSettings23.bin"/><Relationship Id="rId1" Type="http://schemas.openxmlformats.org/officeDocument/2006/relationships/hyperlink" Target="https://fbref.com/en/country/GNB/Guinea-Bissau-Football" TargetMode="External"/><Relationship Id="rId6" Type="http://schemas.openxmlformats.org/officeDocument/2006/relationships/ctrlProp" Target="../ctrlProps/ctrlProp68.xml"/><Relationship Id="rId5" Type="http://schemas.openxmlformats.org/officeDocument/2006/relationships/ctrlProp" Target="../ctrlProps/ctrlProp67.xml"/><Relationship Id="rId4" Type="http://schemas.openxmlformats.org/officeDocument/2006/relationships/vmlDrawing" Target="../drawings/vmlDrawing23.v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72.xml"/><Relationship Id="rId3" Type="http://schemas.openxmlformats.org/officeDocument/2006/relationships/printerSettings" Target="../printerSettings/printerSettings24.bin"/><Relationship Id="rId7" Type="http://schemas.openxmlformats.org/officeDocument/2006/relationships/ctrlProp" Target="../ctrlProps/ctrlProp71.xml"/><Relationship Id="rId2" Type="http://schemas.openxmlformats.org/officeDocument/2006/relationships/hyperlink" Target="https://en.wikipedia.org/wiki/Flag_of_Kenya" TargetMode="External"/><Relationship Id="rId1" Type="http://schemas.openxmlformats.org/officeDocument/2006/relationships/hyperlink" Target="https://fbref.com/en/country/KEN/Kenya-Football" TargetMode="External"/><Relationship Id="rId6" Type="http://schemas.openxmlformats.org/officeDocument/2006/relationships/ctrlProp" Target="../ctrlProps/ctrlProp70.xml"/><Relationship Id="rId5" Type="http://schemas.openxmlformats.org/officeDocument/2006/relationships/vmlDrawing" Target="../drawings/vmlDrawing24.vml"/><Relationship Id="rId4"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3" Type="http://schemas.openxmlformats.org/officeDocument/2006/relationships/drawing" Target="../drawings/drawing25.xml"/><Relationship Id="rId7" Type="http://schemas.openxmlformats.org/officeDocument/2006/relationships/ctrlProp" Target="../ctrlProps/ctrlProp75.xml"/><Relationship Id="rId2" Type="http://schemas.openxmlformats.org/officeDocument/2006/relationships/printerSettings" Target="../printerSettings/printerSettings25.bin"/><Relationship Id="rId1" Type="http://schemas.openxmlformats.org/officeDocument/2006/relationships/hyperlink" Target="https://fbref.com/en/country/LBR/Liberia-Football" TargetMode="External"/><Relationship Id="rId6" Type="http://schemas.openxmlformats.org/officeDocument/2006/relationships/ctrlProp" Target="../ctrlProps/ctrlProp74.xml"/><Relationship Id="rId5" Type="http://schemas.openxmlformats.org/officeDocument/2006/relationships/ctrlProp" Target="../ctrlProps/ctrlProp73.xml"/><Relationship Id="rId4" Type="http://schemas.openxmlformats.org/officeDocument/2006/relationships/vmlDrawing" Target="../drawings/vmlDrawing25.vml"/></Relationships>
</file>

<file path=xl/worksheets/_rels/sheet26.xml.rels><?xml version="1.0" encoding="UTF-8" standalone="yes"?>
<Relationships xmlns="http://schemas.openxmlformats.org/package/2006/relationships"><Relationship Id="rId8" Type="http://schemas.openxmlformats.org/officeDocument/2006/relationships/ctrlProp" Target="../ctrlProps/ctrlProp76.xml"/><Relationship Id="rId3" Type="http://schemas.openxmlformats.org/officeDocument/2006/relationships/hyperlink" Target="https://upload.wikimedia.org/wikipedia/commons/thumb/3/32/Flag_of_Tripoli%2C_Libya.svg/640px-Flag_of_Tripoli%2C_Libya.svg.png" TargetMode="External"/><Relationship Id="rId7" Type="http://schemas.openxmlformats.org/officeDocument/2006/relationships/vmlDrawing" Target="../drawings/vmlDrawing26.vml"/><Relationship Id="rId2" Type="http://schemas.openxmlformats.org/officeDocument/2006/relationships/hyperlink" Target="https://upload.wikimedia.org/wikipedia/commons/thumb/3/32/Flag_of_Tripoli%2C_Libya.svg/2560px-Flag_of_Tripoli%2C_Libya.svg.png" TargetMode="External"/><Relationship Id="rId1" Type="http://schemas.openxmlformats.org/officeDocument/2006/relationships/hyperlink" Target="https://en.wikipedia.org/wiki/Seal_of_Tripoli" TargetMode="External"/><Relationship Id="rId6" Type="http://schemas.openxmlformats.org/officeDocument/2006/relationships/drawing" Target="../drawings/drawing26.xml"/><Relationship Id="rId5" Type="http://schemas.openxmlformats.org/officeDocument/2006/relationships/printerSettings" Target="../printerSettings/printerSettings26.bin"/><Relationship Id="rId10" Type="http://schemas.openxmlformats.org/officeDocument/2006/relationships/ctrlProp" Target="../ctrlProps/ctrlProp78.xml"/><Relationship Id="rId4" Type="http://schemas.openxmlformats.org/officeDocument/2006/relationships/hyperlink" Target="https://fbref.com/en/country/LBY/Libya-Football" TargetMode="External"/><Relationship Id="rId9" Type="http://schemas.openxmlformats.org/officeDocument/2006/relationships/ctrlProp" Target="../ctrlProps/ctrlProp77.xml"/></Relationships>
</file>

<file path=xl/worksheets/_rels/sheet27.xml.rels><?xml version="1.0" encoding="UTF-8" standalone="yes"?>
<Relationships xmlns="http://schemas.openxmlformats.org/package/2006/relationships"><Relationship Id="rId8" Type="http://schemas.openxmlformats.org/officeDocument/2006/relationships/ctrlProp" Target="../ctrlProps/ctrlProp81.xml"/><Relationship Id="rId3" Type="http://schemas.openxmlformats.org/officeDocument/2006/relationships/printerSettings" Target="../printerSettings/printerSettings27.bin"/><Relationship Id="rId7" Type="http://schemas.openxmlformats.org/officeDocument/2006/relationships/ctrlProp" Target="../ctrlProps/ctrlProp80.xml"/><Relationship Id="rId2" Type="http://schemas.openxmlformats.org/officeDocument/2006/relationships/hyperlink" Target="https://en.wikipedia.org/wiki/Flag_of_Lesotho" TargetMode="External"/><Relationship Id="rId1" Type="http://schemas.openxmlformats.org/officeDocument/2006/relationships/hyperlink" Target="https://fbref.com/en/country/LES/Lesotho-Football" TargetMode="External"/><Relationship Id="rId6" Type="http://schemas.openxmlformats.org/officeDocument/2006/relationships/ctrlProp" Target="../ctrlProps/ctrlProp79.xml"/><Relationship Id="rId5" Type="http://schemas.openxmlformats.org/officeDocument/2006/relationships/vmlDrawing" Target="../drawings/vmlDrawing27.vml"/><Relationship Id="rId4"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8" Type="http://schemas.openxmlformats.org/officeDocument/2006/relationships/ctrlProp" Target="../ctrlProps/ctrlProp84.xml"/><Relationship Id="rId3" Type="http://schemas.openxmlformats.org/officeDocument/2006/relationships/printerSettings" Target="../printerSettings/printerSettings28.bin"/><Relationship Id="rId7" Type="http://schemas.openxmlformats.org/officeDocument/2006/relationships/ctrlProp" Target="../ctrlProps/ctrlProp83.xml"/><Relationship Id="rId2" Type="http://schemas.openxmlformats.org/officeDocument/2006/relationships/hyperlink" Target="https://fbref.com/en/country/MAD/Madagascar-Football" TargetMode="External"/><Relationship Id="rId1" Type="http://schemas.openxmlformats.org/officeDocument/2006/relationships/hyperlink" Target="https://en.wikipedia.org/wiki/Merina_people" TargetMode="External"/><Relationship Id="rId6" Type="http://schemas.openxmlformats.org/officeDocument/2006/relationships/ctrlProp" Target="../ctrlProps/ctrlProp82.xml"/><Relationship Id="rId5" Type="http://schemas.openxmlformats.org/officeDocument/2006/relationships/vmlDrawing" Target="../drawings/vmlDrawing28.vml"/><Relationship Id="rId4"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8" Type="http://schemas.openxmlformats.org/officeDocument/2006/relationships/ctrlProp" Target="../ctrlProps/ctrlProp86.xml"/><Relationship Id="rId3" Type="http://schemas.openxmlformats.org/officeDocument/2006/relationships/hyperlink" Target="https://upload.wikimedia.org/wikipedia/commons/thumb/7/77/Flag_of_Mauritius.svg/2560px-Flag_of_Mauritius.svg.png" TargetMode="External"/><Relationship Id="rId7" Type="http://schemas.openxmlformats.org/officeDocument/2006/relationships/ctrlProp" Target="../ctrlProps/ctrlProp85.xml"/><Relationship Id="rId2" Type="http://schemas.openxmlformats.org/officeDocument/2006/relationships/hyperlink" Target="https://fbref.com/en/country/MRI/Mauritius-Football" TargetMode="External"/><Relationship Id="rId1" Type="http://schemas.openxmlformats.org/officeDocument/2006/relationships/hyperlink" Target="https://en.wikipedia.org/wiki/List_of_Mauritian_flags" TargetMode="External"/><Relationship Id="rId6" Type="http://schemas.openxmlformats.org/officeDocument/2006/relationships/vmlDrawing" Target="../drawings/vmlDrawing29.vml"/><Relationship Id="rId5" Type="http://schemas.openxmlformats.org/officeDocument/2006/relationships/drawing" Target="../drawings/drawing29.xml"/><Relationship Id="rId4" Type="http://schemas.openxmlformats.org/officeDocument/2006/relationships/printerSettings" Target="../printerSettings/printerSettings29.bin"/><Relationship Id="rId9" Type="http://schemas.openxmlformats.org/officeDocument/2006/relationships/ctrlProp" Target="../ctrlProps/ctrlProp87.xml"/></Relationships>
</file>

<file path=xl/worksheets/_rels/sheet30.xml.rels><?xml version="1.0" encoding="UTF-8" standalone="yes"?>
<Relationships xmlns="http://schemas.openxmlformats.org/package/2006/relationships"><Relationship Id="rId8" Type="http://schemas.openxmlformats.org/officeDocument/2006/relationships/ctrlProp" Target="../ctrlProps/ctrlProp90.xml"/><Relationship Id="rId3" Type="http://schemas.openxmlformats.org/officeDocument/2006/relationships/printerSettings" Target="../printerSettings/printerSettings30.bin"/><Relationship Id="rId7" Type="http://schemas.openxmlformats.org/officeDocument/2006/relationships/ctrlProp" Target="../ctrlProps/ctrlProp89.xml"/><Relationship Id="rId2" Type="http://schemas.openxmlformats.org/officeDocument/2006/relationships/hyperlink" Target="https://upload.wikimedia.org/wikipedia/commons/thumb/0/00/Flag_of_Namibia.svg/2560px-Flag_of_Namibia.svg.png" TargetMode="External"/><Relationship Id="rId1" Type="http://schemas.openxmlformats.org/officeDocument/2006/relationships/hyperlink" Target="https://fbref.com/en/country/NAM/Namibia-Football" TargetMode="External"/><Relationship Id="rId6" Type="http://schemas.openxmlformats.org/officeDocument/2006/relationships/ctrlProp" Target="../ctrlProps/ctrlProp88.xml"/><Relationship Id="rId5" Type="http://schemas.openxmlformats.org/officeDocument/2006/relationships/vmlDrawing" Target="../drawings/vmlDrawing30.vml"/><Relationship Id="rId4"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3" Type="http://schemas.openxmlformats.org/officeDocument/2006/relationships/drawing" Target="../drawings/drawing31.xml"/><Relationship Id="rId7" Type="http://schemas.openxmlformats.org/officeDocument/2006/relationships/ctrlProp" Target="../ctrlProps/ctrlProp93.xml"/><Relationship Id="rId2" Type="http://schemas.openxmlformats.org/officeDocument/2006/relationships/printerSettings" Target="../printerSettings/printerSettings31.bin"/><Relationship Id="rId1" Type="http://schemas.openxmlformats.org/officeDocument/2006/relationships/hyperlink" Target="https://fbref.com/en/country/NGA/Nigeria-Football" TargetMode="External"/><Relationship Id="rId6" Type="http://schemas.openxmlformats.org/officeDocument/2006/relationships/ctrlProp" Target="../ctrlProps/ctrlProp92.xml"/><Relationship Id="rId5" Type="http://schemas.openxmlformats.org/officeDocument/2006/relationships/ctrlProp" Target="../ctrlProps/ctrlProp91.xml"/><Relationship Id="rId4" Type="http://schemas.openxmlformats.org/officeDocument/2006/relationships/vmlDrawing" Target="../drawings/vmlDrawing31.vml"/></Relationships>
</file>

<file path=xl/worksheets/_rels/sheet32.xml.rels><?xml version="1.0" encoding="UTF-8" standalone="yes"?>
<Relationships xmlns="http://schemas.openxmlformats.org/package/2006/relationships"><Relationship Id="rId8" Type="http://schemas.openxmlformats.org/officeDocument/2006/relationships/ctrlProp" Target="../ctrlProps/ctrlProp95.xml"/><Relationship Id="rId3" Type="http://schemas.openxmlformats.org/officeDocument/2006/relationships/hyperlink" Target="https://en.wikipedia.org/wiki/Flag_and_coat_of_arms_of_Mayotte" TargetMode="External"/><Relationship Id="rId7" Type="http://schemas.openxmlformats.org/officeDocument/2006/relationships/ctrlProp" Target="../ctrlProps/ctrlProp94.xml"/><Relationship Id="rId2" Type="http://schemas.openxmlformats.org/officeDocument/2006/relationships/hyperlink" Target="https://upload.wikimedia.org/wikipedia/commons/thumb/4/4f/Flag_of_Mayotte_%28Local%29.svg/640px-Flag_of_Mayotte_%28Local%29.svg.png" TargetMode="External"/><Relationship Id="rId1" Type="http://schemas.openxmlformats.org/officeDocument/2006/relationships/hyperlink" Target="https://upload.wikimedia.org/wikipedia/commons/thumb/4/4f/Flag_of_Mayotte_%28Local%29.svg/2560px-Flag_of_Mayotte_%28Local%29.svg.png" TargetMode="External"/><Relationship Id="rId6" Type="http://schemas.openxmlformats.org/officeDocument/2006/relationships/vmlDrawing" Target="../drawings/vmlDrawing32.vml"/><Relationship Id="rId5" Type="http://schemas.openxmlformats.org/officeDocument/2006/relationships/drawing" Target="../drawings/drawing32.xml"/><Relationship Id="rId4" Type="http://schemas.openxmlformats.org/officeDocument/2006/relationships/printerSettings" Target="../printerSettings/printerSettings32.bin"/><Relationship Id="rId9" Type="http://schemas.openxmlformats.org/officeDocument/2006/relationships/ctrlProp" Target="../ctrlProps/ctrlProp96.xml"/></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33.xml"/><Relationship Id="rId7" Type="http://schemas.openxmlformats.org/officeDocument/2006/relationships/ctrlProp" Target="../ctrlProps/ctrlProp99.xml"/><Relationship Id="rId2" Type="http://schemas.openxmlformats.org/officeDocument/2006/relationships/printerSettings" Target="../printerSettings/printerSettings33.bin"/><Relationship Id="rId1" Type="http://schemas.openxmlformats.org/officeDocument/2006/relationships/hyperlink" Target="https://fbref.com/en/country/MAR/Morocco-Football" TargetMode="External"/><Relationship Id="rId6" Type="http://schemas.openxmlformats.org/officeDocument/2006/relationships/ctrlProp" Target="../ctrlProps/ctrlProp98.xml"/><Relationship Id="rId5" Type="http://schemas.openxmlformats.org/officeDocument/2006/relationships/ctrlProp" Target="../ctrlProps/ctrlProp97.xml"/><Relationship Id="rId4" Type="http://schemas.openxmlformats.org/officeDocument/2006/relationships/vmlDrawing" Target="../drawings/vmlDrawing33.vml"/></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34.xml"/><Relationship Id="rId7" Type="http://schemas.openxmlformats.org/officeDocument/2006/relationships/ctrlProp" Target="../ctrlProps/ctrlProp102.xml"/><Relationship Id="rId2" Type="http://schemas.openxmlformats.org/officeDocument/2006/relationships/printerSettings" Target="../printerSettings/printerSettings34.bin"/><Relationship Id="rId1" Type="http://schemas.openxmlformats.org/officeDocument/2006/relationships/hyperlink" Target="https://fbref.com/en/country/MOZ/Mozambique-Football" TargetMode="External"/><Relationship Id="rId6" Type="http://schemas.openxmlformats.org/officeDocument/2006/relationships/ctrlProp" Target="../ctrlProps/ctrlProp101.xml"/><Relationship Id="rId5" Type="http://schemas.openxmlformats.org/officeDocument/2006/relationships/ctrlProp" Target="../ctrlProps/ctrlProp100.xml"/><Relationship Id="rId4" Type="http://schemas.openxmlformats.org/officeDocument/2006/relationships/vmlDrawing" Target="../drawings/vmlDrawing34.vml"/></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35.xml"/><Relationship Id="rId7" Type="http://schemas.openxmlformats.org/officeDocument/2006/relationships/ctrlProp" Target="../ctrlProps/ctrlProp105.xml"/><Relationship Id="rId2" Type="http://schemas.openxmlformats.org/officeDocument/2006/relationships/printerSettings" Target="../printerSettings/printerSettings35.bin"/><Relationship Id="rId1" Type="http://schemas.openxmlformats.org/officeDocument/2006/relationships/hyperlink" Target="https://fbref.com/en/country/NIG/Niger-Football" TargetMode="External"/><Relationship Id="rId6" Type="http://schemas.openxmlformats.org/officeDocument/2006/relationships/ctrlProp" Target="../ctrlProps/ctrlProp104.xml"/><Relationship Id="rId5" Type="http://schemas.openxmlformats.org/officeDocument/2006/relationships/ctrlProp" Target="../ctrlProps/ctrlProp103.xml"/><Relationship Id="rId4" Type="http://schemas.openxmlformats.org/officeDocument/2006/relationships/vmlDrawing" Target="../drawings/vmlDrawing35.vml"/></Relationships>
</file>

<file path=xl/worksheets/_rels/sheet37.xml.rels><?xml version="1.0" encoding="UTF-8" standalone="yes"?>
<Relationships xmlns="http://schemas.openxmlformats.org/package/2006/relationships"><Relationship Id="rId3" Type="http://schemas.openxmlformats.org/officeDocument/2006/relationships/drawing" Target="../drawings/drawing36.xml"/><Relationship Id="rId7" Type="http://schemas.openxmlformats.org/officeDocument/2006/relationships/ctrlProp" Target="../ctrlProps/ctrlProp108.xml"/><Relationship Id="rId2" Type="http://schemas.openxmlformats.org/officeDocument/2006/relationships/printerSettings" Target="../printerSettings/printerSettings36.bin"/><Relationship Id="rId1" Type="http://schemas.openxmlformats.org/officeDocument/2006/relationships/hyperlink" Target="https://fbref.com/en/country/MWI/Malawi-Football" TargetMode="External"/><Relationship Id="rId6" Type="http://schemas.openxmlformats.org/officeDocument/2006/relationships/ctrlProp" Target="../ctrlProps/ctrlProp107.xml"/><Relationship Id="rId5" Type="http://schemas.openxmlformats.org/officeDocument/2006/relationships/ctrlProp" Target="../ctrlProps/ctrlProp106.xml"/><Relationship Id="rId4" Type="http://schemas.openxmlformats.org/officeDocument/2006/relationships/vmlDrawing" Target="../drawings/vmlDrawing36.vml"/></Relationships>
</file>

<file path=xl/worksheets/_rels/sheet38.xml.rels><?xml version="1.0" encoding="UTF-8" standalone="yes"?>
<Relationships xmlns="http://schemas.openxmlformats.org/package/2006/relationships"><Relationship Id="rId8" Type="http://schemas.openxmlformats.org/officeDocument/2006/relationships/ctrlProp" Target="../ctrlProps/ctrlProp111.xml"/><Relationship Id="rId3" Type="http://schemas.openxmlformats.org/officeDocument/2006/relationships/printerSettings" Target="../printerSettings/printerSettings37.bin"/><Relationship Id="rId7" Type="http://schemas.openxmlformats.org/officeDocument/2006/relationships/ctrlProp" Target="../ctrlProps/ctrlProp110.xml"/><Relationship Id="rId2" Type="http://schemas.openxmlformats.org/officeDocument/2006/relationships/hyperlink" Target="https://en.wikipedia.org/wiki/Flag_of_Mauritania" TargetMode="External"/><Relationship Id="rId1" Type="http://schemas.openxmlformats.org/officeDocument/2006/relationships/hyperlink" Target="https://fbref.com/en/country/MTN/Mauritania-Football" TargetMode="External"/><Relationship Id="rId6" Type="http://schemas.openxmlformats.org/officeDocument/2006/relationships/ctrlProp" Target="../ctrlProps/ctrlProp109.xml"/><Relationship Id="rId5" Type="http://schemas.openxmlformats.org/officeDocument/2006/relationships/vmlDrawing" Target="../drawings/vmlDrawing37.vml"/><Relationship Id="rId4" Type="http://schemas.openxmlformats.org/officeDocument/2006/relationships/drawing" Target="../drawings/drawing37.xml"/></Relationships>
</file>

<file path=xl/worksheets/_rels/sheet39.xml.rels><?xml version="1.0" encoding="UTF-8" standalone="yes"?>
<Relationships xmlns="http://schemas.openxmlformats.org/package/2006/relationships"><Relationship Id="rId3" Type="http://schemas.openxmlformats.org/officeDocument/2006/relationships/drawing" Target="../drawings/drawing38.xml"/><Relationship Id="rId7" Type="http://schemas.openxmlformats.org/officeDocument/2006/relationships/ctrlProp" Target="../ctrlProps/ctrlProp114.xml"/><Relationship Id="rId2" Type="http://schemas.openxmlformats.org/officeDocument/2006/relationships/printerSettings" Target="../printerSettings/printerSettings38.bin"/><Relationship Id="rId1" Type="http://schemas.openxmlformats.org/officeDocument/2006/relationships/hyperlink" Target="https://fbref.com/en/country/MLI/Mali-Football" TargetMode="External"/><Relationship Id="rId6" Type="http://schemas.openxmlformats.org/officeDocument/2006/relationships/ctrlProp" Target="../ctrlProps/ctrlProp113.xml"/><Relationship Id="rId5" Type="http://schemas.openxmlformats.org/officeDocument/2006/relationships/ctrlProp" Target="../ctrlProps/ctrlProp112.xml"/><Relationship Id="rId4" Type="http://schemas.openxmlformats.org/officeDocument/2006/relationships/vmlDrawing" Target="../drawings/vmlDrawing38.vml"/></Relationships>
</file>

<file path=xl/worksheets/_rels/sheet40.xml.rels><?xml version="1.0" encoding="UTF-8" standalone="yes"?>
<Relationships xmlns="http://schemas.openxmlformats.org/package/2006/relationships"><Relationship Id="rId3" Type="http://schemas.openxmlformats.org/officeDocument/2006/relationships/drawing" Target="../drawings/drawing39.xml"/><Relationship Id="rId7" Type="http://schemas.openxmlformats.org/officeDocument/2006/relationships/ctrlProp" Target="../ctrlProps/ctrlProp117.xml"/><Relationship Id="rId2" Type="http://schemas.openxmlformats.org/officeDocument/2006/relationships/printerSettings" Target="../printerSettings/printerSettings39.bin"/><Relationship Id="rId1" Type="http://schemas.openxmlformats.org/officeDocument/2006/relationships/hyperlink" Target="https://en.wikipedia.org/wiki/Flag_of_R&#233;union" TargetMode="External"/><Relationship Id="rId6" Type="http://schemas.openxmlformats.org/officeDocument/2006/relationships/ctrlProp" Target="../ctrlProps/ctrlProp116.xml"/><Relationship Id="rId5" Type="http://schemas.openxmlformats.org/officeDocument/2006/relationships/ctrlProp" Target="../ctrlProps/ctrlProp115.xml"/><Relationship Id="rId4" Type="http://schemas.openxmlformats.org/officeDocument/2006/relationships/vmlDrawing" Target="../drawings/vmlDrawing39.vml"/></Relationships>
</file>

<file path=xl/worksheets/_rels/sheet41.xml.rels><?xml version="1.0" encoding="UTF-8" standalone="yes"?>
<Relationships xmlns="http://schemas.openxmlformats.org/package/2006/relationships"><Relationship Id="rId8" Type="http://schemas.openxmlformats.org/officeDocument/2006/relationships/ctrlProp" Target="../ctrlProps/ctrlProp120.xml"/><Relationship Id="rId3" Type="http://schemas.openxmlformats.org/officeDocument/2006/relationships/printerSettings" Target="../printerSettings/printerSettings40.bin"/><Relationship Id="rId7" Type="http://schemas.openxmlformats.org/officeDocument/2006/relationships/ctrlProp" Target="../ctrlProps/ctrlProp119.xml"/><Relationship Id="rId2" Type="http://schemas.openxmlformats.org/officeDocument/2006/relationships/hyperlink" Target="https://fbref.com/en/country/RWA/Rwanda-Football" TargetMode="External"/><Relationship Id="rId1" Type="http://schemas.openxmlformats.org/officeDocument/2006/relationships/hyperlink" Target="https://en.wikipedia.org/wiki/Flag_of_Rwanda" TargetMode="External"/><Relationship Id="rId6" Type="http://schemas.openxmlformats.org/officeDocument/2006/relationships/ctrlProp" Target="../ctrlProps/ctrlProp118.xml"/><Relationship Id="rId5" Type="http://schemas.openxmlformats.org/officeDocument/2006/relationships/vmlDrawing" Target="../drawings/vmlDrawing40.vml"/><Relationship Id="rId4" Type="http://schemas.openxmlformats.org/officeDocument/2006/relationships/drawing" Target="../drawings/drawing40.xml"/></Relationships>
</file>

<file path=xl/worksheets/_rels/sheet42.xml.rels><?xml version="1.0" encoding="UTF-8" standalone="yes"?>
<Relationships xmlns="http://schemas.openxmlformats.org/package/2006/relationships"><Relationship Id="rId8" Type="http://schemas.openxmlformats.org/officeDocument/2006/relationships/ctrlProp" Target="../ctrlProps/ctrlProp122.xml"/><Relationship Id="rId3" Type="http://schemas.openxmlformats.org/officeDocument/2006/relationships/hyperlink" Target="https://en.wikipedia.org/wiki/Flag_of_Mpumalanga" TargetMode="External"/><Relationship Id="rId7" Type="http://schemas.openxmlformats.org/officeDocument/2006/relationships/ctrlProp" Target="../ctrlProps/ctrlProp121.xml"/><Relationship Id="rId2" Type="http://schemas.openxmlformats.org/officeDocument/2006/relationships/hyperlink" Target="https://upload.wikimedia.org/wikipedia/commons/thumb/a/af/Flag_of_South_Africa.svg/2560px-Flag_of_South_Africa.svg.png" TargetMode="External"/><Relationship Id="rId1" Type="http://schemas.openxmlformats.org/officeDocument/2006/relationships/hyperlink" Target="https://fbref.com/en/country/RSA/South-Africa-Football" TargetMode="External"/><Relationship Id="rId6" Type="http://schemas.openxmlformats.org/officeDocument/2006/relationships/vmlDrawing" Target="../drawings/vmlDrawing41.vml"/><Relationship Id="rId5" Type="http://schemas.openxmlformats.org/officeDocument/2006/relationships/drawing" Target="../drawings/drawing41.xml"/><Relationship Id="rId4" Type="http://schemas.openxmlformats.org/officeDocument/2006/relationships/printerSettings" Target="../printerSettings/printerSettings41.bin"/><Relationship Id="rId9" Type="http://schemas.openxmlformats.org/officeDocument/2006/relationships/ctrlProp" Target="../ctrlProps/ctrlProp123.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42.xml"/><Relationship Id="rId1" Type="http://schemas.openxmlformats.org/officeDocument/2006/relationships/printerSettings" Target="../printerSettings/printerSettings42.bin"/><Relationship Id="rId6" Type="http://schemas.openxmlformats.org/officeDocument/2006/relationships/ctrlProp" Target="../ctrlProps/ctrlProp126.xml"/><Relationship Id="rId5" Type="http://schemas.openxmlformats.org/officeDocument/2006/relationships/ctrlProp" Target="../ctrlProps/ctrlProp125.xml"/><Relationship Id="rId4" Type="http://schemas.openxmlformats.org/officeDocument/2006/relationships/ctrlProp" Target="../ctrlProps/ctrlProp124.xml"/></Relationships>
</file>

<file path=xl/worksheets/_rels/sheet44.xml.rels><?xml version="1.0" encoding="UTF-8" standalone="yes"?>
<Relationships xmlns="http://schemas.openxmlformats.org/package/2006/relationships"><Relationship Id="rId8" Type="http://schemas.openxmlformats.org/officeDocument/2006/relationships/ctrlProp" Target="../ctrlProps/ctrlProp128.xml"/><Relationship Id="rId3" Type="http://schemas.openxmlformats.org/officeDocument/2006/relationships/hyperlink" Target="https://en.wikipedia.org/wiki/History_of_Senegal" TargetMode="External"/><Relationship Id="rId7" Type="http://schemas.openxmlformats.org/officeDocument/2006/relationships/ctrlProp" Target="../ctrlProps/ctrlProp127.xml"/><Relationship Id="rId2" Type="http://schemas.openxmlformats.org/officeDocument/2006/relationships/hyperlink" Target="https://upload.wikimedia.org/wikipedia/commons/thumb/f/fd/Flag_of_Senegal.svg/2560px-Flag_of_Senegal.svg.png" TargetMode="External"/><Relationship Id="rId1" Type="http://schemas.openxmlformats.org/officeDocument/2006/relationships/hyperlink" Target="https://fbref.com/en/country/SEN/Senegal-Football" TargetMode="External"/><Relationship Id="rId6" Type="http://schemas.openxmlformats.org/officeDocument/2006/relationships/vmlDrawing" Target="../drawings/vmlDrawing43.vml"/><Relationship Id="rId5" Type="http://schemas.openxmlformats.org/officeDocument/2006/relationships/drawing" Target="../drawings/drawing43.xml"/><Relationship Id="rId4" Type="http://schemas.openxmlformats.org/officeDocument/2006/relationships/printerSettings" Target="../printerSettings/printerSettings43.bin"/><Relationship Id="rId9" Type="http://schemas.openxmlformats.org/officeDocument/2006/relationships/ctrlProp" Target="../ctrlProps/ctrlProp129.xml"/></Relationships>
</file>

<file path=xl/worksheets/_rels/sheet45.xml.rels><?xml version="1.0" encoding="UTF-8" standalone="yes"?>
<Relationships xmlns="http://schemas.openxmlformats.org/package/2006/relationships"><Relationship Id="rId3" Type="http://schemas.openxmlformats.org/officeDocument/2006/relationships/drawing" Target="../drawings/drawing44.xml"/><Relationship Id="rId7" Type="http://schemas.openxmlformats.org/officeDocument/2006/relationships/ctrlProp" Target="../ctrlProps/ctrlProp132.xml"/><Relationship Id="rId2" Type="http://schemas.openxmlformats.org/officeDocument/2006/relationships/printerSettings" Target="../printerSettings/printerSettings44.bin"/><Relationship Id="rId1" Type="http://schemas.openxmlformats.org/officeDocument/2006/relationships/hyperlink" Target="https://fbref.com/en/country/SOM/Somalia-Football" TargetMode="External"/><Relationship Id="rId6" Type="http://schemas.openxmlformats.org/officeDocument/2006/relationships/ctrlProp" Target="../ctrlProps/ctrlProp131.xml"/><Relationship Id="rId5" Type="http://schemas.openxmlformats.org/officeDocument/2006/relationships/ctrlProp" Target="../ctrlProps/ctrlProp130.xml"/><Relationship Id="rId4" Type="http://schemas.openxmlformats.org/officeDocument/2006/relationships/vmlDrawing" Target="../drawings/vmlDrawing44.vml"/></Relationships>
</file>

<file path=xl/worksheets/_rels/sheet46.xml.rels><?xml version="1.0" encoding="UTF-8" standalone="yes"?>
<Relationships xmlns="http://schemas.openxmlformats.org/package/2006/relationships"><Relationship Id="rId3" Type="http://schemas.openxmlformats.org/officeDocument/2006/relationships/drawing" Target="../drawings/drawing45.xml"/><Relationship Id="rId7" Type="http://schemas.openxmlformats.org/officeDocument/2006/relationships/ctrlProp" Target="../ctrlProps/ctrlProp135.xml"/><Relationship Id="rId2" Type="http://schemas.openxmlformats.org/officeDocument/2006/relationships/printerSettings" Target="../printerSettings/printerSettings45.bin"/><Relationship Id="rId1" Type="http://schemas.openxmlformats.org/officeDocument/2006/relationships/hyperlink" Target="https://fbref.com/en/country/SLE/Sierra-Leone-Football" TargetMode="External"/><Relationship Id="rId6" Type="http://schemas.openxmlformats.org/officeDocument/2006/relationships/ctrlProp" Target="../ctrlProps/ctrlProp134.xml"/><Relationship Id="rId5" Type="http://schemas.openxmlformats.org/officeDocument/2006/relationships/ctrlProp" Target="../ctrlProps/ctrlProp133.xml"/><Relationship Id="rId4" Type="http://schemas.openxmlformats.org/officeDocument/2006/relationships/vmlDrawing" Target="../drawings/vmlDrawing45.vml"/></Relationships>
</file>

<file path=xl/worksheets/_rels/sheet47.xml.rels><?xml version="1.0" encoding="UTF-8" standalone="yes"?>
<Relationships xmlns="http://schemas.openxmlformats.org/package/2006/relationships"><Relationship Id="rId8" Type="http://schemas.openxmlformats.org/officeDocument/2006/relationships/ctrlProp" Target="../ctrlProps/ctrlProp138.xml"/><Relationship Id="rId3" Type="http://schemas.openxmlformats.org/officeDocument/2006/relationships/printerSettings" Target="../printerSettings/printerSettings46.bin"/><Relationship Id="rId7" Type="http://schemas.openxmlformats.org/officeDocument/2006/relationships/ctrlProp" Target="../ctrlProps/ctrlProp137.xml"/><Relationship Id="rId2" Type="http://schemas.openxmlformats.org/officeDocument/2006/relationships/hyperlink" Target="https://fbref.com/en/country/SDN/Sudan-Football" TargetMode="External"/><Relationship Id="rId1" Type="http://schemas.openxmlformats.org/officeDocument/2006/relationships/hyperlink" Target="https://en.wikipedia.org/wiki/Kassala_State" TargetMode="External"/><Relationship Id="rId6" Type="http://schemas.openxmlformats.org/officeDocument/2006/relationships/ctrlProp" Target="../ctrlProps/ctrlProp136.xml"/><Relationship Id="rId5" Type="http://schemas.openxmlformats.org/officeDocument/2006/relationships/vmlDrawing" Target="../drawings/vmlDrawing46.vml"/><Relationship Id="rId4" Type="http://schemas.openxmlformats.org/officeDocument/2006/relationships/drawing" Target="../drawings/drawing46.xml"/></Relationships>
</file>

<file path=xl/worksheets/_rels/sheet48.xml.rels><?xml version="1.0" encoding="UTF-8" standalone="yes"?>
<Relationships xmlns="http://schemas.openxmlformats.org/package/2006/relationships"><Relationship Id="rId8" Type="http://schemas.openxmlformats.org/officeDocument/2006/relationships/ctrlProp" Target="../ctrlProps/ctrlProp141.xml"/><Relationship Id="rId3" Type="http://schemas.openxmlformats.org/officeDocument/2006/relationships/printerSettings" Target="../printerSettings/printerSettings47.bin"/><Relationship Id="rId7" Type="http://schemas.openxmlformats.org/officeDocument/2006/relationships/ctrlProp" Target="../ctrlProps/ctrlProp140.xml"/><Relationship Id="rId2" Type="http://schemas.openxmlformats.org/officeDocument/2006/relationships/hyperlink" Target="https://upload.wikimedia.org/wikipedia/commons/thumb/7/7a/Flag_of_South_Sudan.svg/2560px-Flag_of_South_Sudan.svg.png" TargetMode="External"/><Relationship Id="rId1" Type="http://schemas.openxmlformats.org/officeDocument/2006/relationships/hyperlink" Target="https://fbref.com/en/country/SSD/South-Sudan-Football" TargetMode="External"/><Relationship Id="rId6" Type="http://schemas.openxmlformats.org/officeDocument/2006/relationships/ctrlProp" Target="../ctrlProps/ctrlProp139.xml"/><Relationship Id="rId5" Type="http://schemas.openxmlformats.org/officeDocument/2006/relationships/vmlDrawing" Target="../drawings/vmlDrawing47.vml"/><Relationship Id="rId4" Type="http://schemas.openxmlformats.org/officeDocument/2006/relationships/drawing" Target="../drawings/drawing47.xml"/></Relationships>
</file>

<file path=xl/worksheets/_rels/sheet49.xml.rels><?xml version="1.0" encoding="UTF-8" standalone="yes"?>
<Relationships xmlns="http://schemas.openxmlformats.org/package/2006/relationships"><Relationship Id="rId8" Type="http://schemas.openxmlformats.org/officeDocument/2006/relationships/ctrlProp" Target="../ctrlProps/ctrlProp144.xml"/><Relationship Id="rId3" Type="http://schemas.openxmlformats.org/officeDocument/2006/relationships/printerSettings" Target="../printerSettings/printerSettings48.bin"/><Relationship Id="rId7" Type="http://schemas.openxmlformats.org/officeDocument/2006/relationships/ctrlProp" Target="../ctrlProps/ctrlProp143.xml"/><Relationship Id="rId2" Type="http://schemas.openxmlformats.org/officeDocument/2006/relationships/hyperlink" Target="https://upload.wikimedia.org/wikipedia/commons/thumb/0/0a/Flag_of_S%C3%A3o_Tom%C3%A9_and_Pr%C3%ADncipe.svg/2560px-Flag_of_S%C3%A3o_Tom%C3%A9_and_Pr%C3%ADncipe.svg.png" TargetMode="External"/><Relationship Id="rId1" Type="http://schemas.openxmlformats.org/officeDocument/2006/relationships/hyperlink" Target="https://fbref.com/en/country/STP/Sao-Tome-e-Principe-Football" TargetMode="External"/><Relationship Id="rId6" Type="http://schemas.openxmlformats.org/officeDocument/2006/relationships/ctrlProp" Target="../ctrlProps/ctrlProp142.xml"/><Relationship Id="rId5" Type="http://schemas.openxmlformats.org/officeDocument/2006/relationships/vmlDrawing" Target="../drawings/vmlDrawing48.vml"/><Relationship Id="rId4" Type="http://schemas.openxmlformats.org/officeDocument/2006/relationships/drawing" Target="../drawings/drawing48.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49.xml"/><Relationship Id="rId1" Type="http://schemas.openxmlformats.org/officeDocument/2006/relationships/printerSettings" Target="../printerSettings/printerSettings49.bin"/><Relationship Id="rId6" Type="http://schemas.openxmlformats.org/officeDocument/2006/relationships/ctrlProp" Target="../ctrlProps/ctrlProp147.xml"/><Relationship Id="rId5" Type="http://schemas.openxmlformats.org/officeDocument/2006/relationships/ctrlProp" Target="../ctrlProps/ctrlProp146.xml"/><Relationship Id="rId4" Type="http://schemas.openxmlformats.org/officeDocument/2006/relationships/ctrlProp" Target="../ctrlProps/ctrlProp145.xml"/></Relationships>
</file>

<file path=xl/worksheets/_rels/sheet51.xml.rels><?xml version="1.0" encoding="UTF-8" standalone="yes"?>
<Relationships xmlns="http://schemas.openxmlformats.org/package/2006/relationships"><Relationship Id="rId8" Type="http://schemas.openxmlformats.org/officeDocument/2006/relationships/ctrlProp" Target="../ctrlProps/ctrlProp150.xml"/><Relationship Id="rId3" Type="http://schemas.openxmlformats.org/officeDocument/2006/relationships/printerSettings" Target="../printerSettings/printerSettings50.bin"/><Relationship Id="rId7" Type="http://schemas.openxmlformats.org/officeDocument/2006/relationships/ctrlProp" Target="../ctrlProps/ctrlProp149.xml"/><Relationship Id="rId2" Type="http://schemas.openxmlformats.org/officeDocument/2006/relationships/hyperlink" Target="https://upload.wikimedia.org/wikipedia/commons/thumb/f/fc/Flag_of_Seychelles.svg/2560px-Flag_of_Seychelles.svg.png" TargetMode="External"/><Relationship Id="rId1" Type="http://schemas.openxmlformats.org/officeDocument/2006/relationships/hyperlink" Target="https://fbref.com/en/country/SEY/Seychelles-Football" TargetMode="External"/><Relationship Id="rId6" Type="http://schemas.openxmlformats.org/officeDocument/2006/relationships/ctrlProp" Target="../ctrlProps/ctrlProp148.xml"/><Relationship Id="rId5" Type="http://schemas.openxmlformats.org/officeDocument/2006/relationships/vmlDrawing" Target="../drawings/vmlDrawing50.vml"/><Relationship Id="rId4" Type="http://schemas.openxmlformats.org/officeDocument/2006/relationships/drawing" Target="../drawings/drawing50.xml"/></Relationships>
</file>

<file path=xl/worksheets/_rels/sheet52.xml.rels><?xml version="1.0" encoding="UTF-8" standalone="yes"?>
<Relationships xmlns="http://schemas.openxmlformats.org/package/2006/relationships"><Relationship Id="rId3" Type="http://schemas.openxmlformats.org/officeDocument/2006/relationships/drawing" Target="../drawings/drawing51.xml"/><Relationship Id="rId7" Type="http://schemas.openxmlformats.org/officeDocument/2006/relationships/ctrlProp" Target="../ctrlProps/ctrlProp153.xml"/><Relationship Id="rId2" Type="http://schemas.openxmlformats.org/officeDocument/2006/relationships/printerSettings" Target="../printerSettings/printerSettings51.bin"/><Relationship Id="rId1" Type="http://schemas.openxmlformats.org/officeDocument/2006/relationships/hyperlink" Target="https://fbref.com/en/country/CHA/Chad-Football" TargetMode="External"/><Relationship Id="rId6" Type="http://schemas.openxmlformats.org/officeDocument/2006/relationships/ctrlProp" Target="../ctrlProps/ctrlProp152.xml"/><Relationship Id="rId5" Type="http://schemas.openxmlformats.org/officeDocument/2006/relationships/ctrlProp" Target="../ctrlProps/ctrlProp151.xml"/><Relationship Id="rId4" Type="http://schemas.openxmlformats.org/officeDocument/2006/relationships/vmlDrawing" Target="../drawings/vmlDrawing51.vml"/></Relationships>
</file>

<file path=xl/worksheets/_rels/sheet53.xml.rels><?xml version="1.0" encoding="UTF-8" standalone="yes"?>
<Relationships xmlns="http://schemas.openxmlformats.org/package/2006/relationships"><Relationship Id="rId8" Type="http://schemas.openxmlformats.org/officeDocument/2006/relationships/ctrlProp" Target="../ctrlProps/ctrlProp156.xml"/><Relationship Id="rId3" Type="http://schemas.openxmlformats.org/officeDocument/2006/relationships/printerSettings" Target="../printerSettings/printerSettings52.bin"/><Relationship Id="rId7" Type="http://schemas.openxmlformats.org/officeDocument/2006/relationships/ctrlProp" Target="../ctrlProps/ctrlProp155.xml"/><Relationship Id="rId2" Type="http://schemas.openxmlformats.org/officeDocument/2006/relationships/hyperlink" Target="https://upload.wikimedia.org/wikipedia/commons/thumb/6/68/Flag_of_Togo.svg/2560px-Flag_of_Togo.svg.png" TargetMode="External"/><Relationship Id="rId1" Type="http://schemas.openxmlformats.org/officeDocument/2006/relationships/hyperlink" Target="https://fbref.com/en/country/TOG/Togo-Football" TargetMode="External"/><Relationship Id="rId6" Type="http://schemas.openxmlformats.org/officeDocument/2006/relationships/ctrlProp" Target="../ctrlProps/ctrlProp154.xml"/><Relationship Id="rId5" Type="http://schemas.openxmlformats.org/officeDocument/2006/relationships/vmlDrawing" Target="../drawings/vmlDrawing52.vml"/><Relationship Id="rId4" Type="http://schemas.openxmlformats.org/officeDocument/2006/relationships/drawing" Target="../drawings/drawing52.xml"/></Relationships>
</file>

<file path=xl/worksheets/_rels/sheet54.xml.rels><?xml version="1.0" encoding="UTF-8" standalone="yes"?>
<Relationships xmlns="http://schemas.openxmlformats.org/package/2006/relationships"><Relationship Id="rId3" Type="http://schemas.openxmlformats.org/officeDocument/2006/relationships/drawing" Target="../drawings/drawing53.xml"/><Relationship Id="rId7" Type="http://schemas.openxmlformats.org/officeDocument/2006/relationships/ctrlProp" Target="../ctrlProps/ctrlProp159.xml"/><Relationship Id="rId2" Type="http://schemas.openxmlformats.org/officeDocument/2006/relationships/printerSettings" Target="../printerSettings/printerSettings53.bin"/><Relationship Id="rId1" Type="http://schemas.openxmlformats.org/officeDocument/2006/relationships/hyperlink" Target="https://fbref.com/en/country/TUN/Tunisia-Football" TargetMode="External"/><Relationship Id="rId6" Type="http://schemas.openxmlformats.org/officeDocument/2006/relationships/ctrlProp" Target="../ctrlProps/ctrlProp158.xml"/><Relationship Id="rId5" Type="http://schemas.openxmlformats.org/officeDocument/2006/relationships/ctrlProp" Target="../ctrlProps/ctrlProp157.xml"/><Relationship Id="rId4" Type="http://schemas.openxmlformats.org/officeDocument/2006/relationships/vmlDrawing" Target="../drawings/vmlDrawing53.vml"/></Relationships>
</file>

<file path=xl/worksheets/_rels/sheet55.xml.rels><?xml version="1.0" encoding="UTF-8" standalone="yes"?>
<Relationships xmlns="http://schemas.openxmlformats.org/package/2006/relationships"><Relationship Id="rId8" Type="http://schemas.openxmlformats.org/officeDocument/2006/relationships/ctrlProp" Target="../ctrlProps/ctrlProp162.xml"/><Relationship Id="rId3" Type="http://schemas.openxmlformats.org/officeDocument/2006/relationships/printerSettings" Target="../printerSettings/printerSettings54.bin"/><Relationship Id="rId7" Type="http://schemas.openxmlformats.org/officeDocument/2006/relationships/ctrlProp" Target="../ctrlProps/ctrlProp161.xml"/><Relationship Id="rId2" Type="http://schemas.openxmlformats.org/officeDocument/2006/relationships/hyperlink" Target="https://upload.wikimedia.org/wikipedia/commons/thumb/3/38/Flag_of_Tanzania.svg/2560px-Flag_of_Tanzania.svg.png" TargetMode="External"/><Relationship Id="rId1" Type="http://schemas.openxmlformats.org/officeDocument/2006/relationships/hyperlink" Target="https://fbref.com/en/country/TAN/Tanzania-Football" TargetMode="External"/><Relationship Id="rId6" Type="http://schemas.openxmlformats.org/officeDocument/2006/relationships/ctrlProp" Target="../ctrlProps/ctrlProp160.xml"/><Relationship Id="rId5" Type="http://schemas.openxmlformats.org/officeDocument/2006/relationships/vmlDrawing" Target="../drawings/vmlDrawing54.vml"/><Relationship Id="rId4" Type="http://schemas.openxmlformats.org/officeDocument/2006/relationships/drawing" Target="../drawings/drawing54.xml"/></Relationships>
</file>

<file path=xl/worksheets/_rels/sheet56.xml.rels><?xml version="1.0" encoding="UTF-8" standalone="yes"?>
<Relationships xmlns="http://schemas.openxmlformats.org/package/2006/relationships"><Relationship Id="rId3" Type="http://schemas.openxmlformats.org/officeDocument/2006/relationships/drawing" Target="../drawings/drawing55.xml"/><Relationship Id="rId7" Type="http://schemas.openxmlformats.org/officeDocument/2006/relationships/ctrlProp" Target="../ctrlProps/ctrlProp165.xml"/><Relationship Id="rId2" Type="http://schemas.openxmlformats.org/officeDocument/2006/relationships/printerSettings" Target="../printerSettings/printerSettings55.bin"/><Relationship Id="rId1" Type="http://schemas.openxmlformats.org/officeDocument/2006/relationships/hyperlink" Target="https://fbref.com/en/country/ZAM/Zambia-Football" TargetMode="External"/><Relationship Id="rId6" Type="http://schemas.openxmlformats.org/officeDocument/2006/relationships/ctrlProp" Target="../ctrlProps/ctrlProp164.xml"/><Relationship Id="rId5" Type="http://schemas.openxmlformats.org/officeDocument/2006/relationships/ctrlProp" Target="../ctrlProps/ctrlProp163.xml"/><Relationship Id="rId4" Type="http://schemas.openxmlformats.org/officeDocument/2006/relationships/vmlDrawing" Target="../drawings/vmlDrawing55.vml"/></Relationships>
</file>

<file path=xl/worksheets/_rels/sheet57.xml.rels><?xml version="1.0" encoding="UTF-8" standalone="yes"?>
<Relationships xmlns="http://schemas.openxmlformats.org/package/2006/relationships"><Relationship Id="rId3" Type="http://schemas.openxmlformats.org/officeDocument/2006/relationships/drawing" Target="../drawings/drawing56.xml"/><Relationship Id="rId7" Type="http://schemas.openxmlformats.org/officeDocument/2006/relationships/ctrlProp" Target="../ctrlProps/ctrlProp168.xml"/><Relationship Id="rId2" Type="http://schemas.openxmlformats.org/officeDocument/2006/relationships/printerSettings" Target="../printerSettings/printerSettings56.bin"/><Relationship Id="rId1" Type="http://schemas.openxmlformats.org/officeDocument/2006/relationships/hyperlink" Target="https://fbref.com/en/country/UGA/Uganda-Football" TargetMode="External"/><Relationship Id="rId6" Type="http://schemas.openxmlformats.org/officeDocument/2006/relationships/ctrlProp" Target="../ctrlProps/ctrlProp167.xml"/><Relationship Id="rId5" Type="http://schemas.openxmlformats.org/officeDocument/2006/relationships/ctrlProp" Target="../ctrlProps/ctrlProp166.xml"/><Relationship Id="rId4" Type="http://schemas.openxmlformats.org/officeDocument/2006/relationships/vmlDrawing" Target="../drawings/vmlDrawing56.vml"/></Relationships>
</file>

<file path=xl/worksheets/_rels/sheet58.xml.rels><?xml version="1.0" encoding="UTF-8" standalone="yes"?>
<Relationships xmlns="http://schemas.openxmlformats.org/package/2006/relationships"><Relationship Id="rId8" Type="http://schemas.openxmlformats.org/officeDocument/2006/relationships/ctrlProp" Target="../ctrlProps/ctrlProp171.xml"/><Relationship Id="rId3" Type="http://schemas.openxmlformats.org/officeDocument/2006/relationships/printerSettings" Target="../printerSettings/printerSettings57.bin"/><Relationship Id="rId7" Type="http://schemas.openxmlformats.org/officeDocument/2006/relationships/ctrlProp" Target="../ctrlProps/ctrlProp170.xml"/><Relationship Id="rId2" Type="http://schemas.openxmlformats.org/officeDocument/2006/relationships/hyperlink" Target="https://upload.wikimedia.org/wikipedia/commons/thumb/6/6a/Flag_of_Zimbabwe.svg/2560px-Flag_of_Zimbabwe.svg.png" TargetMode="External"/><Relationship Id="rId1" Type="http://schemas.openxmlformats.org/officeDocument/2006/relationships/hyperlink" Target="https://fbref.com/en/country/ZIM/Zimbabwe-Football" TargetMode="External"/><Relationship Id="rId6" Type="http://schemas.openxmlformats.org/officeDocument/2006/relationships/ctrlProp" Target="../ctrlProps/ctrlProp169.xml"/><Relationship Id="rId5" Type="http://schemas.openxmlformats.org/officeDocument/2006/relationships/vmlDrawing" Target="../drawings/vmlDrawing57.vml"/><Relationship Id="rId4" Type="http://schemas.openxmlformats.org/officeDocument/2006/relationships/drawing" Target="../drawings/drawing5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EE04C-2935-411B-8A5A-AB00A208F1A6}">
  <sheetPr codeName="Sheet21"/>
  <dimension ref="A1:IY6"/>
  <sheetViews>
    <sheetView zoomScale="70" zoomScaleNormal="70" workbookViewId="0">
      <pane xSplit="5" ySplit="1" topLeftCell="F2" activePane="bottomRight" state="frozen"/>
      <selection pane="topRight" activeCell="F1" sqref="F1"/>
      <selection pane="bottomLeft" activeCell="A2" sqref="A2"/>
      <selection pane="bottomRight" activeCell="N2" sqref="N2"/>
    </sheetView>
  </sheetViews>
  <sheetFormatPr defaultRowHeight="38.4" customHeight="1" x14ac:dyDescent="0.3"/>
  <cols>
    <col min="1" max="1" width="52.44140625" style="81" bestFit="1" customWidth="1"/>
    <col min="2" max="2" width="10.109375" style="81" customWidth="1"/>
    <col min="3" max="3" width="7.44140625" style="82" customWidth="1"/>
    <col min="4" max="4" width="4.77734375" style="83" customWidth="1"/>
    <col min="5" max="5" width="4.5546875" style="83" customWidth="1"/>
    <col min="6" max="6" width="5.77734375" style="83" customWidth="1"/>
    <col min="7" max="7" width="7.44140625" style="81" customWidth="1"/>
    <col min="8" max="8" width="11.44140625" style="81" customWidth="1"/>
    <col min="9" max="9" width="10" style="81" customWidth="1"/>
    <col min="10" max="10" width="4.21875" style="81" customWidth="1"/>
    <col min="11" max="11" width="5.6640625" style="83" customWidth="1"/>
    <col min="12" max="12" width="2.88671875" style="83" customWidth="1"/>
    <col min="13" max="13" width="6.44140625" style="83" customWidth="1"/>
    <col min="14" max="14" width="4.5546875" style="83" customWidth="1"/>
    <col min="15" max="15" width="10.5546875" style="84" customWidth="1"/>
    <col min="16" max="16" width="6.88671875" style="83" customWidth="1"/>
    <col min="17" max="17" width="4.77734375" style="83" customWidth="1"/>
    <col min="18" max="18" width="13.109375" style="82" customWidth="1"/>
    <col min="19" max="19" width="6.77734375" style="82" customWidth="1"/>
    <col min="20" max="46" width="8.44140625" style="81" customWidth="1"/>
    <col min="47" max="47" width="24.5546875" style="81" customWidth="1"/>
    <col min="48" max="51" width="16.6640625" style="81" customWidth="1"/>
    <col min="52" max="52" width="6.5546875" style="81" customWidth="1"/>
    <col min="53" max="54" width="5.88671875" style="81" customWidth="1"/>
    <col min="55" max="55" width="1.33203125" style="81" customWidth="1"/>
    <col min="56" max="56" width="7.44140625" style="81" customWidth="1"/>
    <col min="57" max="57" width="2.33203125" style="81" customWidth="1"/>
    <col min="58" max="62" width="6.109375" style="81" customWidth="1"/>
    <col min="63" max="63" width="2.33203125" style="81" customWidth="1"/>
    <col min="64" max="64" width="7" style="81" bestFit="1" customWidth="1"/>
    <col min="65" max="65" width="6.44140625" style="81" bestFit="1" customWidth="1"/>
    <col min="66" max="66" width="7.109375" style="81" bestFit="1" customWidth="1"/>
    <col min="67" max="71" width="6.44140625" style="81" bestFit="1" customWidth="1"/>
    <col min="72" max="73" width="6.44140625" style="81" customWidth="1"/>
    <col min="74" max="75" width="13.44140625" style="81" customWidth="1"/>
    <col min="76" max="84" width="14.6640625" style="81" customWidth="1"/>
    <col min="85" max="85" width="6.44140625" style="81" customWidth="1"/>
    <col min="86" max="87" width="11.6640625" style="81" bestFit="1" customWidth="1"/>
    <col min="88" max="88" width="11.6640625" style="81" customWidth="1"/>
    <col min="89" max="89" width="12.77734375" style="81" bestFit="1" customWidth="1"/>
    <col min="90" max="90" width="16.44140625" style="82" bestFit="1" customWidth="1"/>
    <col min="91" max="92" width="14.88671875" style="82" bestFit="1" customWidth="1"/>
    <col min="93" max="93" width="16" style="82" bestFit="1" customWidth="1"/>
    <col min="94" max="97" width="7.77734375" style="81" customWidth="1"/>
    <col min="98" max="98" width="33.21875" style="81" customWidth="1"/>
    <col min="99" max="99" width="18" style="81" customWidth="1"/>
    <col min="100" max="100" width="75.6640625" style="81" customWidth="1"/>
    <col min="101" max="125" width="33" style="81" customWidth="1"/>
    <col min="126" max="126" width="8.88671875" style="81"/>
    <col min="127" max="128" width="9.44140625" style="81" bestFit="1" customWidth="1"/>
    <col min="129" max="129" width="10.77734375" style="81" bestFit="1" customWidth="1"/>
    <col min="130" max="134" width="10.77734375" style="81" customWidth="1"/>
    <col min="135" max="135" width="10.109375" style="81" bestFit="1" customWidth="1"/>
    <col min="136" max="136" width="7.77734375" style="81" bestFit="1" customWidth="1"/>
    <col min="137" max="137" width="7.77734375" style="81" customWidth="1"/>
    <col min="138" max="138" width="9" style="81" bestFit="1" customWidth="1"/>
    <col min="139" max="139" width="11.33203125" style="81" bestFit="1" customWidth="1"/>
    <col min="140" max="140" width="9.109375" style="81" bestFit="1" customWidth="1"/>
    <col min="141" max="141" width="9" style="81" bestFit="1" customWidth="1"/>
    <col min="142" max="142" width="12" style="81" bestFit="1" customWidth="1"/>
    <col min="143" max="166" width="12" style="81" customWidth="1"/>
    <col min="167" max="167" width="17.21875" style="81" customWidth="1"/>
    <col min="168" max="191" width="12" style="81" customWidth="1"/>
    <col min="192" max="192" width="8.5546875" style="81" bestFit="1" customWidth="1"/>
    <col min="193" max="193" width="8.5546875" style="81" customWidth="1"/>
    <col min="194" max="194" width="7.109375" style="81" bestFit="1" customWidth="1"/>
    <col min="195" max="195" width="7.5546875" style="81" bestFit="1" customWidth="1"/>
    <col min="196" max="196" width="8.5546875" style="81" bestFit="1" customWidth="1"/>
    <col min="197" max="200" width="8.5546875" style="81" customWidth="1"/>
    <col min="201" max="201" width="188.88671875" style="81" customWidth="1"/>
    <col min="202" max="202" width="9.5546875" style="81" bestFit="1" customWidth="1"/>
    <col min="203" max="203" width="10.44140625" style="81" bestFit="1" customWidth="1"/>
    <col min="204" max="204" width="11.109375" style="81" bestFit="1" customWidth="1"/>
    <col min="205" max="205" width="10.44140625" style="81" bestFit="1" customWidth="1"/>
    <col min="206" max="210" width="10.44140625" style="81" customWidth="1"/>
    <col min="211" max="211" width="45.44140625" style="81" customWidth="1"/>
    <col min="212" max="212" width="47.5546875" style="81" bestFit="1" customWidth="1"/>
    <col min="213" max="213" width="9.33203125" style="85" customWidth="1"/>
    <col min="214" max="214" width="119.5546875" style="81" customWidth="1"/>
    <col min="215" max="215" width="69.6640625" style="81" customWidth="1"/>
    <col min="216" max="218" width="8.88671875" style="81"/>
    <col min="219" max="219" width="37.109375" style="81" customWidth="1"/>
    <col min="220" max="220" width="16.33203125" style="81" customWidth="1"/>
    <col min="221" max="222" width="8.88671875" style="81"/>
    <col min="223" max="223" width="10.109375" style="81" bestFit="1" customWidth="1"/>
    <col min="224" max="232" width="10.88671875" style="81" customWidth="1"/>
    <col min="233" max="234" width="30.77734375" style="81" customWidth="1"/>
    <col min="235" max="235" width="5.109375" style="81" customWidth="1"/>
    <col min="236" max="236" width="3" style="81" customWidth="1"/>
    <col min="237" max="245" width="6.77734375" style="86" customWidth="1"/>
    <col min="246" max="247" width="8.88671875" style="81"/>
    <col min="248" max="248" width="61.5546875" style="81" customWidth="1"/>
    <col min="249" max="253" width="8.88671875" style="81"/>
    <col min="254" max="254" width="9" style="81" customWidth="1"/>
    <col min="255" max="16384" width="8.88671875" style="8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844</v>
      </c>
      <c r="B2" s="40" t="e" vm="1">
        <v>#VALUE!</v>
      </c>
      <c r="C2" s="41">
        <v>1</v>
      </c>
      <c r="D2" s="42" t="s">
        <v>845</v>
      </c>
      <c r="E2" s="43" t="s">
        <v>846</v>
      </c>
      <c r="F2" s="44" t="s">
        <v>163</v>
      </c>
      <c r="G2" s="45">
        <f>COUNTIF($A$1:$A$8350,A2)</f>
        <v>1</v>
      </c>
      <c r="H2" s="46"/>
      <c r="I2" s="47" t="s">
        <v>847</v>
      </c>
      <c r="J2" s="48" t="str">
        <f>""</f>
        <v/>
      </c>
      <c r="K2" s="49">
        <v>36684202</v>
      </c>
      <c r="L2" s="50">
        <v>218000</v>
      </c>
      <c r="M2" s="50" t="s">
        <v>855</v>
      </c>
      <c r="N2" s="51" t="s">
        <v>180</v>
      </c>
      <c r="O2" s="52" t="s">
        <v>312</v>
      </c>
      <c r="P2" s="53" t="s">
        <v>848</v>
      </c>
      <c r="Q2" s="54">
        <v>1</v>
      </c>
      <c r="R2" s="55" t="s">
        <v>180</v>
      </c>
      <c r="S2" s="56">
        <v>2</v>
      </c>
      <c r="T2" s="57" t="s">
        <v>164</v>
      </c>
      <c r="U2" s="58" t="s">
        <v>164</v>
      </c>
      <c r="V2" s="58" t="s">
        <v>167</v>
      </c>
      <c r="W2" s="58" t="s">
        <v>164</v>
      </c>
      <c r="X2" s="58" t="s">
        <v>164</v>
      </c>
      <c r="Y2" s="58" t="s">
        <v>164</v>
      </c>
      <c r="Z2" s="58" t="s">
        <v>164</v>
      </c>
      <c r="AA2" s="58" t="s">
        <v>164</v>
      </c>
      <c r="AB2" s="58" t="s">
        <v>164</v>
      </c>
      <c r="AC2" s="58" t="s">
        <v>167</v>
      </c>
      <c r="AD2" s="58" t="s">
        <v>164</v>
      </c>
      <c r="AE2" s="58" t="s">
        <v>164</v>
      </c>
      <c r="AF2" s="59" t="s">
        <v>164</v>
      </c>
      <c r="AG2" s="59" t="s">
        <v>164</v>
      </c>
      <c r="AH2" s="59" t="s">
        <v>167</v>
      </c>
      <c r="AI2" s="59" t="s">
        <v>164</v>
      </c>
      <c r="AJ2" s="59" t="s">
        <v>164</v>
      </c>
      <c r="AK2" s="59" t="s">
        <v>164</v>
      </c>
      <c r="AL2" s="59" t="s">
        <v>164</v>
      </c>
      <c r="AM2" s="59" t="s">
        <v>164</v>
      </c>
      <c r="AN2" s="59" t="s">
        <v>164</v>
      </c>
      <c r="AO2" s="59" t="s">
        <v>164</v>
      </c>
      <c r="AP2" s="59" t="s">
        <v>164</v>
      </c>
      <c r="AQ2" s="59" t="s">
        <v>164</v>
      </c>
      <c r="AR2" s="59" t="s">
        <v>164</v>
      </c>
      <c r="AS2" s="59" t="s">
        <v>164</v>
      </c>
      <c r="AT2" s="60">
        <v>1</v>
      </c>
      <c r="AU2" s="59"/>
      <c r="AV2" s="59" t="str">
        <f>IF(LEFT(A2,1)="[",LEFT(A2,5)&amp;AU2&amp;A2,"")</f>
        <v/>
      </c>
      <c r="AW2" s="59" t="str">
        <f t="shared" ref="AW2:AW3" si="0">C2&amp;H2&amp;A2</f>
        <v>1Angola</v>
      </c>
      <c r="AX2" s="61" t="str">
        <f>_xlfn.TEXTJOIN(";",TRUE,AU2:AW2)</f>
        <v>1Angola</v>
      </c>
      <c r="AY2" s="61"/>
      <c r="AZ2" s="62" t="s">
        <v>155</v>
      </c>
      <c r="BA2" s="62"/>
      <c r="BB2" s="62"/>
      <c r="BC2" s="63"/>
      <c r="BD2" s="64" t="s">
        <v>169</v>
      </c>
      <c r="BE2" s="47"/>
      <c r="BF2" s="64" t="s">
        <v>154</v>
      </c>
      <c r="BG2" s="64"/>
      <c r="BH2" s="64" t="s">
        <v>151</v>
      </c>
      <c r="BI2" s="64"/>
      <c r="BJ2" s="64"/>
      <c r="BK2" s="47"/>
      <c r="BL2" s="64" t="s">
        <v>154</v>
      </c>
      <c r="BM2" s="64" t="s">
        <v>155</v>
      </c>
      <c r="BN2" s="64" t="s">
        <v>151</v>
      </c>
      <c r="BO2" s="64"/>
      <c r="BP2" s="64"/>
      <c r="BQ2" s="64"/>
      <c r="BR2" s="64"/>
      <c r="BS2" s="64"/>
      <c r="BT2" s="64"/>
      <c r="BU2" s="65"/>
      <c r="BV2" s="66" t="s">
        <v>165</v>
      </c>
      <c r="BW2" s="66">
        <v>0</v>
      </c>
      <c r="BX2" s="47"/>
      <c r="CB2" s="6" t="s">
        <v>139</v>
      </c>
      <c r="CC2" s="6"/>
      <c r="CD2" s="67">
        <v>0</v>
      </c>
      <c r="CE2" s="67">
        <v>0</v>
      </c>
      <c r="CF2" s="67" t="e">
        <v>#REF!</v>
      </c>
      <c r="CG2" s="68" cm="1">
        <f t="array" ref="CG2">SUMPRODUCT(--(LEN(TRIM(BL2:BT2))&gt;0))</f>
        <v>3</v>
      </c>
      <c r="CH2" s="59" t="str">
        <f>IF(CG2=2,"y","n")</f>
        <v>n</v>
      </c>
      <c r="CI2" s="59" t="str">
        <f>IF(CG2=3,"y","n")</f>
        <v>y</v>
      </c>
      <c r="CJ2" s="59" t="str">
        <f>IF(CG2=4,"y","n")</f>
        <v>n</v>
      </c>
      <c r="CK2" s="59" t="str">
        <f>IF(CG2&gt;4,"y","n")</f>
        <v>n</v>
      </c>
      <c r="CL2" s="59" t="str">
        <f>IF(S2=0,"y","n")</f>
        <v>n</v>
      </c>
      <c r="CM2" s="59" t="str">
        <f>IF(S2=2,"y","n")</f>
        <v>y</v>
      </c>
      <c r="CN2" s="59" t="str">
        <f>IF(S2=3,"y","n")</f>
        <v>n</v>
      </c>
      <c r="CO2" s="59" t="str">
        <f>IF(S2&gt;=4,"y","n")</f>
        <v>n</v>
      </c>
      <c r="CP2" s="59" t="str">
        <f>IF(AT2=0,"y","n")</f>
        <v>n</v>
      </c>
      <c r="CQ2" s="59" t="str">
        <f>IF(AT2=1,"y","n")</f>
        <v>y</v>
      </c>
      <c r="CR2" s="59" t="str">
        <f>IF(AT2=2,"y","n")</f>
        <v>n</v>
      </c>
      <c r="CS2" s="59" t="str">
        <f>IF(AT2&gt;=3,"y","n")</f>
        <v>n</v>
      </c>
      <c r="CT2" s="69" t="str">
        <f>CHAR(34)&amp;A2&amp;CHAR(34)</f>
        <v>"Angola"</v>
      </c>
      <c r="CU2" s="70" t="str">
        <f>CHAR(34)&amp;"rgn_"&amp;R2&amp;CHAR(34)</f>
        <v>"rgn_Africa"</v>
      </c>
      <c r="CV2" s="48" t="str">
        <f>CHAR(34)&amp;D2&amp;CHAR(34)</f>
        <v>"https://upload.wikimedia.org/wikipedia/commons/thumb/9/9d/Flag_of_Angola.svg/320px-Flag_of_Angola.svg.png"</v>
      </c>
      <c r="CW2" s="48" t="str">
        <f>IF(CH2="y",CHAR(34)&amp;CH$1&amp;CHAR(34)&amp;",","")</f>
        <v/>
      </c>
      <c r="CX2" s="48" t="str">
        <f>IF(CI2="y",CHAR(34)&amp;CI$1&amp;CHAR(34)&amp;",","")</f>
        <v>"3Color",</v>
      </c>
      <c r="CY2" s="48" t="str">
        <f>IF(CJ2="y",CHAR(34)&amp;CJ$1&amp;CHAR(34)&amp;",","")</f>
        <v/>
      </c>
      <c r="CZ2" s="48" t="str">
        <f>IF(CK2="y",CHAR(34)&amp;CK$1&amp;CHAR(34)&amp;",","")</f>
        <v/>
      </c>
      <c r="DA2" s="48" t="str">
        <f>IF(Q2&gt;1,CHAR(34)&amp;"words2"&amp;CHAR(34)&amp;",","")</f>
        <v/>
      </c>
      <c r="DB2" s="48" t="str">
        <f>IF(Q2&gt;2,CHAR(34)&amp;"words3"&amp;CHAR(34)&amp;",","")</f>
        <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"lets06",</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"startA",</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"LAEDEL",</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
      </c>
      <c r="DS2" s="6" t="str">
        <f>IF(W2="y",IF(AND(V2="n",BY2&lt;&gt;"y"),CHAR(34)&amp;"allver"&amp;CHAR(34)&amp;",",""),"")</f>
        <v/>
      </c>
      <c r="DT2" s="6" t="str">
        <f>IF(V2="y",IF(AND(W2="n",BY2&lt;&gt;"y"),CHAR(34)&amp;"allhor"&amp;CHAR(34)&amp;",",""),"")</f>
        <v>"allhor",</v>
      </c>
      <c r="DU2" s="6" t="str">
        <f>IF(BY2="y",IF(AND(W2="n",V2="n"),CHAR(34)&amp;"alldia"&amp;CHAR(34)&amp;",",""),"")</f>
        <v/>
      </c>
      <c r="DV2" s="48" t="str">
        <f>IF(IA2&lt;&gt;"",(IF(IA2="y",CHAR(34)&amp;"largec"&amp;CHAR(34)&amp;",",CHAR(34)&amp;"smallc"&amp;CHAR(34)&amp;",")),"")</f>
        <v/>
      </c>
      <c r="DW2" s="48" t="str">
        <f>IF(CL2="y",CHAR(34)&amp;CL$1&amp;CHAR(34)&amp;",","")</f>
        <v/>
      </c>
      <c r="DX2" s="48" t="str">
        <f>IF(CM2="y",CHAR(34)&amp;CM$1&amp;CHAR(34)&amp;",","")</f>
        <v>"2Bands",</v>
      </c>
      <c r="DY2" s="48" t="str">
        <f>IF(CN2="y",CHAR(34)&amp;CN$1&amp;CHAR(34)&amp;",","")</f>
        <v/>
      </c>
      <c r="DZ2" s="48" t="str">
        <f>IF(CO2="y",CHAR(34)&amp;CO$1&amp;CHAR(34)&amp;",","")</f>
        <v/>
      </c>
      <c r="EA2" s="48" t="str">
        <f>IF(T2="y",CHAR(34)&amp;T$1&amp;CHAR(34)&amp;",","")</f>
        <v/>
      </c>
      <c r="EB2" s="48" t="str">
        <f>IF(U2="y",CHAR(34)&amp;U$1&amp;CHAR(34)&amp;",","")</f>
        <v/>
      </c>
      <c r="EC2" s="48" t="str">
        <f>IF(V2="y",CHAR(34)&amp;V$1&amp;CHAR(34)&amp;",","")</f>
        <v>"Horizo",</v>
      </c>
      <c r="ED2" s="48" t="str">
        <f>IF(W2="y",CHAR(34)&amp;W$1&amp;CHAR(34)&amp;",","")</f>
        <v/>
      </c>
      <c r="EE2" s="48" t="str">
        <f>IF(X2="y",CHAR(34)&amp;X$1&amp;CHAR(34)&amp;",","")</f>
        <v/>
      </c>
      <c r="EF2" s="48" t="str">
        <f>IF(AND(Y2&lt;&gt;"n",Y2&lt;&gt;""),CHAR(34)&amp;Y$1&amp;CHAR(34)&amp;",","")</f>
        <v/>
      </c>
      <c r="EG2" s="48" t="str">
        <f>IF(Z2="y",CHAR(34)&amp;Z$1&amp;CHAR(34)&amp;",","")</f>
        <v/>
      </c>
      <c r="EH2" s="48" t="str">
        <f>IF(AA2="y",CHAR(34)&amp;AA$1&amp;CHAR(34)&amp;",","")</f>
        <v/>
      </c>
      <c r="EI2" s="48" t="str">
        <f>IF(AB2="y",CHAR(34)&amp;AB$1&amp;CHAR(34)&amp;",","")</f>
        <v/>
      </c>
      <c r="EJ2" s="48" t="str">
        <f>IF(AC2="y",CHAR(34)&amp;AC$1&amp;CHAR(34)&amp;",","")</f>
        <v>"Weapon",</v>
      </c>
      <c r="EK2" s="48" t="str">
        <f>IF(AD2="y",CHAR(34)&amp;AD$1&amp;CHAR(34)&amp;",","")</f>
        <v/>
      </c>
      <c r="EL2" s="48" t="str">
        <f>IF(AE2="y",CHAR(34)&amp;AE$1&amp;CHAR(34)&amp;",","")</f>
        <v/>
      </c>
      <c r="EM2" s="48" t="str">
        <f>IF(AF2="y",CHAR(34)&amp;AF$1&amp;CHAR(34)&amp;",","")</f>
        <v/>
      </c>
      <c r="EN2" s="48" t="str">
        <f>IF(AG2="y",CHAR(34)&amp;AG$1&amp;CHAR(34)&amp;",","")</f>
        <v/>
      </c>
      <c r="EO2" s="48" t="str">
        <f>IF(AH2="y",CHAR(34)&amp;AH$1&amp;CHAR(34)&amp;",","")</f>
        <v>"Center",</v>
      </c>
      <c r="EP2" s="48" t="str">
        <f>IF(AI2="y",CHAR(34)&amp;AI$1&amp;CHAR(34)&amp;",","")</f>
        <v/>
      </c>
      <c r="EQ2" s="48" t="str">
        <f>IF(AJ2="y",CHAR(34)&amp;AJ$1&amp;CHAR(34)&amp;",","")</f>
        <v/>
      </c>
      <c r="ER2" s="48" t="str">
        <f>IF(AK2="y",CHAR(34)&amp;AK$1&amp;CHAR(34)&amp;",","")</f>
        <v/>
      </c>
      <c r="ES2" s="48" t="str">
        <f>IF(AL2="y",CHAR(34)&amp;AL$1&amp;CHAR(34)&amp;",","")</f>
        <v/>
      </c>
      <c r="ET2" s="48" t="str">
        <f>IF(AM2="y",CHAR(34)&amp;AM$1&amp;CHAR(34)&amp;",","")</f>
        <v/>
      </c>
      <c r="EU2" s="48" t="str">
        <f>IF(AN2="y",CHAR(34)&amp;AN$1&amp;CHAR(34)&amp;",","")</f>
        <v/>
      </c>
      <c r="EV2" s="48" t="str">
        <f>IF(AO2="y",CHAR(34)&amp;AO$1&amp;CHAR(34)&amp;",","")</f>
        <v/>
      </c>
      <c r="EW2" s="48" t="str">
        <f>IF(AP2="y",CHAR(34)&amp;AP$1&amp;CHAR(34)&amp;",","")</f>
        <v/>
      </c>
      <c r="EX2" s="48" t="str">
        <f>IF(AQ2="y",CHAR(34)&amp;AQ$1&amp;CHAR(34)&amp;",","")</f>
        <v/>
      </c>
      <c r="EY2" s="48" t="str">
        <f>IF(AR2="y",CHAR(34)&amp;AR$1&amp;CHAR(34)&amp;",","")</f>
        <v/>
      </c>
      <c r="EZ2" s="48" t="str">
        <f>IF(AS2="y",CHAR(34)&amp;AS$1&amp;CHAR(34)&amp;",","")</f>
        <v/>
      </c>
      <c r="FA2" s="48" t="str">
        <f>IF(AT2&gt;0,CHAR(34)&amp;"sta"&amp;AZ2&amp;CHAR(34)&amp;",","")</f>
        <v>"staYEL",</v>
      </c>
      <c r="FB2" s="48" t="str">
        <f>IF(AND(AT2&gt;0,BA2&lt;&gt;""),CHAR(34)&amp;"sta"&amp;BA2&amp;CHAR(34)&amp;",","")</f>
        <v/>
      </c>
      <c r="FC2" s="48" t="str">
        <f>IF(AND(AT2&gt;0,BB2&lt;&gt;""),CHAR(34)&amp;"sta"&amp;BB2&amp;CHAR(34)&amp;",","")</f>
        <v/>
      </c>
      <c r="FD2" s="48" t="str">
        <f>IF(BV2="n",CHAR(34)&amp;"tcWHYE"&amp;CHAR(34)&amp;",",IF(BV2="y",CHAR(34)&amp;FD$1&amp;CHAR(34)&amp;",",""))</f>
        <v/>
      </c>
      <c r="FE2" s="48" t="str">
        <f>IF(COUNTIF(BL2:BT2,"BLU")=0,CHAR(34)&amp;"NO_BLU"&amp;CHAR(34)&amp;",", "")</f>
        <v>"NO_BLU",</v>
      </c>
      <c r="FF2" s="48" t="str">
        <f>IF(COUNTIF(BL2:BT2,"WHI")=0,CHAR(34)&amp;"NO_WHI"&amp;CHAR(34)&amp;",", "")</f>
        <v>"NO_WHI",</v>
      </c>
      <c r="FG2" s="48" t="str">
        <f>IF(COUNTIF(BL2:BT2,"RED")=0,CHAR(34)&amp;"NO_RED"&amp;CHAR(34)&amp;",", "")</f>
        <v/>
      </c>
      <c r="FH2" s="48" t="str">
        <f>IF(COUNTIF(BL2:BS2,"GRE")=0,CHAR(34)&amp;"NO_GRE"&amp;CHAR(34)&amp;",", "")</f>
        <v>"NO_GRE",</v>
      </c>
      <c r="FI2" s="48" t="str">
        <f>IF(COUNTIF(BL2:BT2,"YEL")=0,CHAR(34)&amp;"NO_YEL"&amp;CHAR(34)&amp;",", "")</f>
        <v/>
      </c>
      <c r="FJ2" s="48" t="str">
        <f>IF(COUNTIF(BL2:BT2,"BLA")=0,CHAR(34)&amp;"NO_BLA"&amp;CHAR(34)&amp;",", "")</f>
        <v/>
      </c>
      <c r="FK2" s="48" t="str">
        <f>IF(AND(FH2&lt;&gt;"",FF2&lt;&gt;""),CHAR(34)&amp;"WHGRNO"&amp;CHAR(34)&amp;",","")</f>
        <v>"WHGRNO",</v>
      </c>
      <c r="FL2" s="48" t="str">
        <f>IF(AND(FI2&lt;&gt;"",FF2&lt;&gt;""),CHAR(34)&amp;"WHYENO"&amp;CHAR(34)&amp;",","")</f>
        <v/>
      </c>
      <c r="FM2" s="48" t="str">
        <f>IF(AND(FJ2&lt;&gt;"",FF2&lt;&gt;""),CHAR(34)&amp;"BAWHNO"&amp;CHAR(34)&amp;",","")</f>
        <v/>
      </c>
      <c r="FN2" s="48" t="str">
        <f>IF(AND(FE2&lt;&gt;"",FF2&lt;&gt;""),CHAR(34)&amp;"BLWHNO"&amp;CHAR(34)&amp;",","")</f>
        <v>"BLWHNO",</v>
      </c>
      <c r="FO2" s="48" t="str">
        <f>IF(AND(FE2&lt;&gt;"",FG2&lt;&gt;""),CHAR(34)&amp;"BLRENO"&amp;CHAR(34)&amp;",","")</f>
        <v/>
      </c>
      <c r="FP2" s="48" t="str">
        <f>IF(AND(FF2&lt;&gt;"",FF2&lt;&gt;""),CHAR(34)&amp;"WHRENO"&amp;CHAR(34)&amp;",","")</f>
        <v>"WHRENO",</v>
      </c>
      <c r="FQ2" s="48" t="str">
        <f>IF(LEN(BF2)=3,CHAR(34)&amp;"001"&amp;BF2&amp;CHAR(34)&amp;",","")</f>
        <v>"001RED",</v>
      </c>
      <c r="FR2" s="48" t="str">
        <f>IF(LEN(BG2)=3,CHAR(34)&amp;"002"&amp;BG2&amp;CHAR(34)&amp;",","")</f>
        <v/>
      </c>
      <c r="FS2" s="48" t="str">
        <f>IF(LEN(BH2)=3,CHAR(34)&amp;"003"&amp;BH2&amp;CHAR(34)&amp;",","")</f>
        <v>"003BLA",</v>
      </c>
      <c r="FT2" s="48" t="str">
        <f>CHAR(34)&amp;"myr"&amp;BD2&amp;CHAR(34)&amp;","</f>
        <v>"myrEQ",</v>
      </c>
      <c r="FU2" s="48" t="str">
        <f>IF(AY2="y",CHAR(34)&amp;"island"&amp;CHAR(34)&amp;",","")</f>
        <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
      </c>
      <c r="GA2" s="48" t="str">
        <f>IFERROR(IF(SEARCH("French",CB2)&gt;0,CHAR(34)&amp;"french"&amp;CHAR(34)&amp;",",""),"")</f>
        <v/>
      </c>
      <c r="GB2" s="48" t="str">
        <f>IFERROR(IF(SEARCH("Spanish",CB2)&gt;0,CHAR(34)&amp;"spanis"&amp;CHAR(34)&amp;",",""),"")</f>
        <v/>
      </c>
      <c r="GC2" s="48" t="str">
        <f>IFERROR(IF(SEARCH("Portuguese",CB2)&gt;0,CHAR(34)&amp;"portug"&amp;CHAR(34)&amp;",",""),"")</f>
        <v>"portug",</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
      </c>
      <c r="GK2" s="48" t="str">
        <f>IF(GJ2="",CHAR(34)&amp;"HasSta"&amp;CHAR(34)&amp;",","")</f>
        <v>"HasSta",</v>
      </c>
      <c r="GL2" s="48" t="str">
        <f>IF(CQ2="y",CHAR(34)&amp;CQ$1&amp;CHAR(34)&amp;",","")</f>
        <v>"1Stars",</v>
      </c>
      <c r="GM2" s="48" t="str">
        <f>IF(CR2="y",CHAR(34)&amp;CR$1&amp;CHAR(34)&amp;",","")</f>
        <v/>
      </c>
      <c r="GN2" s="48" t="str">
        <f>IF(CS2="y",CHAR(34)&amp;CS$1&amp;CHAR(34)&amp;",","")</f>
        <v/>
      </c>
      <c r="GP2" s="48" t="str">
        <f>CHAR(34)&amp;AU2&amp;CHAR(34)</f>
        <v>""</v>
      </c>
      <c r="GS2" s="48" t="str">
        <f>SUBSTITUTE("["&amp;_xlfn.CONCAT(CW2:GN2)&amp;"]",",]","]")</f>
        <v>["3Color","lets06","startA","LAEDEL","year19","allhor","2Bands","Horizo","Weapon","Center","staYEL","NO_BLU","NO_WHI","NO_GRE","WHGRNO","BLWHNO","WHRENO","001RED","003BLA","myrEQ","portug","HasSta","1Stars"]</v>
      </c>
      <c r="GT2" s="48" t="str">
        <f>IF(BL2&lt;&gt;"",CHAR(34)&amp;"cl_"&amp;BL2&amp;CHAR(34)&amp;",","")</f>
        <v>"cl_RED",</v>
      </c>
      <c r="GU2" s="48" t="str">
        <f>IF(BM2&lt;&gt;"",CHAR(34)&amp;"cl_"&amp;BM2&amp;CHAR(34)&amp;",","")</f>
        <v>"cl_YEL",</v>
      </c>
      <c r="GV2" s="48" t="str">
        <f>IF(BN2&lt;&gt;"",CHAR(34)&amp;"cl_"&amp;BN2&amp;CHAR(34)&amp;",","")</f>
        <v>"cl_BLA",</v>
      </c>
      <c r="GW2" s="48" t="str">
        <f>IF(BO2&lt;&gt;"",CHAR(34)&amp;"cl_"&amp;BO2&amp;CHAR(34)&amp;",","")</f>
        <v/>
      </c>
      <c r="GX2" s="48" t="str">
        <f>IF(BP2&lt;&gt;"",CHAR(34)&amp;"cl_"&amp;BP2&amp;CHAR(34)&amp;",","")</f>
        <v/>
      </c>
      <c r="GY2" s="48" t="str">
        <f>IF(BQ2&lt;&gt;"",CHAR(34)&amp;"cl_"&amp;BQ2&amp;CHAR(34)&amp;",","")</f>
        <v/>
      </c>
      <c r="GZ2" s="48" t="str">
        <f>IF(BR2&lt;&gt;"",CHAR(34)&amp;"cl_"&amp;BR2&amp;CHAR(34)&amp;",","")</f>
        <v/>
      </c>
      <c r="HA2" s="48" t="str">
        <f>IF(BS2&lt;&gt;"",CHAR(34)&amp;"cl_"&amp;BS2&amp;CHAR(34)&amp;",","")</f>
        <v/>
      </c>
      <c r="HB2" s="48" t="str">
        <f>IF(BT2&lt;&gt;"",CHAR(34)&amp;"cl_"&amp;BT2&amp;CHAR(34)&amp;",","")</f>
        <v/>
      </c>
      <c r="HC2" s="48" t="str">
        <f>SUBSTITUTE("["&amp;_xlfn.CONCAT(GT2:HB2)&amp;"]",",]","]")</f>
        <v>["cl_RED","cl_YEL","cl_BLA"]</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{couname:"Angola",year:"1975 ",region:"rgn_Africa",Colors:["cl_RED","cl_YEL","cl_BLA"],Items:["3Color","lets06","startA","LAEDEL","year19","allhor","2Bands","Horizo","Weapon","Center","staYEL","NO_BLU","NO_WHI","NO_GRE","WHGRNO","BLWHNO","WHRENO","001RED","003BLA","myrEQ","portug","HasSta","1Stars"],Flag:"https://upload.wikimedia.org/wikipedia/commons/thumb/9/9d/Flag_of_Angola.svg/320px-Flag_of_Angola.svg.png",HDFlag:"https://upload.wikimedia.org/wikipedia/commons/thumb/9/9d/Flag_of_Angola.svg/2560px-Flag_of_Angola.svg.png",type:"", describe: "\nAs outlined in the Constitution of Angola, the red half of the flag signifies bloodshed – during Angola's colonial period, independence struggle, and in defense of the country. The black half symbolizes Africa. \n\nIn the central emblem, the gear represents industrial workers and production, the machete represents peasantry, agricultural production and the armed struggle, and the star, shaped like the red star, symbolizes international solidarity and progress. \n\nThe yellow color of the emblem symbolizes the country's wealth.", isnew:".", links: "https://en.wikipedia.org/wiki/Flag_of_Angola"},</v>
      </c>
      <c r="HG2" s="73" t="str">
        <f>"{couname:"&amp;CT2&amp;(IF(HK2&lt;&gt;"",",subtype:"&amp;CHAR(34)&amp;HK2&amp;CHAR(34),""))&amp;",year:"&amp;HJ2&amp;",region:"&amp;CU2&amp;",Colors:"&amp;HC2&amp;",Items:"&amp;GS2&amp;",Flag:"&amp;CV2&amp;",HDFlag:"&amp;CHAR(34)&amp;E2&amp;CHAR(34)&amp;",type:"&amp;GP2&amp;", describe: "&amp;HI2&amp;", links: "&amp;HL2&amp;"},"</f>
        <v>{couname:"Angola",year:"1975 ",region:"rgn_Africa",Colors:["cl_RED","cl_YEL","cl_BLA"],Items:["3Color","lets06","startA","LAEDEL","year19","allhor","2Bands","Horizo","Weapon","Center","staYEL","NO_BLU","NO_WHI","NO_GRE","WHGRNO","BLWHNO","WHRENO","001RED","003BLA","myrEQ","portug","HasSta","1Stars"],Flag:"https://upload.wikimedia.org/wikipedia/commons/thumb/9/9d/Flag_of_Angola.svg/320px-Flag_of_Angola.svg.png",HDFlag:"https://upload.wikimedia.org/wikipedia/commons/thumb/9/9d/Flag_of_Angola.svg/2560px-Flag_of_Angola.svg.png",type:"", describe: "\nAs outlined in the Constitution of Angola, the red half of the flag signifies bloodshed – during Angola's colonial period, independence struggle, and in defense of the country. The black half symbolizes Africa. \n\nIn the central emblem, the gear represents industrial workers and production, the machete represents peasantry, agricultural production and the armed struggle, and the star, shaped like the red star, symbolizes international solidarity and progress. \n\nThe yellow color of the emblem symbolizes the country's wealth.", links: "https://en.wikipedia.org/wiki/Flag_of_Angola"},</v>
      </c>
      <c r="HH2" s="48" t="str">
        <f>IF(P2&lt;&gt;"",CHAR(34)&amp;"\n"&amp;P2&amp;CHAR(34),CHAR(34)&amp;CHAR(34))</f>
        <v>"\nAs outlined in the Constitution of Angola, the red half of the flag signifies bloodshed – during Angola's colonial period, independence struggle, and in defense of the country. The black half symbolizes Africa. \n\nIn the central emblem, the gear represents industrial workers and production, the machete represents peasantry, agricultural production and the armed struggle, and the star, shaped like the red star, symbolizes international solidarity and progress. \n\nThe yellow color of the emblem symbolizes the country's wealth."</v>
      </c>
      <c r="HI2" s="48" t="str">
        <f>IF(J2=0,CHAR(34)&amp;CHAR(34),HH2)</f>
        <v>"\nAs outlined in the Constitution of Angola, the red half of the flag signifies bloodshed – during Angola's colonial period, independence struggle, and in defense of the country. The black half symbolizes Africa. \n\nIn the central emblem, the gear represents industrial workers and production, the machete represents peasantry, agricultural production and the armed struggle, and the star, shaped like the red star, symbolizes international solidarity and progress. \n\nThe yellow color of the emblem symbolizes the country's wealth."</v>
      </c>
      <c r="HJ2" s="48" t="str">
        <f>CHAR(34)&amp;O2&amp;CHAR(34)</f>
        <v>"1975 "</v>
      </c>
      <c r="HL2" s="48" t="str">
        <f>CHAR(34)&amp;I2&amp;CHAR(34)</f>
        <v>"https://en.wikipedia.org/wiki/Flag_of_Angola"</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{"couname":"Angola","year":"1975 ","region":"rgn_Africa","Colors":["cl_RED","cl_YEL","cl_BLA"],"Items":["3Color","lets06","startA","LAEDEL","year19","allhor","2Bands","Horizo","Weapon","Center","staYEL","NO_BLU","NO_WHI","NO_GRE","WHGRNO","BLWHNO","WHRENO","001RED","003BLA","myrEQ","portug","HasSta","1Stars"],"Flag":"https://upload.wikimedia.org/wikipedia/commons/thumb/9/9d/Flag_of_Angola.svg/320px-Flag_of_Angola.svg.png","HDFlag":"https://upload.wikimedia.org/wikipedia/commons/thumb/9/9d/Flag_of_Angola.svg/2560px-Flag_of_Angola.svg.png","type":"", "describe": "\nAs outlined in the Constitution of Angola, the red half of the flag signifies bloodshed – during Angola's colonial period, independence struggle, and in defense of the country. The black half symbolizes Africa. \n\nIn the central emblem, the gear represents industrial workers and production, the machete represents peasantry, agricultural production and the armed struggle, and the star, shaped like the red star, symbolizes international solidarity and progress. \n\nThe yellow color of the emblem symbolizes the country's wealth.", "isnew": ".", "links": "https://en.wikipedia.org/wiki/Flag_of_Angola"},</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{"couname":"Angola","year":"1975 ","region":"rgn_Africa","Colors":["cl_RED","cl_YEL","cl_BLA"],"Items":["3Color","lets06","startA","LAEDEL","year19","allhor","2Bands","Horizo","Weapon","Center","staYEL","NO_BLU","NO_WHI","NO_GRE","WHGRNO","BLWHNO","WHRENO","001RED","003BLA","myrEQ","portug","HasSta","1Stars"],"Flag":"https://upload.wikimedia.org/wikipedia/commons/thumb/9/9d/Flag_of_Angola.svg/320px-Flag_of_Angola.svg.png","HDFlag":"https://upload.wikimedia.org/wikipedia/commons/thumb/9/9d/Flag_of_Angola.svg/2560px-Flag_of_Angola.svg.png","type":"", "describe": "\nAs outlined in the Constitution of Angola, the red half of the flag signifies bloodshed – during Angola's colonial period, independence struggle, and in defense of the country. The black half symbolizes Africa. \n\nIn the central emblem, the gear represents industrial workers and production, the machete represents peasantry, agricultural production and the armed struggle, and the star, shaped like the red star, symbolizes international solidarity and progress. \n\nThe yellow color of the emblem symbolizes the country's wealth.", "isnew": ".", "links": "https://en.wikipedia.org/wiki/Flag_of_Angola"},</v>
      </c>
      <c r="HO2" s="75"/>
      <c r="HP2" s="48" t="str" cm="1">
        <f t="array" ref="HP2">IF(_xlfn.TEXTJOIN(", ", TRUE, IF(ISNUMBER(SEARCH("BLA", BL2:BT2)), COLUMN(BL2:BT2) - COLUMN(BL2) + 1, ""))&lt;&gt;"","BLA","")</f>
        <v>BLA</v>
      </c>
      <c r="HQ2" s="48" t="str" cm="1">
        <f t="array" ref="HQ2">IF(_xlfn.TEXTJOIN(", ", TRUE, IF(ISNUMBER(SEARCH("BLU", BL2:BT2)), COLUMN(BL2:BT2) - COLUMN(BL2) + 1, ""))&lt;&gt;"","BLU","")</f>
        <v/>
      </c>
      <c r="HR2" s="48" t="str" cm="1">
        <f t="array" ref="HR2">IF(_xlfn.TEXTJOIN(", ", TRUE, IF(ISNUMBER(SEARCH("GRE", BL2:BT2)), COLUMN(BL2:BT2) - COLUMN(BL2) + 1, ""))&lt;&gt;"","GRE","")</f>
        <v/>
      </c>
      <c r="HS2" s="48" t="str" cm="1">
        <f t="array" ref="HS2">IF(_xlfn.TEXTJOIN(", ", TRUE, IF(ISNUMBER(SEARCH("RED", BL2:BT2)), COLUMN(BL2:BT2) - COLUMN(BL2) + 1, ""))&lt;&gt;"","RED","")</f>
        <v>RED</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
      </c>
      <c r="HY2" s="76"/>
      <c r="HZ2" s="76"/>
      <c r="IA2" s="6"/>
      <c r="IB2" s="6"/>
      <c r="IC2" s="77">
        <v>0.47</v>
      </c>
      <c r="ID2" s="77">
        <v>0</v>
      </c>
      <c r="IE2" s="77">
        <v>0.49</v>
      </c>
      <c r="IF2" s="77">
        <v>0</v>
      </c>
      <c r="IG2" s="77">
        <v>0.04</v>
      </c>
      <c r="IH2" s="77">
        <v>0</v>
      </c>
      <c r="II2" s="77">
        <v>0</v>
      </c>
      <c r="IJ2" s="77">
        <v>0</v>
      </c>
      <c r="IK2" s="77">
        <v>0</v>
      </c>
      <c r="IL2" s="48">
        <f>SUM(IC2:IK2)</f>
        <v>1</v>
      </c>
      <c r="IM2" s="45">
        <f>COUNTIF(IC2:IK2,"&gt;0")-CG2</f>
        <v>0</v>
      </c>
      <c r="IN2" s="78" t="str">
        <f>"http://mkweb.bcgsc.ca/color-summarizer/?url="&amp;D2&amp;"&amp;precision=low&amp;num_clusters="&amp;CG2&amp;"&amp;text=1"</f>
        <v>http://mkweb.bcgsc.ca/color-summarizer/?url=https://upload.wikimedia.org/wikipedia/commons/thumb/9/9d/Flag_of_Angola.svg/320px-Flag_of_Angola.svg.png&amp;precision=low&amp;num_clusters=3&amp;text=1</v>
      </c>
      <c r="IO2" s="48" t="str">
        <f>IF(HP2&lt;&gt;"",CHAR(34)&amp;"black"&amp;CHAR(34),"")</f>
        <v>"black"</v>
      </c>
      <c r="IP2" s="48" t="str">
        <f>IF(HQ2&lt;&gt;"",CHAR(34)&amp;"blue"&amp;CHAR(34),"")</f>
        <v/>
      </c>
      <c r="IQ2" s="48" t="str">
        <f>IF(HR2&lt;&gt;"",CHAR(34)&amp;"green"&amp;CHAR(34),"")</f>
        <v/>
      </c>
      <c r="IR2" s="48" t="str">
        <f>IF(HS2&lt;&gt;"",CHAR(34)&amp;"red"&amp;CHAR(34),"")</f>
        <v>"red"</v>
      </c>
      <c r="IS2" s="48" t="str">
        <f>IF(HT2&lt;&gt;"",CHAR(34)&amp;"yellow"&amp;CHAR(34),"")</f>
        <v>"yellow"</v>
      </c>
      <c r="IT2" s="48" t="str">
        <f>IF(HU2&lt;&gt;"",CHAR(34)&amp;"orange"&amp;CHAR(34),"")</f>
        <v/>
      </c>
      <c r="IU2" s="48" t="str">
        <f>IF(HV2&lt;&gt;"",CHAR(34)&amp;"brown"&amp;CHAR(34),"")</f>
        <v/>
      </c>
      <c r="IV2" s="48" t="str">
        <f>IF(HW2&lt;&gt;"",CHAR(34)&amp;"purple"&amp;CHAR(34),"")</f>
        <v/>
      </c>
      <c r="IW2" s="48" t="str">
        <f>IF(HX2&lt;&gt;"",CHAR(34)&amp;"white"&amp;CHAR(34),"")</f>
        <v/>
      </c>
      <c r="IX2" s="48" t="str">
        <f>"{"&amp;CHAR(34)&amp;"url"&amp;CHAR(34)&amp;":"&amp;CHAR(34)&amp;IN2&amp;CHAR(34)&amp;","&amp;CHAR(34)&amp;"name"&amp;CHAR(34)&amp;":"&amp;CHAR(34)&amp;A2&amp;CHAR(34)&amp;"},"</f>
        <v>{"url":"http://mkweb.bcgsc.ca/color-summarizer/?url=https://upload.wikimedia.org/wikipedia/commons/thumb/9/9d/Flag_of_Angola.svg/320px-Flag_of_Angola.svg.png&amp;precision=low&amp;num_clusters=3&amp;text=1","name":"Angola"},</v>
      </c>
      <c r="IY2" s="48">
        <v>8</v>
      </c>
    </row>
    <row r="3" spans="1:259" s="48" customFormat="1" ht="38.4" customHeight="1" thickBot="1" x14ac:dyDescent="0.35">
      <c r="A3" s="79" t="s">
        <v>849</v>
      </c>
      <c r="B3" s="40" t="e" vm="2">
        <v>#VALUE!</v>
      </c>
      <c r="C3" s="41" t="s">
        <v>173</v>
      </c>
      <c r="D3" s="42" t="s">
        <v>850</v>
      </c>
      <c r="E3" s="43" t="s">
        <v>850</v>
      </c>
      <c r="F3" s="44" t="s">
        <v>163</v>
      </c>
      <c r="G3" s="45">
        <f>COUNTIF($A$1:$A$8354,A3)</f>
        <v>1</v>
      </c>
      <c r="H3" s="46" t="s">
        <v>854</v>
      </c>
      <c r="I3" s="47" t="s">
        <v>851</v>
      </c>
      <c r="J3" s="48" t="str">
        <f>""</f>
        <v/>
      </c>
      <c r="K3" s="49"/>
      <c r="L3" s="50"/>
      <c r="M3" s="50"/>
      <c r="N3" s="51" t="s">
        <v>180</v>
      </c>
      <c r="O3" s="52">
        <v>2003</v>
      </c>
      <c r="P3" s="53" t="s">
        <v>852</v>
      </c>
      <c r="Q3" s="54">
        <v>3</v>
      </c>
      <c r="R3" s="55" t="s">
        <v>180</v>
      </c>
      <c r="S3" s="56">
        <v>5</v>
      </c>
      <c r="T3" s="57" t="s">
        <v>164</v>
      </c>
      <c r="U3" s="58" t="s">
        <v>164</v>
      </c>
      <c r="V3" s="58" t="s">
        <v>167</v>
      </c>
      <c r="W3" s="58" t="s">
        <v>164</v>
      </c>
      <c r="X3" s="58" t="s">
        <v>167</v>
      </c>
      <c r="Y3" s="58" t="s">
        <v>164</v>
      </c>
      <c r="Z3" s="58" t="s">
        <v>164</v>
      </c>
      <c r="AA3" s="58" t="s">
        <v>164</v>
      </c>
      <c r="AB3" s="58" t="s">
        <v>164</v>
      </c>
      <c r="AC3" s="58" t="s">
        <v>164</v>
      </c>
      <c r="AD3" s="58" t="s">
        <v>167</v>
      </c>
      <c r="AE3" s="58" t="s">
        <v>164</v>
      </c>
      <c r="AF3" s="59" t="s">
        <v>164</v>
      </c>
      <c r="AG3" s="59" t="s">
        <v>164</v>
      </c>
      <c r="AH3" s="59" t="s">
        <v>167</v>
      </c>
      <c r="AI3" s="59" t="s">
        <v>164</v>
      </c>
      <c r="AJ3" s="59" t="s">
        <v>164</v>
      </c>
      <c r="AK3" s="59" t="s">
        <v>164</v>
      </c>
      <c r="AL3" s="59" t="s">
        <v>164</v>
      </c>
      <c r="AM3" s="59" t="s">
        <v>164</v>
      </c>
      <c r="AN3" s="59" t="s">
        <v>164</v>
      </c>
      <c r="AO3" s="59" t="s">
        <v>164</v>
      </c>
      <c r="AP3" s="59" t="s">
        <v>164</v>
      </c>
      <c r="AQ3" s="59" t="s">
        <v>164</v>
      </c>
      <c r="AR3" s="59" t="s">
        <v>164</v>
      </c>
      <c r="AS3" s="59" t="s">
        <v>164</v>
      </c>
      <c r="AT3" s="60">
        <v>0</v>
      </c>
      <c r="AU3" s="59" t="s">
        <v>853</v>
      </c>
      <c r="AV3" s="59" t="str">
        <f>IF(LEFT(A3,1)="[",LEFT(A3,5)&amp;AU3&amp;A3,"")</f>
        <v>[AGO]Proposal[AGO] Angola (2003 Proposal)</v>
      </c>
      <c r="AW3" s="59" t="str">
        <f t="shared" si="0"/>
        <v>3b[AGO] Other[AGO] Angola (2003 Proposal)</v>
      </c>
      <c r="AX3" s="61"/>
      <c r="AY3" s="61"/>
      <c r="AZ3" s="62" t="s">
        <v>172</v>
      </c>
      <c r="BA3" s="62" t="s">
        <v>172</v>
      </c>
      <c r="BB3" s="62"/>
      <c r="BC3" s="63"/>
      <c r="BD3" s="64" t="s">
        <v>154</v>
      </c>
      <c r="BE3" s="47"/>
      <c r="BF3" s="64" t="s">
        <v>152</v>
      </c>
      <c r="BG3" s="64" t="s">
        <v>154</v>
      </c>
      <c r="BH3" s="64" t="s">
        <v>152</v>
      </c>
      <c r="BI3" s="64"/>
      <c r="BJ3" s="64"/>
      <c r="BK3" s="47"/>
      <c r="BL3" s="64" t="s">
        <v>172</v>
      </c>
      <c r="BM3" s="64" t="s">
        <v>152</v>
      </c>
      <c r="BN3" s="64" t="s">
        <v>172</v>
      </c>
      <c r="BO3" s="64" t="s">
        <v>154</v>
      </c>
      <c r="BP3" s="64" t="s">
        <v>155</v>
      </c>
      <c r="BQ3" s="64" t="s">
        <v>172</v>
      </c>
      <c r="BR3" s="64" t="s">
        <v>172</v>
      </c>
      <c r="BS3" s="64" t="s">
        <v>172</v>
      </c>
      <c r="BT3" s="64" t="s">
        <v>159</v>
      </c>
      <c r="BU3" s="65"/>
      <c r="BV3" s="66"/>
      <c r="BW3" s="66">
        <v>0</v>
      </c>
      <c r="BX3" s="47"/>
      <c r="CB3" s="6"/>
      <c r="CC3" s="6"/>
      <c r="CD3" s="67">
        <v>0</v>
      </c>
      <c r="CE3" s="67">
        <v>0</v>
      </c>
      <c r="CF3" s="67" t="e">
        <v>#REF!</v>
      </c>
      <c r="CG3" s="68" cm="1">
        <f t="array" ref="CG3">SUMPRODUCT(--(LEN(TRIM(BL3:BT3))&gt;0))</f>
        <v>4</v>
      </c>
      <c r="CH3" s="59" t="str">
        <f>IF(CG3=2,"y","n")</f>
        <v>n</v>
      </c>
      <c r="CI3" s="59" t="str">
        <f>IF(CG3=3,"y","n")</f>
        <v>n</v>
      </c>
      <c r="CJ3" s="59" t="str">
        <f>IF(CG3=4,"y","n")</f>
        <v>y</v>
      </c>
      <c r="CK3" s="59" t="str">
        <f>IF(CG3&gt;4,"y","n")</f>
        <v>n</v>
      </c>
      <c r="CL3" s="59" t="str">
        <f>IF(S3=0,"y","n")</f>
        <v>n</v>
      </c>
      <c r="CM3" s="59" t="str">
        <f>IF(S3=2,"y","n")</f>
        <v>n</v>
      </c>
      <c r="CN3" s="59" t="str">
        <f>IF(S3=3,"y","n")</f>
        <v>n</v>
      </c>
      <c r="CO3" s="59" t="str">
        <f>IF(S3&gt;=4,"y","n")</f>
        <v>y</v>
      </c>
      <c r="CP3" s="59" t="str">
        <f>IF(AT3=0,"y","n")</f>
        <v>y</v>
      </c>
      <c r="CQ3" s="59" t="str">
        <f>IF(AT3=1,"y","n")</f>
        <v>n</v>
      </c>
      <c r="CR3" s="59" t="str">
        <f>IF(AT3=2,"y","n")</f>
        <v>n</v>
      </c>
      <c r="CS3" s="59" t="str">
        <f>IF(AT3&gt;=3,"y","n")</f>
        <v>n</v>
      </c>
      <c r="CT3" s="69" t="str">
        <f>CHAR(34)&amp;A3&amp;CHAR(34)</f>
        <v>"[AGO] Angola (2003 Proposal)"</v>
      </c>
      <c r="CU3" s="70" t="str">
        <f>CHAR(34)&amp;"rgn_"&amp;R3&amp;CHAR(34)</f>
        <v>"rgn_Africa"</v>
      </c>
      <c r="CV3" s="48" t="str">
        <f>CHAR(34)&amp;D3&amp;CHAR(34)</f>
        <v>"https://www.crwflags.com/fotw/images/a/ao_03.gif"</v>
      </c>
      <c r="CW3" s="48" t="str">
        <f>IF(CH3="y",CHAR(34)&amp;CH$1&amp;CHAR(34)&amp;",","")</f>
        <v/>
      </c>
      <c r="CX3" s="48" t="str">
        <f>IF(CI3="y",CHAR(34)&amp;CI$1&amp;CHAR(34)&amp;",","")</f>
        <v/>
      </c>
      <c r="CY3" s="48" t="str">
        <f>IF(CJ3="y",CHAR(34)&amp;CJ$1&amp;CHAR(34)&amp;",","")</f>
        <v>"4Color",</v>
      </c>
      <c r="CZ3" s="48" t="str">
        <f>IF(CK3="y",CHAR(34)&amp;CK$1&amp;CHAR(34)&amp;",","")</f>
        <v/>
      </c>
      <c r="DA3" s="48" t="str">
        <f>IF(Q3&gt;1,CHAR(34)&amp;"words2"&amp;CHAR(34)&amp;",","")</f>
        <v>"words2",</v>
      </c>
      <c r="DB3" s="48" t="str">
        <f>IF(Q3&gt;2,CHAR(34)&amp;"words3"&amp;CHAR(34)&amp;",","")</f>
        <v>"words3",</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"lets20",</v>
      </c>
      <c r="DE3" s="48" t="str">
        <f>CHAR(34)&amp;"start"&amp;IFERROR(LEFT(SUBSTITUTE(A3,"["&amp;MID(A3,FIND("[",A3)+1,FIND("]",A3)-FIND("[",A3)-1)&amp;"] ",""),1),LEFT(A3,1))&amp;CHAR(34)&amp;","</f>
        <v>"startA",</v>
      </c>
      <c r="DF3" s="48" t="str">
        <f>IFERROR(IF(SEARCH("tan",A3)&gt;0,CHAR(34)&amp;"withtn"&amp;CHAR(34)&amp;",",""),"")</f>
        <v/>
      </c>
      <c r="DG3" s="48" t="str">
        <f>IFERROR(IF(SEARCH("q",A3)&gt;0,CHAR(34)&amp;"with_q"&amp;CHAR(34)&amp;",",""),"")</f>
        <v/>
      </c>
      <c r="DH3" s="48" t="str">
        <f>IFERROR(IF(SEARCH("v",A3)&gt;0,CHAR(34)&amp;"with_v"&amp;CHAR(34)&amp;",",""),"")</f>
        <v/>
      </c>
      <c r="DI3" s="48" t="str">
        <f>IFERROR(IF(SEARCH("w",A3)&gt;0,CHAR(34)&amp;"with_w"&amp;CHAR(34)&amp;",",""),"")</f>
        <v/>
      </c>
      <c r="DJ3" s="48" t="str">
        <f>IFERROR(IF(SEARCH("y",A3)&gt;0,CHAR(34)&amp;"with_y"&amp;CHAR(34)&amp;",",""),"")</f>
        <v/>
      </c>
      <c r="DK3" s="48" t="str">
        <f>IFERROR(IF(SEARCH("z",A3)&gt;0,CHAR(34)&amp;"with_z"&amp;CHAR(34)&amp;",",""),"")</f>
        <v/>
      </c>
      <c r="DL3" s="48" t="str">
        <f>IF(CG3=2, CHAR(34) &amp; _xlfn.TEXTJOIN("", TRUE, _xlfn._xlws.SORT(HP3:HX3)) &amp; CHAR(34) &amp; ",", "")</f>
        <v/>
      </c>
      <c r="DM3" s="48" t="str" cm="1">
        <f t="array" ref="DM3">IF(CG3=3,CHAR(34) &amp; _xlfn.TEXTJOIN("", TRUE, RIGHT(HP3:HX3, 2)) &amp; CHAR(34) &amp; ",", "")</f>
        <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
      </c>
      <c r="DP3" s="6" t="str">
        <f>IF(AND(ISNUMBER(SEARCH("20", O3)), ISERROR(SEARCH("1920", O3))), CHAR(34)&amp;"year00"&amp;CHAR(34)&amp;",", "")</f>
        <v>"year00",</v>
      </c>
      <c r="DQ3" s="6" t="str">
        <f>IF(CC3="y",CHAR(34)&amp;"soviet"&amp;CHAR(34)&amp;",","")</f>
        <v/>
      </c>
      <c r="DR3" s="6" t="str">
        <f>IF(BY3="y",CHAR(34)&amp;"dgband"&amp;CHAR(34)&amp;",","")</f>
        <v/>
      </c>
      <c r="DS3" s="6" t="str">
        <f>IF(W3="y",IF(AND(V3="n",BY3&lt;&gt;"y"),CHAR(34)&amp;"allver"&amp;CHAR(34)&amp;",",""),"")</f>
        <v/>
      </c>
      <c r="DT3" s="6" t="str">
        <f>IF(V3="y",IF(AND(W3="n",BY3&lt;&gt;"y"),CHAR(34)&amp;"allhor"&amp;CHAR(34)&amp;",",""),"")</f>
        <v>"allhor",</v>
      </c>
      <c r="DU3" s="6" t="str">
        <f>IF(BY3="y",IF(AND(W3="n",V3="n"),CHAR(34)&amp;"alldia"&amp;CHAR(34)&amp;",",""),"")</f>
        <v/>
      </c>
      <c r="DW3" s="48" t="str">
        <f>IF(CL3="y",CHAR(34)&amp;CL$1&amp;CHAR(34)&amp;",","")</f>
        <v/>
      </c>
      <c r="DX3" s="48" t="str">
        <f>IF(CM3="y",CHAR(34)&amp;CM$1&amp;CHAR(34)&amp;",","")</f>
        <v/>
      </c>
      <c r="DY3" s="48" t="str">
        <f>IF(CN3="y",CHAR(34)&amp;CN$1&amp;CHAR(34)&amp;",","")</f>
        <v/>
      </c>
      <c r="DZ3" s="48" t="str">
        <f>IF(CO3="y",CHAR(34)&amp;CO$1&amp;CHAR(34)&amp;",","")</f>
        <v>"4+Band",</v>
      </c>
      <c r="EA3" s="48" t="str">
        <f>IF(T3="y",CHAR(34)&amp;T$1&amp;CHAR(34)&amp;",","")</f>
        <v/>
      </c>
      <c r="EB3" s="48" t="str">
        <f>IF(U3="y",CHAR(34)&amp;U$1&amp;CHAR(34)&amp;",","")</f>
        <v/>
      </c>
      <c r="EC3" s="48" t="str">
        <f>IF(V3="y",CHAR(34)&amp;V$1&amp;CHAR(34)&amp;",","")</f>
        <v>"Horizo",</v>
      </c>
      <c r="ED3" s="48" t="str">
        <f>IF(W3="y",CHAR(34)&amp;W$1&amp;CHAR(34)&amp;",","")</f>
        <v/>
      </c>
      <c r="EE3" s="48" t="str">
        <f>IF(X3="y",CHAR(34)&amp;X$1&amp;CHAR(34)&amp;",","")</f>
        <v>"Circle",</v>
      </c>
      <c r="EF3" s="48" t="str">
        <f>IF(AND(Y3&lt;&gt;"n",Y3&lt;&gt;""),CHAR(34)&amp;Y$1&amp;CHAR(34)&amp;",","")</f>
        <v/>
      </c>
      <c r="EG3" s="48" t="str">
        <f>IF(Z3="y",CHAR(34)&amp;Z$1&amp;CHAR(34)&amp;",","")</f>
        <v/>
      </c>
      <c r="EH3" s="48" t="str">
        <f>IF(AA3="y",CHAR(34)&amp;AA$1&amp;CHAR(34)&amp;",","")</f>
        <v/>
      </c>
      <c r="EI3" s="48" t="str">
        <f>IF(AB3="y",CHAR(34)&amp;AB$1&amp;CHAR(34)&amp;",","")</f>
        <v/>
      </c>
      <c r="EJ3" s="48" t="str">
        <f>IF(AC3="y",CHAR(34)&amp;AC$1&amp;CHAR(34)&amp;",","")</f>
        <v/>
      </c>
      <c r="EK3" s="48" t="str">
        <f>IF(AD3="y",CHAR(34)&amp;AD$1&amp;CHAR(34)&amp;",","")</f>
        <v>"HasSun",</v>
      </c>
      <c r="EL3" s="48" t="str">
        <f>IF(AE3="y",CHAR(34)&amp;AE$1&amp;CHAR(34)&amp;",","")</f>
        <v/>
      </c>
      <c r="EM3" s="48" t="str">
        <f>IF(AF3="y",CHAR(34)&amp;AF$1&amp;CHAR(34)&amp;",","")</f>
        <v/>
      </c>
      <c r="EN3" s="48" t="str">
        <f>IF(AG3="y",CHAR(34)&amp;AG$1&amp;CHAR(34)&amp;",","")</f>
        <v/>
      </c>
      <c r="EO3" s="48" t="str">
        <f>IF(AH3="y",CHAR(34)&amp;AH$1&amp;CHAR(34)&amp;",","")</f>
        <v>"Center",</v>
      </c>
      <c r="EP3" s="48" t="str">
        <f>IF(AI3="y",CHAR(34)&amp;AI$1&amp;CHAR(34)&amp;",","")</f>
        <v/>
      </c>
      <c r="EQ3" s="48" t="str">
        <f>IF(AJ3="y",CHAR(34)&amp;AJ$1&amp;CHAR(34)&amp;",","")</f>
        <v/>
      </c>
      <c r="ER3" s="48" t="str">
        <f>IF(AK3="y",CHAR(34)&amp;AK$1&amp;CHAR(34)&amp;",","")</f>
        <v/>
      </c>
      <c r="ES3" s="48" t="str">
        <f>IF(AL3="y",CHAR(34)&amp;AL$1&amp;CHAR(34)&amp;",","")</f>
        <v/>
      </c>
      <c r="ET3" s="48" t="str">
        <f>IF(AM3="y",CHAR(34)&amp;AM$1&amp;CHAR(34)&amp;",","")</f>
        <v/>
      </c>
      <c r="EU3" s="48" t="str">
        <f>IF(AN3="y",CHAR(34)&amp;AN$1&amp;CHAR(34)&amp;",","")</f>
        <v/>
      </c>
      <c r="EV3" s="48" t="str">
        <f>IF(AO3="y",CHAR(34)&amp;AO$1&amp;CHAR(34)&amp;",","")</f>
        <v/>
      </c>
      <c r="EW3" s="48" t="str">
        <f>IF(AP3="y",CHAR(34)&amp;AP$1&amp;CHAR(34)&amp;",","")</f>
        <v/>
      </c>
      <c r="EX3" s="48" t="str">
        <f>IF(AQ3="y",CHAR(34)&amp;AQ$1&amp;CHAR(34)&amp;",","")</f>
        <v/>
      </c>
      <c r="EY3" s="48" t="str">
        <f>IF(AR3="y",CHAR(34)&amp;AR$1&amp;CHAR(34)&amp;",","")</f>
        <v/>
      </c>
      <c r="EZ3" s="48" t="str">
        <f>IF(AS3="y",CHAR(34)&amp;AS$1&amp;CHAR(34)&amp;",","")</f>
        <v/>
      </c>
      <c r="FA3" s="48" t="str">
        <f>IF(AT3&gt;0,CHAR(34)&amp;"sta"&amp;AZ3&amp;CHAR(34)&amp;",","")</f>
        <v/>
      </c>
      <c r="FB3" s="48" t="str">
        <f>IF(AND(AT3&gt;0,BA3&lt;&gt;""),CHAR(34)&amp;"sta"&amp;BA3&amp;CHAR(34)&amp;",","")</f>
        <v/>
      </c>
      <c r="FD3" s="48" t="str">
        <f>IF(BV3="n",CHAR(34)&amp;"tcWHYE"&amp;CHAR(34)&amp;",",IF(BV3="y",CHAR(34)&amp;FD$1&amp;CHAR(34)&amp;",",""))</f>
        <v/>
      </c>
      <c r="FE3" s="48" t="str">
        <f>IF(COUNTIF(BL3:BT3,"BLU")=0,CHAR(34)&amp;"NO_BLU"&amp;CHAR(34)&amp;",", "")</f>
        <v/>
      </c>
      <c r="FF3" s="48" t="str">
        <f>IF(COUNTIF(BL3:BT3,"WHI")=0,CHAR(34)&amp;"NO_WHI"&amp;CHAR(34)&amp;",", "")</f>
        <v/>
      </c>
      <c r="FG3" s="48" t="str">
        <f>IF(COUNTIF(BL3:BT3,"RED")=0,CHAR(34)&amp;"NO_RED"&amp;CHAR(34)&amp;",", "")</f>
        <v/>
      </c>
      <c r="FH3" s="48" t="str">
        <f>IF(COUNTIF(BL3:BS3,"GRE")=0,CHAR(34)&amp;"NO_GRE"&amp;CHAR(34)&amp;",", "")</f>
        <v>"NO_GRE",</v>
      </c>
      <c r="FI3" s="48" t="str">
        <f>IF(COUNTIF(BL3:BT3,"YEL")=0,CHAR(34)&amp;"NO_YEL"&amp;CHAR(34)&amp;",", "")</f>
        <v/>
      </c>
      <c r="FJ3" s="48" t="str">
        <f>IF(COUNTIF(BL3:BT3,"BLA")=0,CHAR(34)&amp;"NO_BLA"&amp;CHAR(34)&amp;",", "")</f>
        <v>"NO_BLA",</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
      </c>
      <c r="FQ3" s="48" t="str">
        <f>IF(LEN(BF3)=3,CHAR(34)&amp;"001"&amp;BF3&amp;CHAR(34)&amp;",","")</f>
        <v>"001BLU",</v>
      </c>
      <c r="FR3" s="48" t="str">
        <f>IF(LEN(BG3)=3,CHAR(34)&amp;"002"&amp;BG3&amp;CHAR(34)&amp;",","")</f>
        <v>"002RED",</v>
      </c>
      <c r="FS3" s="48" t="str">
        <f>IF(LEN(BH3)=3,CHAR(34)&amp;"003"&amp;BH3&amp;CHAR(34)&amp;",","")</f>
        <v>"003BLU",</v>
      </c>
      <c r="FT3" s="48" t="str">
        <f>CHAR(34)&amp;"myr"&amp;BD3&amp;CHAR(34)&amp;","</f>
        <v>"myrRED",</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
      </c>
      <c r="GG3" s="48" t="str">
        <f>IF(BU3="y",CHAR(34)&amp;"unjack"&amp;CHAR(34)&amp;",","")</f>
        <v/>
      </c>
      <c r="GH3" s="48" t="str">
        <f>IF(CD3=1,CHAR(34)&amp;"southc"&amp;CHAR(34)&amp;",","")</f>
        <v/>
      </c>
      <c r="GI3" s="48" t="str">
        <f>IF(CE3=1,CHAR(34)&amp;"hasmap"&amp;CHAR(34)&amp;",","")</f>
        <v/>
      </c>
      <c r="GJ3" s="48" t="str">
        <f>IF(CP3="y",CHAR(34)&amp;CP$1&amp;CHAR(34)&amp;",","")</f>
        <v>"NoStar",</v>
      </c>
      <c r="GK3" s="48" t="str">
        <f>IF(GJ3="",CHAR(34)&amp;"HasSta"&amp;CHAR(34)&amp;",","")</f>
        <v/>
      </c>
      <c r="GL3" s="48" t="str">
        <f>IF(CQ3="y",CHAR(34)&amp;CQ$1&amp;CHAR(34)&amp;",","")</f>
        <v/>
      </c>
      <c r="GM3" s="48" t="str">
        <f>IF(CR3="y",CHAR(34)&amp;CR$1&amp;CHAR(34)&amp;",","")</f>
        <v/>
      </c>
      <c r="GN3" s="48" t="str">
        <f>IF(CS3="y",CHAR(34)&amp;CS$1&amp;CHAR(34)&amp;",","")</f>
        <v/>
      </c>
      <c r="GP3" s="48" t="str">
        <f>CHAR(34)&amp;AU3&amp;CHAR(34)</f>
        <v>"Proposal"</v>
      </c>
      <c r="GS3" s="48" t="str">
        <f>SUBSTITUTE("["&amp;_xlfn.CONCAT(CW3:GN3)&amp;"]",",]","]")</f>
        <v>["4Color","words2","words3","lets20","startA","year00","allhor","4+Band","Horizo","Circle","HasSun","Center","NO_GRE","NO_BLA","001BLU","002RED","003BLU","myrRED","NoStar"]</v>
      </c>
      <c r="GT3" s="48" t="str">
        <f>IF(BL3&lt;&gt;"",CHAR(34)&amp;"cl_"&amp;BL3&amp;CHAR(34)&amp;",","")</f>
        <v/>
      </c>
      <c r="GU3" s="48" t="str">
        <f>IF(BM3&lt;&gt;"",CHAR(34)&amp;"cl_"&amp;BM3&amp;CHAR(34)&amp;",","")</f>
        <v>"cl_BLU",</v>
      </c>
      <c r="GV3" s="48" t="str">
        <f>IF(BN3&lt;&gt;"",CHAR(34)&amp;"cl_"&amp;BN3&amp;CHAR(34)&amp;",","")</f>
        <v/>
      </c>
      <c r="GW3" s="48" t="str">
        <f>IF(BO3&lt;&gt;"",CHAR(34)&amp;"cl_"&amp;BO3&amp;CHAR(34)&amp;",","")</f>
        <v>"cl_RED",</v>
      </c>
      <c r="GX3" s="48" t="str">
        <f>IF(BP3&lt;&gt;"",CHAR(34)&amp;"cl_"&amp;BP3&amp;CHAR(34)&amp;",","")</f>
        <v>"cl_YEL",</v>
      </c>
      <c r="GY3" s="48" t="str">
        <f>IF(BQ3&lt;&gt;"",CHAR(34)&amp;"cl_"&amp;BQ3&amp;CHAR(34)&amp;",","")</f>
        <v/>
      </c>
      <c r="GZ3" s="48" t="str">
        <f>IF(BR3&lt;&gt;"",CHAR(34)&amp;"cl_"&amp;BR3&amp;CHAR(34)&amp;",","")</f>
        <v/>
      </c>
      <c r="HA3" s="48" t="str">
        <f>IF(BS3&lt;&gt;"",CHAR(34)&amp;"cl_"&amp;BS3&amp;CHAR(34)&amp;",","")</f>
        <v/>
      </c>
      <c r="HB3" s="48" t="str">
        <f>IF(BT3&lt;&gt;"",CHAR(34)&amp;"cl_"&amp;BT3&amp;CHAR(34)&amp;",","")</f>
        <v>"cl_WHI",</v>
      </c>
      <c r="HC3" s="48" t="str">
        <f>SUBSTITUTE("["&amp;_xlfn.CONCAT(GT3:HB3)&amp;"]",",]","]")</f>
        <v>["cl_BLU","cl_RED","cl_YEL","cl_WHI"]</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{couname:"[AGO] Angola (2003 Proposal)",year:"2003",region:"rgn_Africa",Colors:["cl_BLU","cl_RED","cl_YEL","cl_WHI"],Items:["4Color","words2","words3","lets20","startA","year00","allhor","4+Band","Horizo","Circle","HasSun","Center","NO_GRE","NO_BLA","001BLU","002RED","003BLU","myrRED","NoStar"],Flag:"https://www.crwflags.com/fotw/images/a/ao_03.gif",HDFlag:"https://www.crwflags.com/fotw/images/a/ao_03.gif",type:"Proposal", describe: "\nThe symbolism of the proposed National Flag was explained by a ruling MPLA party deputy, Ana Maria de Oliveira, who coordinated the sub-commission for the National Symbols.\nThe blue stripes represent Freedom, Justice and Solidarity and the white ones stand for Peace, Unity and Harmony.\nThe red stripe represents Sacrifice, tenacity and heroism, and the sun represents the historical and cultural identity and the riches of Angola.", isnew:".", links: "https://www.crwflags.com/fotw/flags/ao!.html#03"},</v>
      </c>
      <c r="HG3" s="73" t="str">
        <f>"{couname:"&amp;CT3&amp;(IF(HK3&lt;&gt;"",",subtype:"&amp;CHAR(34)&amp;HK3&amp;CHAR(34),""))&amp;",year:"&amp;HJ3&amp;",region:"&amp;CU3&amp;",Colors:"&amp;HC3&amp;",Items:"&amp;GS3&amp;",Flag:"&amp;CV3&amp;",HDFlag:"&amp;CHAR(34)&amp;E3&amp;CHAR(34)&amp;",type:"&amp;GP3&amp;", describe: "&amp;HI3&amp;", links: "&amp;HL3&amp;"},"</f>
        <v>{couname:"[AGO] Angola (2003 Proposal)",year:"2003",region:"rgn_Africa",Colors:["cl_BLU","cl_RED","cl_YEL","cl_WHI"],Items:["4Color","words2","words3","lets20","startA","year00","allhor","4+Band","Horizo","Circle","HasSun","Center","NO_GRE","NO_BLA","001BLU","002RED","003BLU","myrRED","NoStar"],Flag:"https://www.crwflags.com/fotw/images/a/ao_03.gif",HDFlag:"https://www.crwflags.com/fotw/images/a/ao_03.gif",type:"Proposal", describe: "\nThe symbolism of the proposed National Flag was explained by a ruling MPLA party deputy, Ana Maria de Oliveira, who coordinated the sub-commission for the National Symbols.\nThe blue stripes represent Freedom, Justice and Solidarity and the white ones stand for Peace, Unity and Harmony.\nThe red stripe represents Sacrifice, tenacity and heroism, and the sun represents the historical and cultural identity and the riches of Angola.", links: "https://www.crwflags.com/fotw/flags/ao!.html#03"},</v>
      </c>
      <c r="HH3" s="48" t="str">
        <f>IF(P3&lt;&gt;"",CHAR(34)&amp;"\n"&amp;P3&amp;CHAR(34),CHAR(34)&amp;CHAR(34))</f>
        <v>"\nThe symbolism of the proposed National Flag was explained by a ruling MPLA party deputy, Ana Maria de Oliveira, who coordinated the sub-commission for the National Symbols.\nThe blue stripes represent Freedom, Justice and Solidarity and the white ones stand for Peace, Unity and Harmony.\nThe red stripe represents Sacrifice, tenacity and heroism, and the sun represents the historical and cultural identity and the riches of Angola."</v>
      </c>
      <c r="HI3" s="48" t="str">
        <f>IF(J3=0,CHAR(34)&amp;CHAR(34),HH3)</f>
        <v>"\nThe symbolism of the proposed National Flag was explained by a ruling MPLA party deputy, Ana Maria de Oliveira, who coordinated the sub-commission for the National Symbols.\nThe blue stripes represent Freedom, Justice and Solidarity and the white ones stand for Peace, Unity and Harmony.\nThe red stripe represents Sacrifice, tenacity and heroism, and the sun represents the historical and cultural identity and the riches of Angola."</v>
      </c>
      <c r="HJ3" s="48" t="str">
        <f>CHAR(34)&amp;O3&amp;CHAR(34)</f>
        <v>"2003"</v>
      </c>
      <c r="HL3" s="48" t="str">
        <f>CHAR(34)&amp;I3&amp;CHAR(34)</f>
        <v>"https://www.crwflags.com/fotw/flags/ao!.html#03"</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{"couname":"[AGO] Angola (2003 Proposal)","subtype":"[AGO] Other","year":"2003","region":"rgn_Africa","Colors":["cl_BLU","cl_RED","cl_YEL","cl_WHI"],"Items":["4Color","words2","words3","lets20","startA","year00","allhor","4+Band","Horizo","Circle","HasSun","Center","NO_GRE","NO_BLA","001BLU","002RED","003BLU","myrRED","NoStar"],"Flag":"https://www.crwflags.com/fotw/images/a/ao_03.gif","HDFlag":"https://www.crwflags.com/fotw/images/a/ao_03.gif","type":"Proposal", "describe": "\nThe symbolism of the proposed National Flag was explained by a ruling MPLA party deputy, Ana Maria de Oliveira, who coordinated the sub-commission for the National Symbols.\nThe blue stripes represent Freedom, Justice and Solidarity and the white ones stand for Peace, Unity and Harmony.\nThe red stripe represents Sacrifice, tenacity and heroism, and the sun represents the historical and cultural identity and the riches of Angola.", "isnew": ".", "links": "https://www.crwflags.com/fotw/flags/ao!.html#03"},</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{"couname":"[AGO] Angola (2003 Proposal)","subtype":"[AGO] Other","year":"2003","region":"rgn_Africa","Colors":["cl_BLU","cl_RED","cl_YEL","cl_WHI"],"Items":["4Color","words2","words3","lets20","startA","year00","allhor","4+Band","Horizo","Circle","HasSun","Center","NO_GRE","NO_BLA","001BLU","002RED","003BLU","myrRED","NoStar"],"Flag":"https://www.crwflags.com/fotw/images/a/ao_03.gif","HDFlag":"https://www.crwflags.com/fotw/images/a/ao_03.gif","type":"Proposal", "describe": "\nThe symbolism of the proposed National Flag was explained by a ruling MPLA party deputy, Ana Maria de Oliveira, who coordinated the sub-commission for the National Symbols.\nThe blue stripes represent Freedom, Justice and Solidarity and the white ones stand for Peace, Unity and Harmony.\nThe red stripe represents Sacrifice, tenacity and heroism, and the sun represents the historical and cultural identity and the riches of Angola.", "isnew": ".", "links": "https://www.crwflags.com/fotw/flags/ao!.html#03"},</v>
      </c>
      <c r="HO3" s="75">
        <v>45644</v>
      </c>
      <c r="HP3" s="48" t="str" cm="1">
        <f t="array" ref="HP3">IF(_xlfn.TEXTJOIN(", ", TRUE, IF(ISNUMBER(SEARCH("BLA", BL3:BT3)), COLUMN(BL3:BT3) - COLUMN(BL3) + 1, ""))&lt;&gt;"","BLA","")</f>
        <v/>
      </c>
      <c r="HQ3" s="48" t="str" cm="1">
        <f t="array" ref="HQ3">IF(_xlfn.TEXTJOIN(", ", TRUE, IF(ISNUMBER(SEARCH("BLU", BL3:BT3)), COLUMN(BL3:BT3) - COLUMN(BL3) + 1, ""))&lt;&gt;"","BLU","")</f>
        <v>BLU</v>
      </c>
      <c r="HR3" s="48" t="str" cm="1">
        <f t="array" ref="HR3">IF(_xlfn.TEXTJOIN(", ", TRUE, IF(ISNUMBER(SEARCH("GRE", BL3:BT3)), COLUMN(BL3:BT3) - COLUMN(BL3) + 1, ""))&lt;&gt;"","GRE","")</f>
        <v/>
      </c>
      <c r="HS3" s="48" t="str" cm="1">
        <f t="array" ref="HS3">IF(_xlfn.TEXTJOIN(", ", TRUE, IF(ISNUMBER(SEARCH("RED", BL3:BT3)), COLUMN(BL3:BT3) - COLUMN(BL3) + 1, ""))&lt;&gt;"","RED","")</f>
        <v>RED</v>
      </c>
      <c r="HT3" s="48" t="str" cm="1">
        <f t="array" ref="HT3">IF(_xlfn.TEXTJOIN(", ", TRUE, IF(ISNUMBER(SEARCH("YEL", BL3:BT3)), COLUMN(BL3:BT3) - COLUMN(BL3) + 1, ""))&lt;&gt;"","YEL","")</f>
        <v>YEL</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M3" s="45">
        <f>COUNTIF(IC3:IK3,"&gt;0")-CG3</f>
        <v>-4</v>
      </c>
      <c r="IN3" s="78" t="str">
        <f>"http://mkweb.bcgsc.ca/color-summarizer/?url="&amp;D3&amp;"&amp;precision=low&amp;num_clusters="&amp;CG3&amp;"&amp;text=1"</f>
        <v>http://mkweb.bcgsc.ca/color-summarizer/?url=https://www.crwflags.com/fotw/images/a/ao_03.gif&amp;precision=low&amp;num_clusters=4&amp;text=1</v>
      </c>
      <c r="IO3" s="48" t="str">
        <f>IF(HP3&lt;&gt;"",CHAR(34)&amp;"black"&amp;CHAR(34),"")</f>
        <v/>
      </c>
      <c r="IP3" s="48" t="str">
        <f>IF(HQ3&lt;&gt;"",CHAR(34)&amp;"blue"&amp;CHAR(34),"")</f>
        <v>"blue"</v>
      </c>
      <c r="IQ3" s="48" t="str">
        <f>IF(HR3&lt;&gt;"",CHAR(34)&amp;"green"&amp;CHAR(34),"")</f>
        <v/>
      </c>
      <c r="IR3" s="48" t="str">
        <f>IF(HS3&lt;&gt;"",CHAR(34)&amp;"red"&amp;CHAR(34),"")</f>
        <v>"red"</v>
      </c>
      <c r="IS3" s="48" t="str">
        <f>IF(HT3&lt;&gt;"",CHAR(34)&amp;"yellow"&amp;CHAR(34),"")</f>
        <v>"yellow"</v>
      </c>
      <c r="IT3" s="48" t="str">
        <f>IF(HU3&lt;&gt;"",CHAR(34)&amp;"orange"&amp;CHAR(34),"")</f>
        <v/>
      </c>
      <c r="IU3" s="48" t="str">
        <f>IF(HV3&lt;&gt;"",CHAR(34)&amp;"brown"&amp;CHAR(34),"")</f>
        <v/>
      </c>
      <c r="IV3" s="48" t="str">
        <f>IF(HW3&lt;&gt;"",CHAR(34)&amp;"purple"&amp;CHAR(34),"")</f>
        <v/>
      </c>
      <c r="IW3" s="48" t="str">
        <f>IF(HX3&lt;&gt;"",CHAR(34)&amp;"white"&amp;CHAR(34),"")</f>
        <v>"white"</v>
      </c>
      <c r="IX3" s="48" t="str">
        <f>"{"&amp;CHAR(34)&amp;"url"&amp;CHAR(34)&amp;":"&amp;CHAR(34)&amp;IN3&amp;CHAR(34)&amp;","&amp;CHAR(34)&amp;"name"&amp;CHAR(34)&amp;":"&amp;CHAR(34)&amp;A3&amp;CHAR(34)&amp;"},"</f>
        <v>{"url":"http://mkweb.bcgsc.ca/color-summarizer/?url=https://www.crwflags.com/fotw/images/a/ao_03.gif&amp;precision=low&amp;num_clusters=4&amp;text=1","name":"[AGO] Angola (2003 Proposal)"},</v>
      </c>
      <c r="IY3" s="48">
        <v>1503</v>
      </c>
    </row>
    <row r="4" spans="1:259" ht="38.4" customHeight="1" x14ac:dyDescent="0.3">
      <c r="F4" s="82"/>
      <c r="G4" s="82"/>
      <c r="H4" s="82"/>
      <c r="I4" s="82"/>
      <c r="J4" s="82"/>
      <c r="K4" s="82"/>
    </row>
    <row r="5" spans="1:259" ht="38.4" customHeight="1" x14ac:dyDescent="0.3">
      <c r="F5" s="82"/>
      <c r="G5" s="82"/>
      <c r="H5" s="82"/>
      <c r="I5" s="82"/>
      <c r="J5" s="82"/>
      <c r="K5" s="82"/>
    </row>
    <row r="6" spans="1:259" ht="38.4" customHeight="1" x14ac:dyDescent="0.3">
      <c r="F6" s="82"/>
      <c r="G6" s="82"/>
      <c r="H6" s="82"/>
      <c r="I6" s="82"/>
      <c r="J6" s="82"/>
      <c r="K6" s="82"/>
    </row>
  </sheetData>
  <autoFilter ref="A1:IY1" xr:uid="{A1051193-A95B-4CFB-A73C-F0184620C81F}">
    <sortState xmlns:xlrd2="http://schemas.microsoft.com/office/spreadsheetml/2017/richdata2" ref="A2:IY5">
      <sortCondition ref="AW1"/>
    </sortState>
  </autoFilter>
  <conditionalFormatting sqref="H1 CW1:GS1 IA1:IB1">
    <cfRule type="cellIs" dxfId="6573" priority="118" operator="greaterThan">
      <formula>0</formula>
    </cfRule>
  </conditionalFormatting>
  <conditionalFormatting sqref="H1 H7:H1048576">
    <cfRule type="cellIs" dxfId="6572" priority="84" stopIfTrue="1" operator="notEqual">
      <formula>""</formula>
    </cfRule>
  </conditionalFormatting>
  <conditionalFormatting sqref="T1:BK1">
    <cfRule type="cellIs" dxfId="6571" priority="121" operator="greaterThan">
      <formula>0</formula>
    </cfRule>
  </conditionalFormatting>
  <conditionalFormatting sqref="BV1:BW1 BV4:BW1048576">
    <cfRule type="cellIs" dxfId="6570" priority="120" operator="equal">
      <formula>"nc"</formula>
    </cfRule>
  </conditionalFormatting>
  <conditionalFormatting sqref="HF1:HG1">
    <cfRule type="cellIs" dxfId="6569" priority="122" operator="greaterThan">
      <formula>0</formula>
    </cfRule>
  </conditionalFormatting>
  <conditionalFormatting sqref="HK1">
    <cfRule type="cellIs" dxfId="6568" priority="119" operator="greaterThan">
      <formula>0</formula>
    </cfRule>
  </conditionalFormatting>
  <conditionalFormatting sqref="HP1:HX1">
    <cfRule type="cellIs" dxfId="6567" priority="96" operator="equal">
      <formula>"PIN"</formula>
    </cfRule>
    <cfRule type="cellIs" dxfId="6566" priority="97" operator="equal">
      <formula>"ORA"</formula>
    </cfRule>
    <cfRule type="cellIs" dxfId="6565" priority="98" operator="equal">
      <formula>"GRA"</formula>
    </cfRule>
    <cfRule type="cellIs" dxfId="6564" priority="99" operator="equal">
      <formula>"PUR"</formula>
    </cfRule>
    <cfRule type="cellIs" dxfId="6563" priority="100" operator="equal">
      <formula>"BRO"</formula>
    </cfRule>
    <cfRule type="cellIs" dxfId="6562" priority="101" operator="equal">
      <formula>"YEL"</formula>
    </cfRule>
    <cfRule type="cellIs" dxfId="6561" priority="102" operator="equal">
      <formula>"BLU"</formula>
    </cfRule>
    <cfRule type="cellIs" dxfId="6560" priority="103" operator="equal">
      <formula>"WHI"</formula>
    </cfRule>
    <cfRule type="cellIs" dxfId="6559" priority="104" operator="equal">
      <formula>"GRE"</formula>
    </cfRule>
    <cfRule type="cellIs" dxfId="6558" priority="105" operator="equal">
      <formula>"RED"</formula>
    </cfRule>
    <cfRule type="cellIs" dxfId="6557" priority="106" operator="equal">
      <formula>"BLA"</formula>
    </cfRule>
  </conditionalFormatting>
  <conditionalFormatting sqref="IC1:IK1">
    <cfRule type="cellIs" dxfId="6556" priority="107" operator="equal">
      <formula>"PIN"</formula>
    </cfRule>
    <cfRule type="cellIs" dxfId="6555" priority="108" operator="equal">
      <formula>"ORA"</formula>
    </cfRule>
    <cfRule type="cellIs" dxfId="6554" priority="109" operator="equal">
      <formula>"GRA"</formula>
    </cfRule>
    <cfRule type="cellIs" dxfId="6553" priority="110" operator="equal">
      <formula>"PUR"</formula>
    </cfRule>
    <cfRule type="cellIs" dxfId="6552" priority="111" operator="equal">
      <formula>"BRO"</formula>
    </cfRule>
    <cfRule type="cellIs" dxfId="6551" priority="112" operator="equal">
      <formula>"YEL"</formula>
    </cfRule>
    <cfRule type="cellIs" dxfId="6550" priority="113" operator="equal">
      <formula>"BLU"</formula>
    </cfRule>
    <cfRule type="cellIs" dxfId="6549" priority="114" operator="equal">
      <formula>"WHI"</formula>
    </cfRule>
    <cfRule type="cellIs" dxfId="6548" priority="115" operator="equal">
      <formula>"GRE"</formula>
    </cfRule>
    <cfRule type="cellIs" dxfId="6547" priority="116" operator="equal">
      <formula>"RED"</formula>
    </cfRule>
    <cfRule type="cellIs" dxfId="6546" priority="117" operator="equal">
      <formula>"BLA"</formula>
    </cfRule>
  </conditionalFormatting>
  <conditionalFormatting sqref="IO1:IW1">
    <cfRule type="cellIs" dxfId="6545" priority="85" operator="equal">
      <formula>"PIN"</formula>
    </cfRule>
    <cfRule type="cellIs" dxfId="6544" priority="86" operator="equal">
      <formula>"ORA"</formula>
    </cfRule>
    <cfRule type="cellIs" dxfId="6543" priority="87" operator="equal">
      <formula>"GRA"</formula>
    </cfRule>
    <cfRule type="cellIs" dxfId="6542" priority="88" operator="equal">
      <formula>"PUR"</formula>
    </cfRule>
    <cfRule type="cellIs" dxfId="6541" priority="89" operator="equal">
      <formula>"BRO"</formula>
    </cfRule>
    <cfRule type="cellIs" dxfId="6540" priority="90" operator="equal">
      <formula>"YEL"</formula>
    </cfRule>
    <cfRule type="cellIs" dxfId="6539" priority="91" operator="equal">
      <formula>"BLU"</formula>
    </cfRule>
    <cfRule type="cellIs" dxfId="6538" priority="92" operator="equal">
      <formula>"WHI"</formula>
    </cfRule>
    <cfRule type="cellIs" dxfId="6537" priority="93" operator="equal">
      <formula>"GRE"</formula>
    </cfRule>
    <cfRule type="cellIs" dxfId="6536" priority="94" operator="equal">
      <formula>"RED"</formula>
    </cfRule>
    <cfRule type="cellIs" dxfId="6535" priority="95" operator="equal">
      <formula>"BLA"</formula>
    </cfRule>
  </conditionalFormatting>
  <conditionalFormatting sqref="H2">
    <cfRule type="cellIs" dxfId="6534" priority="77" stopIfTrue="1" operator="notEqual">
      <formula>""</formula>
    </cfRule>
  </conditionalFormatting>
  <conditionalFormatting sqref="R2 CU2">
    <cfRule type="cellIs" dxfId="6533" priority="79" operator="greaterThan">
      <formula>0</formula>
    </cfRule>
  </conditionalFormatting>
  <conditionalFormatting sqref="T2:AS2 CH2:CS2">
    <cfRule type="cellIs" dxfId="6532" priority="74" stopIfTrue="1" operator="equal">
      <formula>"n"</formula>
    </cfRule>
    <cfRule type="cellIs" dxfId="6531" priority="75" stopIfTrue="1" operator="equal">
      <formula>"y"</formula>
    </cfRule>
    <cfRule type="cellIs" dxfId="6530" priority="76" operator="greaterThan">
      <formula>0</formula>
    </cfRule>
  </conditionalFormatting>
  <conditionalFormatting sqref="AZ2:BB2">
    <cfRule type="expression" dxfId="6529" priority="61">
      <formula>$AT2=0</formula>
    </cfRule>
  </conditionalFormatting>
  <conditionalFormatting sqref="AZ2:BU2">
    <cfRule type="cellIs" dxfId="6528" priority="62" operator="equal">
      <formula>"PIN"</formula>
    </cfRule>
    <cfRule type="cellIs" dxfId="6527" priority="63" operator="equal">
      <formula>"ORA"</formula>
    </cfRule>
    <cfRule type="cellIs" dxfId="6526" priority="64" operator="equal">
      <formula>"GRA"</formula>
    </cfRule>
    <cfRule type="cellIs" dxfId="6525" priority="65" operator="equal">
      <formula>"PUR"</formula>
    </cfRule>
    <cfRule type="cellIs" dxfId="6524" priority="66" operator="equal">
      <formula>"BRO"</formula>
    </cfRule>
    <cfRule type="cellIs" dxfId="6523" priority="67" operator="equal">
      <formula>"YEL"</formula>
    </cfRule>
    <cfRule type="cellIs" dxfId="6522" priority="68" operator="equal">
      <formula>"BLU"</formula>
    </cfRule>
    <cfRule type="cellIs" dxfId="6521" priority="69" operator="equal">
      <formula>"WHI"</formula>
    </cfRule>
    <cfRule type="cellIs" dxfId="6520" priority="70" operator="equal">
      <formula>"GRE"</formula>
    </cfRule>
    <cfRule type="cellIs" dxfId="6519" priority="71" operator="equal">
      <formula>"RED"</formula>
    </cfRule>
    <cfRule type="cellIs" dxfId="6518" priority="72" operator="equal">
      <formula>"BLA"</formula>
    </cfRule>
  </conditionalFormatting>
  <conditionalFormatting sqref="BV2">
    <cfRule type="cellIs" dxfId="6517" priority="78" operator="equal">
      <formula>"nc"</formula>
    </cfRule>
  </conditionalFormatting>
  <conditionalFormatting sqref="CD2:CF2 BZ2:CA2">
    <cfRule type="cellIs" dxfId="6516" priority="73" operator="greaterThan">
      <formula>0</formula>
    </cfRule>
  </conditionalFormatting>
  <conditionalFormatting sqref="IC2:IK2">
    <cfRule type="expression" dxfId="6515" priority="60">
      <formula>$IL2&gt;0</formula>
    </cfRule>
  </conditionalFormatting>
  <conditionalFormatting sqref="BX2:CA2 CD2:CF2">
    <cfRule type="cellIs" dxfId="6514" priority="48" operator="equal">
      <formula>"y"</formula>
    </cfRule>
    <cfRule type="cellIs" dxfId="6513" priority="49" operator="equal">
      <formula>"PIN"</formula>
    </cfRule>
    <cfRule type="cellIs" dxfId="6512" priority="50" operator="equal">
      <formula>"ORA"</formula>
    </cfRule>
    <cfRule type="cellIs" dxfId="6511" priority="51" operator="equal">
      <formula>"GRA"</formula>
    </cfRule>
    <cfRule type="cellIs" dxfId="6510" priority="52" operator="equal">
      <formula>"PUR"</formula>
    </cfRule>
    <cfRule type="cellIs" dxfId="6509" priority="53" operator="equal">
      <formula>"BRO"</formula>
    </cfRule>
    <cfRule type="cellIs" dxfId="6508" priority="54" operator="equal">
      <formula>"YEL"</formula>
    </cfRule>
    <cfRule type="cellIs" dxfId="6507" priority="55" operator="equal">
      <formula>"BLU"</formula>
    </cfRule>
    <cfRule type="cellIs" dxfId="6506" priority="56" operator="equal">
      <formula>"WHI"</formula>
    </cfRule>
    <cfRule type="cellIs" dxfId="6505" priority="57" operator="equal">
      <formula>"GRE"</formula>
    </cfRule>
    <cfRule type="cellIs" dxfId="6504" priority="58" operator="equal">
      <formula>"RED"</formula>
    </cfRule>
    <cfRule type="cellIs" dxfId="6503" priority="59" operator="equal">
      <formula>"BLA"</formula>
    </cfRule>
  </conditionalFormatting>
  <conditionalFormatting sqref="J2">
    <cfRule type="colorScale" priority="80">
      <colorScale>
        <cfvo type="min"/>
        <cfvo type="percentile" val="50"/>
        <cfvo type="max"/>
        <color rgb="FFF8696B"/>
        <color rgb="FFFFEB84"/>
        <color rgb="FF63BE7B"/>
      </colorScale>
    </cfRule>
  </conditionalFormatting>
  <conditionalFormatting sqref="S2">
    <cfRule type="colorScale" priority="81">
      <colorScale>
        <cfvo type="min"/>
        <cfvo type="max"/>
        <color rgb="FFFCFCFF"/>
        <color rgb="FF754BFB"/>
      </colorScale>
    </cfRule>
  </conditionalFormatting>
  <conditionalFormatting sqref="AT2">
    <cfRule type="colorScale" priority="82">
      <colorScale>
        <cfvo type="min"/>
        <cfvo type="max"/>
        <color rgb="FFFCFCFF"/>
        <color theme="8" tint="0.39997558519241921"/>
      </colorScale>
    </cfRule>
  </conditionalFormatting>
  <conditionalFormatting sqref="CG2">
    <cfRule type="colorScale" priority="83">
      <colorScale>
        <cfvo type="min"/>
        <cfvo type="max"/>
        <color rgb="FFFCFCFF"/>
        <color rgb="FF63BE7B"/>
      </colorScale>
    </cfRule>
  </conditionalFormatting>
  <conditionalFormatting sqref="H3">
    <cfRule type="cellIs" dxfId="6502" priority="40" stopIfTrue="1" operator="notEqual">
      <formula>""</formula>
    </cfRule>
  </conditionalFormatting>
  <conditionalFormatting sqref="R3 CU3">
    <cfRule type="cellIs" dxfId="6501" priority="43" operator="greaterThan">
      <formula>0</formula>
    </cfRule>
  </conditionalFormatting>
  <conditionalFormatting sqref="T3:AS3 CH3:CS3">
    <cfRule type="cellIs" dxfId="6500" priority="37" stopIfTrue="1" operator="equal">
      <formula>"n"</formula>
    </cfRule>
    <cfRule type="cellIs" dxfId="6499" priority="38" stopIfTrue="1" operator="equal">
      <formula>"y"</formula>
    </cfRule>
    <cfRule type="cellIs" dxfId="6498" priority="39" operator="greaterThan">
      <formula>0</formula>
    </cfRule>
  </conditionalFormatting>
  <conditionalFormatting sqref="AZ3:BB3">
    <cfRule type="expression" dxfId="6497" priority="24">
      <formula>$AT3=0</formula>
    </cfRule>
  </conditionalFormatting>
  <conditionalFormatting sqref="CD3:CF3 BX3:CA3 AZ3:BU3">
    <cfRule type="cellIs" dxfId="6496" priority="25" operator="equal">
      <formula>"PIN"</formula>
    </cfRule>
    <cfRule type="cellIs" dxfId="6495" priority="26" operator="equal">
      <formula>"ORA"</formula>
    </cfRule>
    <cfRule type="cellIs" dxfId="6494" priority="27" operator="equal">
      <formula>"GRA"</formula>
    </cfRule>
    <cfRule type="cellIs" dxfId="6493" priority="28" operator="equal">
      <formula>"PUR"</formula>
    </cfRule>
    <cfRule type="cellIs" dxfId="6492" priority="29" operator="equal">
      <formula>"BRO"</formula>
    </cfRule>
    <cfRule type="cellIs" dxfId="6491" priority="30" operator="equal">
      <formula>"YEL"</formula>
    </cfRule>
    <cfRule type="cellIs" dxfId="6490" priority="31" operator="equal">
      <formula>"BLU"</formula>
    </cfRule>
    <cfRule type="cellIs" dxfId="6489" priority="32" operator="equal">
      <formula>"WHI"</formula>
    </cfRule>
    <cfRule type="cellIs" dxfId="6488" priority="33" operator="equal">
      <formula>"GRE"</formula>
    </cfRule>
    <cfRule type="cellIs" dxfId="6487" priority="34" operator="equal">
      <formula>"RED"</formula>
    </cfRule>
    <cfRule type="cellIs" dxfId="6486" priority="35" operator="equal">
      <formula>"BLA"</formula>
    </cfRule>
  </conditionalFormatting>
  <conditionalFormatting sqref="BV3">
    <cfRule type="cellIs" dxfId="6485" priority="42" operator="equal">
      <formula>"nc"</formula>
    </cfRule>
  </conditionalFormatting>
  <conditionalFormatting sqref="CD3:CF3 BX3:CA3">
    <cfRule type="cellIs" dxfId="6484" priority="41" operator="equal">
      <formula>"y"</formula>
    </cfRule>
  </conditionalFormatting>
  <conditionalFormatting sqref="CD3:CF3 BZ3:CA3">
    <cfRule type="cellIs" dxfId="6483" priority="36" operator="greaterThan">
      <formula>0</formula>
    </cfRule>
  </conditionalFormatting>
  <conditionalFormatting sqref="IC3:IK3">
    <cfRule type="expression" dxfId="6482" priority="23">
      <formula>$IL3&gt;0</formula>
    </cfRule>
  </conditionalFormatting>
  <conditionalFormatting sqref="IC3">
    <cfRule type="cellIs" dxfId="6481" priority="17" stopIfTrue="1" operator="greaterThan">
      <formula>0</formula>
    </cfRule>
  </conditionalFormatting>
  <conditionalFormatting sqref="ID3">
    <cfRule type="cellIs" dxfId="6480" priority="15" stopIfTrue="1" operator="greaterThan">
      <formula>0</formula>
    </cfRule>
  </conditionalFormatting>
  <conditionalFormatting sqref="II3 IE3:IF3">
    <cfRule type="cellIs" dxfId="6479" priority="22" operator="greaterThan">
      <formula>0</formula>
    </cfRule>
  </conditionalFormatting>
  <conditionalFormatting sqref="II3 IF3">
    <cfRule type="cellIs" dxfId="6478" priority="16" stopIfTrue="1" operator="greaterThan">
      <formula>0</formula>
    </cfRule>
  </conditionalFormatting>
  <conditionalFormatting sqref="IG3">
    <cfRule type="cellIs" dxfId="6477" priority="21" operator="greaterThan">
      <formula>0</formula>
    </cfRule>
  </conditionalFormatting>
  <conditionalFormatting sqref="IH3:II3">
    <cfRule type="cellIs" dxfId="6476" priority="20" operator="greaterThan">
      <formula>0</formula>
    </cfRule>
  </conditionalFormatting>
  <conditionalFormatting sqref="IJ3">
    <cfRule type="cellIs" dxfId="6475" priority="19" operator="greaterThan">
      <formula>0</formula>
    </cfRule>
  </conditionalFormatting>
  <conditionalFormatting sqref="IK3">
    <cfRule type="cellIs" dxfId="6474" priority="18" operator="greaterThan">
      <formula>0</formula>
    </cfRule>
  </conditionalFormatting>
  <conditionalFormatting sqref="IF3">
    <cfRule type="cellIs" dxfId="6473" priority="14" stopIfTrue="1" operator="greaterThan">
      <formula>0</formula>
    </cfRule>
  </conditionalFormatting>
  <conditionalFormatting sqref="IM3">
    <cfRule type="cellIs" dxfId="6472" priority="13" operator="equal">
      <formula>0</formula>
    </cfRule>
  </conditionalFormatting>
  <conditionalFormatting sqref="BX3:CA3 CD3:CF3">
    <cfRule type="cellIs" dxfId="6471" priority="1" operator="equal">
      <formula>"y"</formula>
    </cfRule>
    <cfRule type="cellIs" dxfId="6470" priority="2" operator="equal">
      <formula>"PIN"</formula>
    </cfRule>
    <cfRule type="cellIs" dxfId="6469" priority="3" operator="equal">
      <formula>"ORA"</formula>
    </cfRule>
    <cfRule type="cellIs" dxfId="6468" priority="4" operator="equal">
      <formula>"GRA"</formula>
    </cfRule>
    <cfRule type="cellIs" dxfId="6467" priority="5" operator="equal">
      <formula>"PUR"</formula>
    </cfRule>
    <cfRule type="cellIs" dxfId="6466" priority="6" operator="equal">
      <formula>"BRO"</formula>
    </cfRule>
    <cfRule type="cellIs" dxfId="6465" priority="7" operator="equal">
      <formula>"YEL"</formula>
    </cfRule>
    <cfRule type="cellIs" dxfId="6464" priority="8" operator="equal">
      <formula>"BLU"</formula>
    </cfRule>
    <cfRule type="cellIs" dxfId="6463" priority="9" operator="equal">
      <formula>"WHI"</formula>
    </cfRule>
    <cfRule type="cellIs" dxfId="6462" priority="10" operator="equal">
      <formula>"GRE"</formula>
    </cfRule>
    <cfRule type="cellIs" dxfId="6461" priority="11" operator="equal">
      <formula>"RED"</formula>
    </cfRule>
    <cfRule type="cellIs" dxfId="6460" priority="12" operator="equal">
      <formula>"BLA"</formula>
    </cfRule>
  </conditionalFormatting>
  <conditionalFormatting sqref="AT3">
    <cfRule type="colorScale" priority="44">
      <colorScale>
        <cfvo type="min"/>
        <cfvo type="max"/>
        <color rgb="FFFCFCFF"/>
        <color theme="8" tint="0.39997558519241921"/>
      </colorScale>
    </cfRule>
  </conditionalFormatting>
  <conditionalFormatting sqref="S3">
    <cfRule type="colorScale" priority="45">
      <colorScale>
        <cfvo type="min"/>
        <cfvo type="max"/>
        <color rgb="FFFCFCFF"/>
        <color rgb="FF754BFB"/>
      </colorScale>
    </cfRule>
  </conditionalFormatting>
  <conditionalFormatting sqref="J3">
    <cfRule type="colorScale" priority="46">
      <colorScale>
        <cfvo type="min"/>
        <cfvo type="percentile" val="50"/>
        <cfvo type="max"/>
        <color rgb="FFF8696B"/>
        <color rgb="FFFFEB84"/>
        <color rgb="FF63BE7B"/>
      </colorScale>
    </cfRule>
  </conditionalFormatting>
  <conditionalFormatting sqref="CG3">
    <cfRule type="colorScale" priority="47">
      <colorScale>
        <cfvo type="min"/>
        <cfvo type="max"/>
        <color rgb="FFFCFCFF"/>
        <color rgb="FF63BE7B"/>
      </colorScale>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8194" r:id="rId5"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8195" r:id="rId6"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BCE671-BFDD-4F0D-BF59-B9CBD643FCA7}">
  <sheetPr codeName="Sheet22"/>
  <dimension ref="A1:IY11"/>
  <sheetViews>
    <sheetView zoomScale="70" zoomScaleNormal="70" workbookViewId="0">
      <pane xSplit="5" ySplit="1" topLeftCell="F2" activePane="bottomRight" state="frozen"/>
      <selection pane="topRight" activeCell="F1" sqref="F1"/>
      <selection pane="bottomLeft" activeCell="A2" sqref="A2"/>
      <selection pane="bottomRight" activeCell="A8" sqref="A8"/>
    </sheetView>
  </sheetViews>
  <sheetFormatPr defaultRowHeight="38.4" customHeight="1" x14ac:dyDescent="0.3"/>
  <cols>
    <col min="1" max="1" width="52.44140625" style="81" bestFit="1" customWidth="1"/>
    <col min="2" max="2" width="10.109375" style="81" customWidth="1"/>
    <col min="3" max="3" width="7.44140625" style="82" customWidth="1"/>
    <col min="4" max="4" width="4.77734375" style="83" customWidth="1"/>
    <col min="5" max="5" width="4.5546875" style="83" customWidth="1"/>
    <col min="6" max="6" width="5.77734375" style="83" customWidth="1"/>
    <col min="7" max="7" width="7.44140625" style="81" customWidth="1"/>
    <col min="8" max="8" width="11.44140625" style="81" customWidth="1"/>
    <col min="9" max="9" width="10" style="81" customWidth="1"/>
    <col min="10" max="10" width="4.21875" style="81" customWidth="1"/>
    <col min="11" max="11" width="5.6640625" style="83" customWidth="1"/>
    <col min="12" max="12" width="2.88671875" style="83" customWidth="1"/>
    <col min="13" max="13" width="6.44140625" style="83" customWidth="1"/>
    <col min="14" max="14" width="4.5546875" style="83" customWidth="1"/>
    <col min="15" max="15" width="10.5546875" style="84" customWidth="1"/>
    <col min="16" max="16" width="6.88671875" style="83" customWidth="1"/>
    <col min="17" max="17" width="4.77734375" style="83" customWidth="1"/>
    <col min="18" max="18" width="13.109375" style="82" customWidth="1"/>
    <col min="19" max="19" width="6.77734375" style="82" customWidth="1"/>
    <col min="20" max="46" width="8.44140625" style="81" customWidth="1"/>
    <col min="47" max="47" width="24.5546875" style="81" customWidth="1"/>
    <col min="48" max="51" width="16.6640625" style="81" customWidth="1"/>
    <col min="52" max="52" width="6.5546875" style="81" customWidth="1"/>
    <col min="53" max="54" width="5.88671875" style="81" customWidth="1"/>
    <col min="55" max="55" width="1.33203125" style="81" customWidth="1"/>
    <col min="56" max="56" width="7.44140625" style="81" customWidth="1"/>
    <col min="57" max="57" width="2.33203125" style="81" customWidth="1"/>
    <col min="58" max="62" width="6.109375" style="81" customWidth="1"/>
    <col min="63" max="63" width="2.33203125" style="81" customWidth="1"/>
    <col min="64" max="64" width="7" style="81" bestFit="1" customWidth="1"/>
    <col min="65" max="65" width="6.44140625" style="81" bestFit="1" customWidth="1"/>
    <col min="66" max="66" width="7.109375" style="81" bestFit="1" customWidth="1"/>
    <col min="67" max="71" width="6.44140625" style="81" bestFit="1" customWidth="1"/>
    <col min="72" max="73" width="6.44140625" style="81" customWidth="1"/>
    <col min="74" max="75" width="13.44140625" style="81" customWidth="1"/>
    <col min="76" max="84" width="14.6640625" style="81" customWidth="1"/>
    <col min="85" max="85" width="6.44140625" style="81" customWidth="1"/>
    <col min="86" max="87" width="11.6640625" style="81" bestFit="1" customWidth="1"/>
    <col min="88" max="88" width="11.6640625" style="81" customWidth="1"/>
    <col min="89" max="89" width="12.77734375" style="81" bestFit="1" customWidth="1"/>
    <col min="90" max="90" width="16.44140625" style="82" bestFit="1" customWidth="1"/>
    <col min="91" max="92" width="14.88671875" style="82" bestFit="1" customWidth="1"/>
    <col min="93" max="93" width="16" style="82" bestFit="1" customWidth="1"/>
    <col min="94" max="97" width="7.77734375" style="81" customWidth="1"/>
    <col min="98" max="98" width="33.21875" style="81" customWidth="1"/>
    <col min="99" max="99" width="18" style="81" customWidth="1"/>
    <col min="100" max="100" width="75.6640625" style="81" customWidth="1"/>
    <col min="101" max="125" width="33" style="81" customWidth="1"/>
    <col min="126" max="126" width="8.88671875" style="81"/>
    <col min="127" max="128" width="9.44140625" style="81" bestFit="1" customWidth="1"/>
    <col min="129" max="129" width="10.77734375" style="81" bestFit="1" customWidth="1"/>
    <col min="130" max="134" width="10.77734375" style="81" customWidth="1"/>
    <col min="135" max="135" width="10.109375" style="81" bestFit="1" customWidth="1"/>
    <col min="136" max="136" width="7.77734375" style="81" bestFit="1" customWidth="1"/>
    <col min="137" max="137" width="7.77734375" style="81" customWidth="1"/>
    <col min="138" max="138" width="9" style="81" bestFit="1" customWidth="1"/>
    <col min="139" max="139" width="11.33203125" style="81" bestFit="1" customWidth="1"/>
    <col min="140" max="140" width="9.109375" style="81" bestFit="1" customWidth="1"/>
    <col min="141" max="141" width="9" style="81" bestFit="1" customWidth="1"/>
    <col min="142" max="142" width="12" style="81" bestFit="1" customWidth="1"/>
    <col min="143" max="166" width="12" style="81" customWidth="1"/>
    <col min="167" max="167" width="17.21875" style="81" customWidth="1"/>
    <col min="168" max="191" width="12" style="81" customWidth="1"/>
    <col min="192" max="192" width="8.5546875" style="81" bestFit="1" customWidth="1"/>
    <col min="193" max="193" width="8.5546875" style="81" customWidth="1"/>
    <col min="194" max="194" width="7.109375" style="81" bestFit="1" customWidth="1"/>
    <col min="195" max="195" width="7.5546875" style="81" bestFit="1" customWidth="1"/>
    <col min="196" max="196" width="8.5546875" style="81" bestFit="1" customWidth="1"/>
    <col min="197" max="200" width="8.5546875" style="81" customWidth="1"/>
    <col min="201" max="201" width="188.88671875" style="81" customWidth="1"/>
    <col min="202" max="202" width="9.5546875" style="81" bestFit="1" customWidth="1"/>
    <col min="203" max="203" width="10.44140625" style="81" bestFit="1" customWidth="1"/>
    <col min="204" max="204" width="11.109375" style="81" bestFit="1" customWidth="1"/>
    <col min="205" max="205" width="10.44140625" style="81" bestFit="1" customWidth="1"/>
    <col min="206" max="210" width="10.44140625" style="81" customWidth="1"/>
    <col min="211" max="211" width="45.44140625" style="81" customWidth="1"/>
    <col min="212" max="212" width="47.5546875" style="81" bestFit="1" customWidth="1"/>
    <col min="213" max="213" width="9.33203125" style="85" customWidth="1"/>
    <col min="214" max="214" width="119.5546875" style="81" customWidth="1"/>
    <col min="215" max="215" width="69.6640625" style="81" customWidth="1"/>
    <col min="216" max="218" width="8.88671875" style="81"/>
    <col min="219" max="219" width="37.109375" style="81" customWidth="1"/>
    <col min="220" max="220" width="16.33203125" style="81" customWidth="1"/>
    <col min="221" max="222" width="8.88671875" style="81"/>
    <col min="223" max="223" width="10.109375" style="81" bestFit="1" customWidth="1"/>
    <col min="224" max="232" width="10.88671875" style="81" customWidth="1"/>
    <col min="233" max="234" width="30.77734375" style="81" customWidth="1"/>
    <col min="235" max="235" width="5.109375" style="81" customWidth="1"/>
    <col min="236" max="236" width="3" style="81" customWidth="1"/>
    <col min="237" max="245" width="6.77734375" style="86" customWidth="1"/>
    <col min="246" max="247" width="8.88671875" style="81"/>
    <col min="248" max="248" width="61.5546875" style="81" customWidth="1"/>
    <col min="249" max="253" width="8.88671875" style="81"/>
    <col min="254" max="254" width="9" style="81" customWidth="1"/>
    <col min="255" max="16384" width="8.88671875" style="8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548</v>
      </c>
      <c r="B2" s="40" t="e" vm="3">
        <v>#VALUE!</v>
      </c>
      <c r="C2" s="41">
        <v>1</v>
      </c>
      <c r="D2" s="42" t="s">
        <v>549</v>
      </c>
      <c r="E2" s="43" t="s">
        <v>550</v>
      </c>
      <c r="F2" s="44" t="s">
        <v>163</v>
      </c>
      <c r="G2" s="45">
        <f>COUNTIF($A$1:$A$8372,A2)</f>
        <v>1</v>
      </c>
      <c r="H2" s="46"/>
      <c r="I2" s="47" t="s">
        <v>551</v>
      </c>
      <c r="J2" s="48" t="str">
        <f>""</f>
        <v/>
      </c>
      <c r="K2" s="49">
        <v>45606480</v>
      </c>
      <c r="L2" s="50">
        <v>3300000</v>
      </c>
      <c r="M2" s="50" t="s">
        <v>555</v>
      </c>
      <c r="N2" s="51" t="s">
        <v>180</v>
      </c>
      <c r="O2" s="52" t="s">
        <v>186</v>
      </c>
      <c r="P2" s="53" t="s">
        <v>552</v>
      </c>
      <c r="Q2" s="54">
        <v>1</v>
      </c>
      <c r="R2" s="55" t="s">
        <v>180</v>
      </c>
      <c r="S2" s="56">
        <v>2</v>
      </c>
      <c r="T2" s="57" t="s">
        <v>164</v>
      </c>
      <c r="U2" s="58" t="s">
        <v>164</v>
      </c>
      <c r="V2" s="58" t="s">
        <v>164</v>
      </c>
      <c r="W2" s="58" t="s">
        <v>167</v>
      </c>
      <c r="X2" s="58" t="s">
        <v>164</v>
      </c>
      <c r="Y2" s="58" t="s">
        <v>164</v>
      </c>
      <c r="Z2" s="58" t="s">
        <v>164</v>
      </c>
      <c r="AA2" s="58" t="s">
        <v>164</v>
      </c>
      <c r="AB2" s="58" t="s">
        <v>164</v>
      </c>
      <c r="AC2" s="58" t="s">
        <v>164</v>
      </c>
      <c r="AD2" s="58" t="s">
        <v>164</v>
      </c>
      <c r="AE2" s="58" t="s">
        <v>167</v>
      </c>
      <c r="AF2" s="59" t="s">
        <v>164</v>
      </c>
      <c r="AG2" s="59" t="s">
        <v>164</v>
      </c>
      <c r="AH2" s="59" t="s">
        <v>167</v>
      </c>
      <c r="AI2" s="59" t="s">
        <v>164</v>
      </c>
      <c r="AJ2" s="59" t="s">
        <v>164</v>
      </c>
      <c r="AK2" s="59" t="s">
        <v>164</v>
      </c>
      <c r="AL2" s="59" t="s">
        <v>164</v>
      </c>
      <c r="AM2" s="59" t="s">
        <v>164</v>
      </c>
      <c r="AN2" s="59" t="s">
        <v>164</v>
      </c>
      <c r="AO2" s="59" t="s">
        <v>164</v>
      </c>
      <c r="AP2" s="59" t="s">
        <v>164</v>
      </c>
      <c r="AQ2" s="59" t="s">
        <v>164</v>
      </c>
      <c r="AR2" s="59" t="s">
        <v>164</v>
      </c>
      <c r="AS2" s="59" t="s">
        <v>164</v>
      </c>
      <c r="AT2" s="60">
        <v>1</v>
      </c>
      <c r="AU2" s="59"/>
      <c r="AV2" s="59" t="str">
        <f>IF(LEFT(A2,1)="[",LEFT(A2,5)&amp;AU2&amp;A2,"")</f>
        <v/>
      </c>
      <c r="AW2" s="59" t="str">
        <f t="shared" ref="AW2" si="0">C2&amp;H2&amp;A2</f>
        <v>1Algeria</v>
      </c>
      <c r="AX2" s="61" t="str">
        <f>_xlfn.TEXTJOIN(";",TRUE,AU2:AW2)</f>
        <v>1Algeria</v>
      </c>
      <c r="AY2" s="61"/>
      <c r="AZ2" s="62" t="s">
        <v>154</v>
      </c>
      <c r="BA2" s="62"/>
      <c r="BB2" s="62"/>
      <c r="BC2" s="63"/>
      <c r="BD2" s="64" t="s">
        <v>169</v>
      </c>
      <c r="BE2" s="47"/>
      <c r="BF2" s="64" t="s">
        <v>153</v>
      </c>
      <c r="BG2" s="64"/>
      <c r="BH2" s="64" t="s">
        <v>159</v>
      </c>
      <c r="BI2" s="64"/>
      <c r="BJ2" s="64"/>
      <c r="BK2" s="47"/>
      <c r="BL2" s="64" t="s">
        <v>154</v>
      </c>
      <c r="BM2" s="64" t="s">
        <v>153</v>
      </c>
      <c r="BN2" s="64" t="s">
        <v>159</v>
      </c>
      <c r="BO2" s="64"/>
      <c r="BP2" s="64"/>
      <c r="BQ2" s="64"/>
      <c r="BR2" s="64"/>
      <c r="BS2" s="64"/>
      <c r="BT2" s="64"/>
      <c r="BU2" s="65"/>
      <c r="BV2" s="66" t="s">
        <v>165</v>
      </c>
      <c r="BW2" s="66" t="s">
        <v>166</v>
      </c>
      <c r="BX2" s="47"/>
      <c r="CB2" s="6" t="s">
        <v>553</v>
      </c>
      <c r="CC2" s="6"/>
      <c r="CD2" s="67">
        <v>0</v>
      </c>
      <c r="CE2" s="67">
        <v>0</v>
      </c>
      <c r="CF2" s="67" t="e">
        <v>#REF!</v>
      </c>
      <c r="CG2" s="68" cm="1">
        <f t="array" ref="CG2">SUMPRODUCT(--(LEN(TRIM(BL2:BT2))&gt;0))</f>
        <v>3</v>
      </c>
      <c r="CH2" s="59" t="str">
        <f>IF(CG2=2,"y","n")</f>
        <v>n</v>
      </c>
      <c r="CI2" s="59" t="str">
        <f>IF(CG2=3,"y","n")</f>
        <v>y</v>
      </c>
      <c r="CJ2" s="59" t="str">
        <f>IF(CG2=4,"y","n")</f>
        <v>n</v>
      </c>
      <c r="CK2" s="59" t="str">
        <f>IF(CG2&gt;4,"y","n")</f>
        <v>n</v>
      </c>
      <c r="CL2" s="59" t="str">
        <f>IF(S2=0,"y","n")</f>
        <v>n</v>
      </c>
      <c r="CM2" s="59" t="str">
        <f>IF(S2=2,"y","n")</f>
        <v>y</v>
      </c>
      <c r="CN2" s="59" t="str">
        <f>IF(S2=3,"y","n")</f>
        <v>n</v>
      </c>
      <c r="CO2" s="59" t="str">
        <f>IF(S2&gt;=4,"y","n")</f>
        <v>n</v>
      </c>
      <c r="CP2" s="59" t="str">
        <f>IF(AT2=0,"y","n")</f>
        <v>n</v>
      </c>
      <c r="CQ2" s="59" t="str">
        <f>IF(AT2=1,"y","n")</f>
        <v>y</v>
      </c>
      <c r="CR2" s="59" t="str">
        <f>IF(AT2=2,"y","n")</f>
        <v>n</v>
      </c>
      <c r="CS2" s="59" t="str">
        <f>IF(AT2&gt;=3,"y","n")</f>
        <v>n</v>
      </c>
      <c r="CT2" s="69" t="str">
        <f>CHAR(34)&amp;A2&amp;CHAR(34)</f>
        <v>"Algeria"</v>
      </c>
      <c r="CU2" s="70" t="str">
        <f>CHAR(34)&amp;"rgn_"&amp;R2&amp;CHAR(34)</f>
        <v>"rgn_Africa"</v>
      </c>
      <c r="CV2" s="48" t="str">
        <f>CHAR(34)&amp;D2&amp;CHAR(34)</f>
        <v>"https://i.ibb.co/k6GbsFg/Algeria-Flag.png"</v>
      </c>
      <c r="CW2" s="48" t="str">
        <f>IF(CH2="y",CHAR(34)&amp;CH$1&amp;CHAR(34)&amp;",","")</f>
        <v/>
      </c>
      <c r="CX2" s="48" t="str">
        <f>IF(CI2="y",CHAR(34)&amp;CI$1&amp;CHAR(34)&amp;",","")</f>
        <v>"3Color",</v>
      </c>
      <c r="CY2" s="48" t="str">
        <f>IF(CJ2="y",CHAR(34)&amp;CJ$1&amp;CHAR(34)&amp;",","")</f>
        <v/>
      </c>
      <c r="CZ2" s="48" t="str">
        <f>IF(CK2="y",CHAR(34)&amp;CK$1&amp;CHAR(34)&amp;",","")</f>
        <v/>
      </c>
      <c r="DA2" s="48" t="str">
        <f>IF(Q2&gt;1,CHAR(34)&amp;"words2"&amp;CHAR(34)&amp;",","")</f>
        <v/>
      </c>
      <c r="DB2" s="48" t="str">
        <f>IF(Q2&gt;2,CHAR(34)&amp;"words3"&amp;CHAR(34)&amp;",","")</f>
        <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"lets07",</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"startA",</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"REEDHI",</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
      </c>
      <c r="DS2" s="6" t="str">
        <f>IF(W2="y",IF(AND(V2="n",BY2&lt;&gt;"y"),CHAR(34)&amp;"allver"&amp;CHAR(34)&amp;",",""),"")</f>
        <v>"allver",</v>
      </c>
      <c r="DT2" s="6" t="str">
        <f>IF(V2="y",IF(AND(W2="n",BY2&lt;&gt;"y"),CHAR(34)&amp;"allhor"&amp;CHAR(34)&amp;",",""),"")</f>
        <v/>
      </c>
      <c r="DU2" s="6" t="str">
        <f>IF(BY2="y",IF(AND(W2="n",V2="n"),CHAR(34)&amp;"alldia"&amp;CHAR(34)&amp;",",""),"")</f>
        <v/>
      </c>
      <c r="DV2" s="48" t="str">
        <f>IF(IA2&lt;&gt;"",(IF(IA2="y",CHAR(34)&amp;"largec"&amp;CHAR(34)&amp;",",CHAR(34)&amp;"smallc"&amp;CHAR(34)&amp;",")),"")</f>
        <v/>
      </c>
      <c r="DW2" s="48" t="str">
        <f>IF(CL2="y",CHAR(34)&amp;CL$1&amp;CHAR(34)&amp;",","")</f>
        <v/>
      </c>
      <c r="DX2" s="48" t="str">
        <f>IF(CM2="y",CHAR(34)&amp;CM$1&amp;CHAR(34)&amp;",","")</f>
        <v>"2Bands",</v>
      </c>
      <c r="DY2" s="48" t="str">
        <f>IF(CN2="y",CHAR(34)&amp;CN$1&amp;CHAR(34)&amp;",","")</f>
        <v/>
      </c>
      <c r="DZ2" s="48" t="str">
        <f>IF(CO2="y",CHAR(34)&amp;CO$1&amp;CHAR(34)&amp;",","")</f>
        <v/>
      </c>
      <c r="EA2" s="48" t="str">
        <f>IF(T2="y",CHAR(34)&amp;T$1&amp;CHAR(34)&amp;",","")</f>
        <v/>
      </c>
      <c r="EB2" s="48" t="str">
        <f>IF(U2="y",CHAR(34)&amp;U$1&amp;CHAR(34)&amp;",","")</f>
        <v/>
      </c>
      <c r="EC2" s="48" t="str">
        <f>IF(V2="y",CHAR(34)&amp;V$1&amp;CHAR(34)&amp;",","")</f>
        <v/>
      </c>
      <c r="ED2" s="48" t="str">
        <f>IF(W2="y",CHAR(34)&amp;W$1&amp;CHAR(34)&amp;",","")</f>
        <v>"Vertic",</v>
      </c>
      <c r="EE2" s="48" t="str">
        <f>IF(X2="y",CHAR(34)&amp;X$1&amp;CHAR(34)&amp;",","")</f>
        <v/>
      </c>
      <c r="EF2" s="48" t="str">
        <f>IF(AND(Y2&lt;&gt;"n",Y2&lt;&gt;""),CHAR(34)&amp;Y$1&amp;CHAR(34)&amp;",","")</f>
        <v/>
      </c>
      <c r="EG2" s="48" t="str">
        <f>IF(Z2="y",CHAR(34)&amp;Z$1&amp;CHAR(34)&amp;",","")</f>
        <v/>
      </c>
      <c r="EH2" s="48" t="str">
        <f>IF(AA2="y",CHAR(34)&amp;AA$1&amp;CHAR(34)&amp;",","")</f>
        <v/>
      </c>
      <c r="EI2" s="48" t="str">
        <f>IF(AB2="y",CHAR(34)&amp;AB$1&amp;CHAR(34)&amp;",","")</f>
        <v/>
      </c>
      <c r="EJ2" s="48" t="str">
        <f>IF(AC2="y",CHAR(34)&amp;AC$1&amp;CHAR(34)&amp;",","")</f>
        <v/>
      </c>
      <c r="EK2" s="48" t="str">
        <f>IF(AD2="y",CHAR(34)&amp;AD$1&amp;CHAR(34)&amp;",","")</f>
        <v/>
      </c>
      <c r="EL2" s="48" t="str">
        <f>IF(AE2="y",CHAR(34)&amp;AE$1&amp;CHAR(34)&amp;",","")</f>
        <v>"IsMoon",</v>
      </c>
      <c r="EM2" s="48" t="str">
        <f>IF(AF2="y",CHAR(34)&amp;AF$1&amp;CHAR(34)&amp;",","")</f>
        <v/>
      </c>
      <c r="EN2" s="48" t="str">
        <f>IF(AG2="y",CHAR(34)&amp;AG$1&amp;CHAR(34)&amp;",","")</f>
        <v/>
      </c>
      <c r="EO2" s="48" t="str">
        <f>IF(AH2="y",CHAR(34)&amp;AH$1&amp;CHAR(34)&amp;",","")</f>
        <v>"Center",</v>
      </c>
      <c r="EP2" s="48" t="str">
        <f>IF(AI2="y",CHAR(34)&amp;AI$1&amp;CHAR(34)&amp;",","")</f>
        <v/>
      </c>
      <c r="EQ2" s="48" t="str">
        <f>IF(AJ2="y",CHAR(34)&amp;AJ$1&amp;CHAR(34)&amp;",","")</f>
        <v/>
      </c>
      <c r="ER2" s="48" t="str">
        <f>IF(AK2="y",CHAR(34)&amp;AK$1&amp;CHAR(34)&amp;",","")</f>
        <v/>
      </c>
      <c r="ES2" s="48" t="str">
        <f>IF(AL2="y",CHAR(34)&amp;AL$1&amp;CHAR(34)&amp;",","")</f>
        <v/>
      </c>
      <c r="ET2" s="48" t="str">
        <f>IF(AM2="y",CHAR(34)&amp;AM$1&amp;CHAR(34)&amp;",","")</f>
        <v/>
      </c>
      <c r="EU2" s="48" t="str">
        <f>IF(AN2="y",CHAR(34)&amp;AN$1&amp;CHAR(34)&amp;",","")</f>
        <v/>
      </c>
      <c r="EV2" s="48" t="str">
        <f>IF(AO2="y",CHAR(34)&amp;AO$1&amp;CHAR(34)&amp;",","")</f>
        <v/>
      </c>
      <c r="EW2" s="48" t="str">
        <f>IF(AP2="y",CHAR(34)&amp;AP$1&amp;CHAR(34)&amp;",","")</f>
        <v/>
      </c>
      <c r="EX2" s="48" t="str">
        <f>IF(AQ2="y",CHAR(34)&amp;AQ$1&amp;CHAR(34)&amp;",","")</f>
        <v/>
      </c>
      <c r="EY2" s="48" t="str">
        <f>IF(AR2="y",CHAR(34)&amp;AR$1&amp;CHAR(34)&amp;",","")</f>
        <v/>
      </c>
      <c r="EZ2" s="48" t="str">
        <f>IF(AS2="y",CHAR(34)&amp;AS$1&amp;CHAR(34)&amp;",","")</f>
        <v/>
      </c>
      <c r="FA2" s="48" t="str">
        <f>IF(AT2&gt;0,CHAR(34)&amp;"sta"&amp;AZ2&amp;CHAR(34)&amp;",","")</f>
        <v>"staRED",</v>
      </c>
      <c r="FB2" s="48" t="str">
        <f>IF(AND(AT2&gt;0,BA2&lt;&gt;""),CHAR(34)&amp;"sta"&amp;BA2&amp;CHAR(34)&amp;",","")</f>
        <v/>
      </c>
      <c r="FC2" s="48" t="str">
        <f>IF(AND(AT2&gt;0,BB2&lt;&gt;""),CHAR(34)&amp;"sta"&amp;BB2&amp;CHAR(34)&amp;",","")</f>
        <v/>
      </c>
      <c r="FD2" s="48" t="str">
        <f>IF(BV2="n",CHAR(34)&amp;"tcWHYE"&amp;CHAR(34)&amp;",",IF(BV2="y",CHAR(34)&amp;FD$1&amp;CHAR(34)&amp;",",""))</f>
        <v/>
      </c>
      <c r="FE2" s="48" t="str">
        <f>IF(COUNTIF(BL2:BT2,"BLU")=0,CHAR(34)&amp;"NO_BLU"&amp;CHAR(34)&amp;",", "")</f>
        <v>"NO_BLU",</v>
      </c>
      <c r="FF2" s="48" t="str">
        <f>IF(COUNTIF(BL2:BT2,"WHI")=0,CHAR(34)&amp;"NO_WHI"&amp;CHAR(34)&amp;",", "")</f>
        <v/>
      </c>
      <c r="FG2" s="48" t="str">
        <f>IF(COUNTIF(BL2:BT2,"RED")=0,CHAR(34)&amp;"NO_RED"&amp;CHAR(34)&amp;",", "")</f>
        <v/>
      </c>
      <c r="FH2" s="48" t="str">
        <f>IF(COUNTIF(BL2:BS2,"GRE")=0,CHAR(34)&amp;"NO_GRE"&amp;CHAR(34)&amp;",", "")</f>
        <v/>
      </c>
      <c r="FI2" s="48" t="str">
        <f>IF(COUNTIF(BL2:BT2,"YEL")=0,CHAR(34)&amp;"NO_YEL"&amp;CHAR(34)&amp;",", "")</f>
        <v>"NO_YEL",</v>
      </c>
      <c r="FJ2" s="48" t="str">
        <f>IF(COUNTIF(BL2:BT2,"BLA")=0,CHAR(34)&amp;"NO_BLA"&amp;CHAR(34)&amp;",", "")</f>
        <v>"NO_BLA",</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
      </c>
      <c r="FP2" s="48" t="str">
        <f>IF(AND(FF2&lt;&gt;"",FF2&lt;&gt;""),CHAR(34)&amp;"WHRENO"&amp;CHAR(34)&amp;",","")</f>
        <v/>
      </c>
      <c r="FQ2" s="48" t="str">
        <f>IF(LEN(BF2)=3,CHAR(34)&amp;"001"&amp;BF2&amp;CHAR(34)&amp;",","")</f>
        <v>"001GRE",</v>
      </c>
      <c r="FR2" s="48" t="str">
        <f>IF(LEN(BG2)=3,CHAR(34)&amp;"002"&amp;BG2&amp;CHAR(34)&amp;",","")</f>
        <v/>
      </c>
      <c r="FS2" s="48" t="str">
        <f>IF(LEN(BH2)=3,CHAR(34)&amp;"003"&amp;BH2&amp;CHAR(34)&amp;",","")</f>
        <v>"003WHI",</v>
      </c>
      <c r="FT2" s="48" t="str">
        <f>CHAR(34)&amp;"myr"&amp;BD2&amp;CHAR(34)&amp;","</f>
        <v>"myrEQ",</v>
      </c>
      <c r="FU2" s="48" t="str">
        <f>IF(AY2="y",CHAR(34)&amp;"island"&amp;CHAR(34)&amp;",","")</f>
        <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"arabic",</v>
      </c>
      <c r="FZ2" s="48" t="str">
        <f>IFERROR(IF(SEARCH("English",CB2)&gt;0,CHAR(34)&amp;"englis"&amp;CHAR(34)&amp;",",""),"")</f>
        <v/>
      </c>
      <c r="GA2" s="48" t="str">
        <f>IFERROR(IF(SEARCH("French",CB2)&gt;0,CHAR(34)&amp;"french"&amp;CHAR(34)&amp;",",""),"")</f>
        <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
      </c>
      <c r="GK2" s="48" t="str">
        <f>IF(GJ2="",CHAR(34)&amp;"HasSta"&amp;CHAR(34)&amp;",","")</f>
        <v>"HasSta",</v>
      </c>
      <c r="GL2" s="48" t="str">
        <f>IF(CQ2="y",CHAR(34)&amp;CQ$1&amp;CHAR(34)&amp;",","")</f>
        <v>"1Stars",</v>
      </c>
      <c r="GM2" s="48" t="str">
        <f>IF(CR2="y",CHAR(34)&amp;CR$1&amp;CHAR(34)&amp;",","")</f>
        <v/>
      </c>
      <c r="GN2" s="48" t="str">
        <f>IF(CS2="y",CHAR(34)&amp;CS$1&amp;CHAR(34)&amp;",","")</f>
        <v/>
      </c>
      <c r="GP2" s="48" t="str">
        <f>CHAR(34)&amp;AU2&amp;CHAR(34)</f>
        <v>""</v>
      </c>
      <c r="GS2" s="48" t="str">
        <f>SUBSTITUTE("["&amp;_xlfn.CONCAT(CW2:GN2)&amp;"]",",]","]")</f>
        <v>["3Color","lets07","startA","REEDHI","year19","allver","2Bands","Vertic","IsMoon","Center","staRED","NO_BLU","NO_YEL","NO_BLA","001GRE","003WHI","myrEQ","arabic","HasSta","1Stars"]</v>
      </c>
      <c r="GT2" s="48" t="str">
        <f>IF(BL2&lt;&gt;"",CHAR(34)&amp;"cl_"&amp;BL2&amp;CHAR(34)&amp;",","")</f>
        <v>"cl_RED",</v>
      </c>
      <c r="GU2" s="48" t="str">
        <f>IF(BM2&lt;&gt;"",CHAR(34)&amp;"cl_"&amp;BM2&amp;CHAR(34)&amp;",","")</f>
        <v>"cl_GRE",</v>
      </c>
      <c r="GV2" s="48" t="str">
        <f>IF(BN2&lt;&gt;"",CHAR(34)&amp;"cl_"&amp;BN2&amp;CHAR(34)&amp;",","")</f>
        <v>"cl_WHI",</v>
      </c>
      <c r="GW2" s="48" t="str">
        <f>IF(BO2&lt;&gt;"",CHAR(34)&amp;"cl_"&amp;BO2&amp;CHAR(34)&amp;",","")</f>
        <v/>
      </c>
      <c r="GX2" s="48" t="str">
        <f>IF(BP2&lt;&gt;"",CHAR(34)&amp;"cl_"&amp;BP2&amp;CHAR(34)&amp;",","")</f>
        <v/>
      </c>
      <c r="GY2" s="48" t="str">
        <f>IF(BQ2&lt;&gt;"",CHAR(34)&amp;"cl_"&amp;BQ2&amp;CHAR(34)&amp;",","")</f>
        <v/>
      </c>
      <c r="GZ2" s="48" t="str">
        <f>IF(BR2&lt;&gt;"",CHAR(34)&amp;"cl_"&amp;BR2&amp;CHAR(34)&amp;",","")</f>
        <v/>
      </c>
      <c r="HA2" s="48" t="str">
        <f>IF(BS2&lt;&gt;"",CHAR(34)&amp;"cl_"&amp;BS2&amp;CHAR(34)&amp;",","")</f>
        <v/>
      </c>
      <c r="HB2" s="48" t="str">
        <f>IF(BT2&lt;&gt;"",CHAR(34)&amp;"cl_"&amp;BT2&amp;CHAR(34)&amp;",","")</f>
        <v/>
      </c>
      <c r="HC2" s="48" t="str">
        <f>SUBSTITUTE("["&amp;_xlfn.CONCAT(GT2:HB2)&amp;"]",",]","]")</f>
        <v>["cl_RED","cl_GRE","cl_WHI"]</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{couname:"Algeria",year:"1962 ",region:"rgn_Africa",Colors:["cl_RED","cl_GRE","cl_WHI"],Items:["3Color","lets07","startA","REEDHI","year19","allver","2Bands","Vertic","IsMoon","Center","staRED","NO_BLU","NO_YEL","NO_BLA","001GRE","003WHI","myrEQ","arabic","HasSta","1Stars"],Flag:"https://i.ibb.co/k6GbsFg/Algeria-Flag.png",HDFlag:"https://upload.wikimedia.org/wikipedia/commons/thumb/7/77/Flag_of_Algeria.svg/2560px-Flag_of_Algeria.svg.png",type:"", describe: "\nThe flag aims to highlight Algeria's cultural heritage, but there are different interpretations of its elements. According to Malek Chebel, green represents Islam and white represents purity.For Pierre Lux-Wurm, green and white bring to mind the ancient banners of Islam from the time of the Prophet Muhammad, while the crescent and star can be seen as symbols of light. According to Khaled Merzouk, the green stripe represents the earth and agriculture, the white stripe represents peace and the crescent and star are symbols of Islam. The star represents the five pillars of Islam. Benjamin Stora suggests that the three colors of the flag originally represented the three countries of the Maghreb and the ideas of union.", isnew:".", links: "https://en.wikipedia.org/wiki/Flag_of_Algeria"},</v>
      </c>
      <c r="HG2" s="73" t="str">
        <f>"{couname:"&amp;CT2&amp;(IF(HK2&lt;&gt;"",",subtype:"&amp;CHAR(34)&amp;HK2&amp;CHAR(34),""))&amp;",year:"&amp;HJ2&amp;",region:"&amp;CU2&amp;",Colors:"&amp;HC2&amp;",Items:"&amp;GS2&amp;",Flag:"&amp;CV2&amp;",HDFlag:"&amp;CHAR(34)&amp;E2&amp;CHAR(34)&amp;",type:"&amp;GP2&amp;", describe: "&amp;HI2&amp;", links: "&amp;HL2&amp;"},"</f>
        <v>{couname:"Algeria",year:"1962 ",region:"rgn_Africa",Colors:["cl_RED","cl_GRE","cl_WHI"],Items:["3Color","lets07","startA","REEDHI","year19","allver","2Bands","Vertic","IsMoon","Center","staRED","NO_BLU","NO_YEL","NO_BLA","001GRE","003WHI","myrEQ","arabic","HasSta","1Stars"],Flag:"https://i.ibb.co/k6GbsFg/Algeria-Flag.png",HDFlag:"https://upload.wikimedia.org/wikipedia/commons/thumb/7/77/Flag_of_Algeria.svg/2560px-Flag_of_Algeria.svg.png",type:"", describe: "\nThe flag aims to highlight Algeria's cultural heritage, but there are different interpretations of its elements. According to Malek Chebel, green represents Islam and white represents purity.For Pierre Lux-Wurm, green and white bring to mind the ancient banners of Islam from the time of the Prophet Muhammad, while the crescent and star can be seen as symbols of light. According to Khaled Merzouk, the green stripe represents the earth and agriculture, the white stripe represents peace and the crescent and star are symbols of Islam. The star represents the five pillars of Islam. Benjamin Stora suggests that the three colors of the flag originally represented the three countries of the Maghreb and the ideas of union.", links: "https://en.wikipedia.org/wiki/Flag_of_Algeria"},</v>
      </c>
      <c r="HH2" s="48" t="str">
        <f>IF(P2&lt;&gt;"",CHAR(34)&amp;"\n"&amp;P2&amp;CHAR(34),CHAR(34)&amp;CHAR(34))</f>
        <v>"\nThe flag aims to highlight Algeria's cultural heritage, but there are different interpretations of its elements. According to Malek Chebel, green represents Islam and white represents purity.For Pierre Lux-Wurm, green and white bring to mind the ancient banners of Islam from the time of the Prophet Muhammad, while the crescent and star can be seen as symbols of light. According to Khaled Merzouk, the green stripe represents the earth and agriculture, the white stripe represents peace and the crescent and star are symbols of Islam. The star represents the five pillars of Islam. Benjamin Stora suggests that the three colors of the flag originally represented the three countries of the Maghreb and the ideas of union."</v>
      </c>
      <c r="HI2" s="48" t="str">
        <f>IF(J2=0,CHAR(34)&amp;CHAR(34),HH2)</f>
        <v>"\nThe flag aims to highlight Algeria's cultural heritage, but there are different interpretations of its elements. According to Malek Chebel, green represents Islam and white represents purity.For Pierre Lux-Wurm, green and white bring to mind the ancient banners of Islam from the time of the Prophet Muhammad, while the crescent and star can be seen as symbols of light. According to Khaled Merzouk, the green stripe represents the earth and agriculture, the white stripe represents peace and the crescent and star are symbols of Islam. The star represents the five pillars of Islam. Benjamin Stora suggests that the three colors of the flag originally represented the three countries of the Maghreb and the ideas of union."</v>
      </c>
      <c r="HJ2" s="48" t="str">
        <f>CHAR(34)&amp;O2&amp;CHAR(34)</f>
        <v>"1962 "</v>
      </c>
      <c r="HL2" s="48" t="str">
        <f>CHAR(34)&amp;I2&amp;CHAR(34)</f>
        <v>"https://en.wikipedia.org/wiki/Flag_of_Algeria"</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{"couname":"Algeria","year":"1962 ","region":"rgn_Africa","Colors":["cl_RED","cl_GRE","cl_WHI"],"Items":["3Color","lets07","startA","REEDHI","year19","allver","2Bands","Vertic","IsMoon","Center","staRED","NO_BLU","NO_YEL","NO_BLA","001GRE","003WHI","myrEQ","arabic","HasSta","1Stars"],"Flag":"https://i.ibb.co/k6GbsFg/Algeria-Flag.png","HDFlag":"https://upload.wikimedia.org/wikipedia/commons/thumb/7/77/Flag_of_Algeria.svg/2560px-Flag_of_Algeria.svg.png","type":"", "describe": "\nThe flag aims to highlight Algeria's cultural heritage, but there are different interpretations of its elements. According to Malek Chebel, green represents Islam and white represents purity.For Pierre Lux-Wurm, green and white bring to mind the ancient banners of Islam from the time of the Prophet Muhammad, while the crescent and star can be seen as symbols of light. According to Khaled Merzouk, the green stripe represents the earth and agriculture, the white stripe represents peace and the crescent and star are symbols of Islam. The star represents the five pillars of Islam. Benjamin Stora suggests that the three colors of the flag originally represented the three countries of the Maghreb and the ideas of union.", "isnew": ".", "links": "https://en.wikipedia.org/wiki/Flag_of_Algeria"},</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{"couname":"Algeria","year":"1962 ","region":"rgn_Africa","Colors":["cl_RED","cl_GRE","cl_WHI"],"Items":["3Color","lets07","startA","REEDHI","year19","allver","2Bands","Vertic","IsMoon","Center","staRED","NO_BLU","NO_YEL","NO_BLA","001GRE","003WHI","myrEQ","arabic","HasSta","1Stars"],"Flag":"https://i.ibb.co/k6GbsFg/Algeria-Flag.png","HDFlag":"https://upload.wikimedia.org/wikipedia/commons/thumb/7/77/Flag_of_Algeria.svg/2560px-Flag_of_Algeria.svg.png","type":"", "describe": "\nThe flag aims to highlight Algeria's cultural heritage, but there are different interpretations of its elements. According to Malek Chebel, green represents Islam and white represents purity.For Pierre Lux-Wurm, green and white bring to mind the ancient banners of Islam from the time of the Prophet Muhammad, while the crescent and star can be seen as symbols of light. According to Khaled Merzouk, the green stripe represents the earth and agriculture, the white stripe represents peace and the crescent and star are symbols of Islam. The star represents the five pillars of Islam. Benjamin Stora suggests that the three colors of the flag originally represented the three countries of the Maghreb and the ideas of union.", "isnew": ".", "links": "https://en.wikipedia.org/wiki/Flag_of_Algeria"},</v>
      </c>
      <c r="HO2" s="75"/>
      <c r="HP2" s="48" t="str" cm="1">
        <f t="array" ref="HP2">IF(_xlfn.TEXTJOIN(", ", TRUE, IF(ISNUMBER(SEARCH("BLA", BL2:BT2)), COLUMN(BL2:BT2) - COLUMN(BL2) + 1, ""))&lt;&gt;"","BLA","")</f>
        <v/>
      </c>
      <c r="HQ2" s="48" t="str" cm="1">
        <f t="array" ref="HQ2">IF(_xlfn.TEXTJOIN(", ", TRUE, IF(ISNUMBER(SEARCH("BLU", BL2:BT2)), COLUMN(BL2:BT2) - COLUMN(BL2) + 1, ""))&lt;&gt;"","BLU","")</f>
        <v/>
      </c>
      <c r="HR2" s="48" t="str" cm="1">
        <f t="array" ref="HR2">IF(_xlfn.TEXTJOIN(", ", TRUE, IF(ISNUMBER(SEARCH("GRE", BL2:BT2)), COLUMN(BL2:BT2) - COLUMN(BL2) + 1, ""))&lt;&gt;"","GRE","")</f>
        <v>GRE</v>
      </c>
      <c r="HS2" s="48" t="str" cm="1">
        <f t="array" ref="HS2">IF(_xlfn.TEXTJOIN(", ", TRUE, IF(ISNUMBER(SEARCH("RED", BL2:BT2)), COLUMN(BL2:BT2) - COLUMN(BL2) + 1, ""))&lt;&gt;"","RED","")</f>
        <v>RED</v>
      </c>
      <c r="HT2" s="48" t="str" cm="1">
        <f t="array" ref="HT2">IF(_xlfn.TEXTJOIN(", ", TRUE, IF(ISNUMBER(SEARCH("YEL", BL2:BT2)), COLUMN(BL2:BT2) - COLUMN(BL2) + 1, ""))&lt;&gt;"","YEL","")</f>
        <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c r="IB2" s="6"/>
      <c r="IC2" s="77">
        <v>0</v>
      </c>
      <c r="ID2" s="77">
        <v>0</v>
      </c>
      <c r="IE2" s="77">
        <v>0.06</v>
      </c>
      <c r="IF2" s="77">
        <v>0.48</v>
      </c>
      <c r="IG2" s="77">
        <v>0</v>
      </c>
      <c r="IH2" s="77">
        <v>0</v>
      </c>
      <c r="II2" s="77">
        <v>0.46</v>
      </c>
      <c r="IJ2" s="77">
        <v>0</v>
      </c>
      <c r="IK2" s="77">
        <v>0</v>
      </c>
      <c r="IL2" s="48">
        <f>SUM(IC2:IK2)</f>
        <v>1</v>
      </c>
      <c r="IM2" s="45">
        <f>COUNTIF(IC2:IK2,"&gt;0")-CG2</f>
        <v>0</v>
      </c>
      <c r="IN2" s="78" t="str">
        <f>"http://mkweb.bcgsc.ca/color-summarizer/?url="&amp;D2&amp;"&amp;precision=low&amp;num_clusters="&amp;CG2&amp;"&amp;text=1"</f>
        <v>http://mkweb.bcgsc.ca/color-summarizer/?url=https://i.ibb.co/k6GbsFg/Algeria-Flag.png&amp;precision=low&amp;num_clusters=3&amp;text=1</v>
      </c>
      <c r="IO2" s="48" t="str">
        <f>IF(HP2&lt;&gt;"",CHAR(34)&amp;"black"&amp;CHAR(34),"")</f>
        <v/>
      </c>
      <c r="IP2" s="48" t="str">
        <f>IF(HQ2&lt;&gt;"",CHAR(34)&amp;"blue"&amp;CHAR(34),"")</f>
        <v/>
      </c>
      <c r="IQ2" s="48" t="str">
        <f>IF(HR2&lt;&gt;"",CHAR(34)&amp;"green"&amp;CHAR(34),"")</f>
        <v>"green"</v>
      </c>
      <c r="IR2" s="48" t="str">
        <f>IF(HS2&lt;&gt;"",CHAR(34)&amp;"red"&amp;CHAR(34),"")</f>
        <v>"red"</v>
      </c>
      <c r="IS2" s="48" t="str">
        <f>IF(HT2&lt;&gt;"",CHAR(34)&amp;"yellow"&amp;CHAR(34),"")</f>
        <v/>
      </c>
      <c r="IT2" s="48" t="str">
        <f>IF(HU2&lt;&gt;"",CHAR(34)&amp;"orange"&amp;CHAR(34),"")</f>
        <v/>
      </c>
      <c r="IU2" s="48" t="str">
        <f>IF(HV2&lt;&gt;"",CHAR(34)&amp;"brown"&amp;CHAR(34),"")</f>
        <v/>
      </c>
      <c r="IV2" s="48" t="str">
        <f>IF(HW2&lt;&gt;"",CHAR(34)&amp;"purple"&amp;CHAR(34),"")</f>
        <v/>
      </c>
      <c r="IW2" s="48" t="str">
        <f>IF(HX2&lt;&gt;"",CHAR(34)&amp;"white"&amp;CHAR(34),"")</f>
        <v>"white"</v>
      </c>
      <c r="IX2" s="48" t="str">
        <f>"{"&amp;CHAR(34)&amp;"url"&amp;CHAR(34)&amp;":"&amp;CHAR(34)&amp;IN2&amp;CHAR(34)&amp;","&amp;CHAR(34)&amp;"name"&amp;CHAR(34)&amp;":"&amp;CHAR(34)&amp;A2&amp;CHAR(34)&amp;"},"</f>
        <v>{"url":"http://mkweb.bcgsc.ca/color-summarizer/?url=https://i.ibb.co/k6GbsFg/Algeria-Flag.png&amp;precision=low&amp;num_clusters=3&amp;text=1","name":"Algeria"},</v>
      </c>
      <c r="IY2" s="48">
        <v>5</v>
      </c>
    </row>
    <row r="3" spans="1:259" s="48" customFormat="1" ht="38.4" customHeight="1" thickBot="1" x14ac:dyDescent="0.35">
      <c r="A3" s="79" t="s">
        <v>535</v>
      </c>
      <c r="B3" s="40" t="e" vm="4">
        <v>#VALUE!</v>
      </c>
      <c r="C3" s="41">
        <v>2</v>
      </c>
      <c r="D3" s="42" t="s">
        <v>536</v>
      </c>
      <c r="E3" s="43" t="s">
        <v>537</v>
      </c>
      <c r="F3" s="44" t="s">
        <v>163</v>
      </c>
      <c r="G3" s="45">
        <f>COUNTIF($A$1:$A$8385,A3)</f>
        <v>1</v>
      </c>
      <c r="H3" s="46"/>
      <c r="I3" s="47" t="s">
        <v>538</v>
      </c>
      <c r="J3" s="48" t="str">
        <f>""</f>
        <v/>
      </c>
      <c r="K3" s="49"/>
      <c r="L3" s="50"/>
      <c r="M3" s="50"/>
      <c r="N3" s="51" t="s">
        <v>180</v>
      </c>
      <c r="O3" s="52" t="s">
        <v>186</v>
      </c>
      <c r="P3" s="53" t="s">
        <v>539</v>
      </c>
      <c r="Q3" s="54">
        <v>1</v>
      </c>
      <c r="R3" s="55" t="s">
        <v>180</v>
      </c>
      <c r="S3" s="56">
        <v>2</v>
      </c>
      <c r="T3" s="57" t="s">
        <v>167</v>
      </c>
      <c r="U3" s="58" t="s">
        <v>164</v>
      </c>
      <c r="V3" s="58" t="s">
        <v>164</v>
      </c>
      <c r="W3" s="58" t="s">
        <v>167</v>
      </c>
      <c r="X3" s="58" t="s">
        <v>164</v>
      </c>
      <c r="Y3" s="58" t="s">
        <v>540</v>
      </c>
      <c r="Z3" s="58" t="s">
        <v>164</v>
      </c>
      <c r="AA3" s="58" t="s">
        <v>167</v>
      </c>
      <c r="AB3" s="58" t="s">
        <v>164</v>
      </c>
      <c r="AC3" s="58" t="s">
        <v>164</v>
      </c>
      <c r="AD3" s="58" t="s">
        <v>164</v>
      </c>
      <c r="AE3" s="58" t="s">
        <v>167</v>
      </c>
      <c r="AF3" s="59" t="s">
        <v>164</v>
      </c>
      <c r="AG3" s="59" t="s">
        <v>164</v>
      </c>
      <c r="AH3" s="59" t="s">
        <v>167</v>
      </c>
      <c r="AI3" s="59" t="s">
        <v>164</v>
      </c>
      <c r="AJ3" s="59" t="s">
        <v>164</v>
      </c>
      <c r="AK3" s="59" t="s">
        <v>164</v>
      </c>
      <c r="AL3" s="59" t="s">
        <v>164</v>
      </c>
      <c r="AM3" s="59" t="s">
        <v>164</v>
      </c>
      <c r="AN3" s="59" t="s">
        <v>164</v>
      </c>
      <c r="AO3" s="59" t="s">
        <v>167</v>
      </c>
      <c r="AP3" s="59" t="s">
        <v>167</v>
      </c>
      <c r="AQ3" s="59" t="s">
        <v>164</v>
      </c>
      <c r="AR3" s="59" t="s">
        <v>164</v>
      </c>
      <c r="AS3" s="59" t="s">
        <v>164</v>
      </c>
      <c r="AT3" s="60">
        <v>1</v>
      </c>
      <c r="AU3" s="59" t="s">
        <v>171</v>
      </c>
      <c r="AV3" s="59" t="str">
        <f>IF(LEFT(A3,1)="[",LEFT(A3,5)&amp;AU3&amp;A3,"")</f>
        <v>[ALG]Capital City[ALG] Algiers</v>
      </c>
      <c r="AW3" s="59" t="str">
        <f t="shared" ref="AW3:AW4" si="1">C3&amp;H3&amp;A3</f>
        <v>2[ALG] Algiers</v>
      </c>
      <c r="AX3" s="61"/>
      <c r="AY3" s="61"/>
      <c r="AZ3" s="62" t="s">
        <v>154</v>
      </c>
      <c r="BA3" s="62"/>
      <c r="BB3" s="62"/>
      <c r="BC3" s="63"/>
      <c r="BD3" s="64" t="s">
        <v>169</v>
      </c>
      <c r="BE3" s="47"/>
      <c r="BF3" s="64" t="s">
        <v>152</v>
      </c>
      <c r="BG3" s="64" t="s">
        <v>541</v>
      </c>
      <c r="BH3" s="64" t="s">
        <v>153</v>
      </c>
      <c r="BI3" s="64"/>
      <c r="BJ3" s="64"/>
      <c r="BK3" s="47"/>
      <c r="BL3" s="64" t="s">
        <v>152</v>
      </c>
      <c r="BM3" s="64" t="s">
        <v>153</v>
      </c>
      <c r="BN3" s="64" t="s">
        <v>155</v>
      </c>
      <c r="BO3" s="64" t="s">
        <v>154</v>
      </c>
      <c r="BP3" s="64" t="s">
        <v>151</v>
      </c>
      <c r="BQ3" s="64" t="s">
        <v>542</v>
      </c>
      <c r="BR3" s="64"/>
      <c r="BS3" s="64"/>
      <c r="BT3" s="64"/>
      <c r="BU3" s="65"/>
      <c r="BV3" s="66"/>
      <c r="BW3" s="66">
        <v>0</v>
      </c>
      <c r="BX3" s="47"/>
      <c r="BY3" s="48" t="s">
        <v>164</v>
      </c>
      <c r="CB3" s="6"/>
      <c r="CC3" s="6"/>
      <c r="CD3" s="67">
        <v>0</v>
      </c>
      <c r="CE3" s="67">
        <v>0</v>
      </c>
      <c r="CF3" s="67" t="e">
        <v>#REF!</v>
      </c>
      <c r="CG3" s="68" cm="1">
        <f t="array" ref="CG3">SUMPRODUCT(--(LEN(TRIM(BL3:BT3))&gt;0))</f>
        <v>6</v>
      </c>
      <c r="CH3" s="59" t="str">
        <f>IF(CG3=2,"y","n")</f>
        <v>n</v>
      </c>
      <c r="CI3" s="59" t="str">
        <f>IF(CG3=3,"y","n")</f>
        <v>n</v>
      </c>
      <c r="CJ3" s="59" t="str">
        <f>IF(CG3=4,"y","n")</f>
        <v>n</v>
      </c>
      <c r="CK3" s="59" t="str">
        <f>IF(CG3&gt;4,"y","n")</f>
        <v>y</v>
      </c>
      <c r="CL3" s="59" t="str">
        <f>IF(S3=0,"y","n")</f>
        <v>n</v>
      </c>
      <c r="CM3" s="59" t="str">
        <f>IF(S3=2,"y","n")</f>
        <v>y</v>
      </c>
      <c r="CN3" s="59" t="str">
        <f>IF(S3=3,"y","n")</f>
        <v>n</v>
      </c>
      <c r="CO3" s="59" t="str">
        <f>IF(S3&gt;=4,"y","n")</f>
        <v>n</v>
      </c>
      <c r="CP3" s="59" t="str">
        <f>IF(AT3=0,"y","n")</f>
        <v>n</v>
      </c>
      <c r="CQ3" s="59" t="str">
        <f>IF(AT3=1,"y","n")</f>
        <v>y</v>
      </c>
      <c r="CR3" s="59" t="str">
        <f>IF(AT3=2,"y","n")</f>
        <v>n</v>
      </c>
      <c r="CS3" s="59" t="str">
        <f>IF(AT3&gt;=3,"y","n")</f>
        <v>n</v>
      </c>
      <c r="CT3" s="69" t="str">
        <f>CHAR(34)&amp;A3&amp;CHAR(34)</f>
        <v>"[ALG] Algiers"</v>
      </c>
      <c r="CU3" s="70" t="str">
        <f>CHAR(34)&amp;"rgn_"&amp;R3&amp;CHAR(34)</f>
        <v>"rgn_Africa"</v>
      </c>
      <c r="CV3" s="48" t="str">
        <f>CHAR(34)&amp;D3&amp;CHAR(34)</f>
        <v>"https://upload.wikimedia.org/wikipedia/commons/thumb/c/c6/Flag_of_Algiers.svg/640px-Flag_of_Algiers.svg.png"</v>
      </c>
      <c r="CW3" s="48" t="str">
        <f>IF(CH3="y",CHAR(34)&amp;CH$1&amp;CHAR(34)&amp;",","")</f>
        <v/>
      </c>
      <c r="CX3" s="48" t="str">
        <f>IF(CI3="y",CHAR(34)&amp;CI$1&amp;CHAR(34)&amp;",","")</f>
        <v/>
      </c>
      <c r="CY3" s="48" t="str">
        <f>IF(CJ3="y",CHAR(34)&amp;CJ$1&amp;CHAR(34)&amp;",","")</f>
        <v/>
      </c>
      <c r="CZ3" s="48" t="str">
        <f>IF(CK3="y",CHAR(34)&amp;CK$1&amp;CHAR(34)&amp;",","")</f>
        <v>"5+Colo",</v>
      </c>
      <c r="DA3" s="48" t="str">
        <f>IF(Q3&gt;1,CHAR(34)&amp;"words2"&amp;CHAR(34)&amp;",","")</f>
        <v/>
      </c>
      <c r="DB3" s="48" t="str">
        <f>IF(Q3&gt;2,CHAR(34)&amp;"words3"&amp;CHAR(34)&amp;",","")</f>
        <v/>
      </c>
      <c r="DC3" s="48" t="str">
        <f>IF(Q3=2,CHAR(34)&amp;"exact2"&amp;CHAR(34)&amp;",","")</f>
        <v/>
      </c>
      <c r="DD3" s="48" t="str">
        <f>IF(LEN(CHAR(34)&amp;"lets"&amp;LEN(SUBSTITUTE(SUBSTITUTE(IFERROR(TRIM(SUBSTITUTE(SUBSTITUTE(SUBSTITUTE(IFERROR(TRIM(SUBSTITUTE(A3,MID(A3,FIND("(",A3),FIND(")",A3)-FIND("(",A3)+1),"")),A3),"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",""),"-",""))&amp;CHAR(34)&amp;",")=9,CHAR(34)&amp;"lets"&amp;LEN(SUBSTITUTE(SUBSTITUTE(IFERROR(TRIM(SUBSTITUTE(SUBSTITUTE(SUBSTITUTE(IFERROR(TRIM(SUBSTITUTE(A3,MID(A3,FIND("(",A3),FIND(")",A3)-FIND("(",A3)+1),"")),A3),"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",""),"-",""))&amp;CHAR(34)&amp;",",CHAR(34)&amp;"lets0"&amp;LEN(SUBSTITUTE(SUBSTITUTE(IFERROR(TRIM(SUBSTITUTE(SUBSTITUTE(SUBSTITUTE(IFERROR(TRIM(SUBSTITUTE(A3,MID(A3,FIND("(",A3),FIND(")",A3)-FIND("(",A3)+1),"")),A3),"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f>
        <v>"lets07",</v>
      </c>
      <c r="DE3" s="48" t="str">
        <f>IFERROR(CHAR(34)&amp;"start"&amp;LEFT(TRIM(SUBSTITUTE(SUBSTITUTE(TRIM(SUBSTITUTE(SUBSTITUTE(A3, MID(A3, FIND("[", A3), FIND("]", A3) - FIND("[", A3) + 1), ""), "  ", " ")), MID(TRIM(SUBSTITUTE(SUBSTITUTE(A3, MID(A3, FIND("[", A3), FIND("]", A3) - FIND("[", A3) + 1), ""), "  ", " ")), FIND("[", TRIM(SUBSTITUTE(SUBSTITUTE(A3, MID(A3, FIND("[", A3), FIND("]", A3) - FIND("[", A3) + 1), ""), "  ", " "))), FIND("]", TRIM(SUBSTITUTE(SUBSTITUTE(A3, MID(A3, FIND("[", A3), FIND("]", A3) - FIND("[", A3) + 1), ""), "  ", " "))) - FIND("[", TRIM(SUBSTITUTE(SUBSTITUTE(A3, MID(A3, FIND("[", A3), FIND("]", A3) - FIND("[", A3) + 1), ""), "  ", " "))) + 1), ""), "  ", " ")),1)&amp;CHAR(34)&amp;",",CHAR(34)&amp;"start"&amp;IFERROR(LEFT(SUBSTITUTE(A3,"["&amp;MID(A3,FIND("[",A3)+1,FIND("]",A3)-FIND("[",A3)-1)&amp;"] ",""),1),LEFT(A3,1))&amp;CHAR(34)&amp;",")</f>
        <v>"startA",</v>
      </c>
      <c r="DF3" s="48" t="str">
        <f>IFERROR(IF(SEARCH("tan",A3)&gt;0,CHAR(34)&amp;"withtn"&amp;CHAR(34)&amp;",",""),"")</f>
        <v/>
      </c>
      <c r="DG3" s="48" t="str">
        <f>IFERROR(IF(SEARCH("q",A3)&gt;0,CHAR(34)&amp;"with_q"&amp;CHAR(34)&amp;",",""),"")</f>
        <v/>
      </c>
      <c r="DH3" s="48" t="str">
        <f>IFERROR(IF(SEARCH("v",A3)&gt;0,CHAR(34)&amp;"with_v"&amp;CHAR(34)&amp;",",""),"")</f>
        <v/>
      </c>
      <c r="DI3" s="48" t="str">
        <f>IFERROR(IF(SEARCH("w",A3)&gt;0,CHAR(34)&amp;"with_w"&amp;CHAR(34)&amp;",",""),"")</f>
        <v/>
      </c>
      <c r="DJ3" s="48" t="str">
        <f>IFERROR(IF(SEARCH("y",A3)&gt;0,CHAR(34)&amp;"with_y"&amp;CHAR(34)&amp;",",""),"")</f>
        <v/>
      </c>
      <c r="DK3" s="48" t="str">
        <f>IFERROR(IF(SEARCH("z",A3)&gt;0,CHAR(34)&amp;"with_z"&amp;CHAR(34)&amp;",",""),"")</f>
        <v/>
      </c>
      <c r="DL3" s="48" t="str">
        <f>IF(CG3=2, CHAR(34) &amp; _xlfn.TEXTJOIN("", TRUE, _xlfn._xlws.SORT(HP3:HX3)) &amp; CHAR(34) &amp; ",", "")</f>
        <v/>
      </c>
      <c r="DM3" s="48" t="str" cm="1">
        <f t="array" ref="DM3">IF(CG3=3,CHAR(34) &amp; _xlfn.TEXTJOIN("", TRUE, RIGHT(HP3:HX3, 2)) &amp; CHAR(34) &amp; ",", "")</f>
        <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"year19",</v>
      </c>
      <c r="DP3" s="6" t="str">
        <f>IF(AND(ISNUMBER(SEARCH("20", O3)), ISERROR(SEARCH("1920", O3))), CHAR(34)&amp;"year00"&amp;CHAR(34)&amp;",", "")</f>
        <v/>
      </c>
      <c r="DQ3" s="6" t="str">
        <f>IF(CC3="y",CHAR(34)&amp;"soviet"&amp;CHAR(34)&amp;",","")</f>
        <v/>
      </c>
      <c r="DR3" s="6" t="str">
        <f>IF(BY3="y",CHAR(34)&amp;"dgband"&amp;CHAR(34)&amp;",","")</f>
        <v/>
      </c>
      <c r="DS3" s="6" t="str">
        <f>IF(W3="y",IF(AND(V3="n",BY3&lt;&gt;"y"),CHAR(34)&amp;"allver"&amp;CHAR(34)&amp;",",""),"")</f>
        <v>"allver",</v>
      </c>
      <c r="DT3" s="6" t="str">
        <f>IF(V3="y",IF(AND(W3="n",BY3&lt;&gt;"y"),CHAR(34)&amp;"allhor"&amp;CHAR(34)&amp;",",""),"")</f>
        <v/>
      </c>
      <c r="DU3" s="6" t="str">
        <f>IF(BY3="y",IF(AND(W3="n",V3="n"),CHAR(34)&amp;"alldia"&amp;CHAR(34)&amp;",",""),"")</f>
        <v/>
      </c>
      <c r="DV3" s="48" t="str">
        <f>IF(IA3&lt;&gt;"",(IF(IA3="y",CHAR(34)&amp;"largec"&amp;CHAR(34)&amp;",",CHAR(34)&amp;"smallc"&amp;CHAR(34)&amp;",")),"")</f>
        <v/>
      </c>
      <c r="DW3" s="48" t="str">
        <f>IF(CL3="y",CHAR(34)&amp;CL$1&amp;CHAR(34)&amp;",","")</f>
        <v/>
      </c>
      <c r="DX3" s="48" t="str">
        <f>IF(CM3="y",CHAR(34)&amp;CM$1&amp;CHAR(34)&amp;",","")</f>
        <v>"2Bands",</v>
      </c>
      <c r="DY3" s="48" t="str">
        <f>IF(CN3="y",CHAR(34)&amp;CN$1&amp;CHAR(34)&amp;",","")</f>
        <v/>
      </c>
      <c r="DZ3" s="48" t="str">
        <f>IF(CO3="y",CHAR(34)&amp;CO$1&amp;CHAR(34)&amp;",","")</f>
        <v/>
      </c>
      <c r="EA3" s="48" t="str">
        <f>IF(T3="y",CHAR(34)&amp;T$1&amp;CHAR(34)&amp;",","")</f>
        <v>"Diagon",</v>
      </c>
      <c r="EB3" s="48" t="str">
        <f>IF(U3="y",CHAR(34)&amp;U$1&amp;CHAR(34)&amp;",","")</f>
        <v/>
      </c>
      <c r="EC3" s="48" t="str">
        <f>IF(V3="y",CHAR(34)&amp;V$1&amp;CHAR(34)&amp;",","")</f>
        <v/>
      </c>
      <c r="ED3" s="48" t="str">
        <f>IF(W3="y",CHAR(34)&amp;W$1&amp;CHAR(34)&amp;",","")</f>
        <v>"Vertic",</v>
      </c>
      <c r="EE3" s="48" t="str">
        <f>IF(X3="y",CHAR(34)&amp;X$1&amp;CHAR(34)&amp;",","")</f>
        <v/>
      </c>
      <c r="EF3" s="48" t="str">
        <f>IF(AND(Y3&lt;&gt;"n",Y3&lt;&gt;""),CHAR(34)&amp;Y$1&amp;CHAR(34)&amp;",","")</f>
        <v>"Animal",</v>
      </c>
      <c r="EG3" s="48" t="str">
        <f>IF(Z3="y",CHAR(34)&amp;Z$1&amp;CHAR(34)&amp;",","")</f>
        <v/>
      </c>
      <c r="EH3" s="48" t="str">
        <f>IF(AA3="y",CHAR(34)&amp;AA$1&amp;CHAR(34)&amp;",","")</f>
        <v>"Plants",</v>
      </c>
      <c r="EI3" s="48" t="str">
        <f>IF(AB3="y",CHAR(34)&amp;AB$1&amp;CHAR(34)&amp;",","")</f>
        <v/>
      </c>
      <c r="EJ3" s="48" t="str">
        <f>IF(AC3="y",CHAR(34)&amp;AC$1&amp;CHAR(34)&amp;",","")</f>
        <v/>
      </c>
      <c r="EK3" s="48" t="str">
        <f>IF(AD3="y",CHAR(34)&amp;AD$1&amp;CHAR(34)&amp;",","")</f>
        <v/>
      </c>
      <c r="EL3" s="48" t="str">
        <f>IF(AE3="y",CHAR(34)&amp;AE$1&amp;CHAR(34)&amp;",","")</f>
        <v>"IsMoon",</v>
      </c>
      <c r="EM3" s="48" t="str">
        <f>IF(AF3="y",CHAR(34)&amp;AF$1&amp;CHAR(34)&amp;",","")</f>
        <v/>
      </c>
      <c r="EN3" s="48" t="str">
        <f>IF(AG3="y",CHAR(34)&amp;AG$1&amp;CHAR(34)&amp;",","")</f>
        <v/>
      </c>
      <c r="EO3" s="48" t="str">
        <f>IF(AH3="y",CHAR(34)&amp;AH$1&amp;CHAR(34)&amp;",","")</f>
        <v>"Center",</v>
      </c>
      <c r="EP3" s="48" t="str">
        <f>IF(AI3="y",CHAR(34)&amp;AI$1&amp;CHAR(34)&amp;",","")</f>
        <v/>
      </c>
      <c r="EQ3" s="48" t="str">
        <f>IF(AJ3="y",CHAR(34)&amp;AJ$1&amp;CHAR(34)&amp;",","")</f>
        <v/>
      </c>
      <c r="ER3" s="48" t="str">
        <f>IF(AK3="y",CHAR(34)&amp;AK$1&amp;CHAR(34)&amp;",","")</f>
        <v/>
      </c>
      <c r="ES3" s="48" t="str">
        <f>IF(AL3="y",CHAR(34)&amp;AL$1&amp;CHAR(34)&amp;",","")</f>
        <v/>
      </c>
      <c r="ET3" s="48" t="str">
        <f>IF(AM3="y",CHAR(34)&amp;AM$1&amp;CHAR(34)&amp;",","")</f>
        <v/>
      </c>
      <c r="EU3" s="48" t="str">
        <f>IF(AN3="y",CHAR(34)&amp;AN$1&amp;CHAR(34)&amp;",","")</f>
        <v/>
      </c>
      <c r="EV3" s="48" t="str">
        <f>IF(AO3="y",CHAR(34)&amp;AO$1&amp;CHAR(34)&amp;",","")</f>
        <v>"Builds",</v>
      </c>
      <c r="EW3" s="48" t="str">
        <f>IF(AP3="y",CHAR(34)&amp;AP$1&amp;CHAR(34)&amp;",","")</f>
        <v>"Ships!",</v>
      </c>
      <c r="EX3" s="48" t="str">
        <f>IF(AQ3="y",CHAR(34)&amp;AQ$1&amp;CHAR(34)&amp;",","")</f>
        <v/>
      </c>
      <c r="EY3" s="48" t="str">
        <f>IF(AR3="y",CHAR(34)&amp;AR$1&amp;CHAR(34)&amp;",","")</f>
        <v/>
      </c>
      <c r="EZ3" s="48" t="str">
        <f>IF(AS3="y",CHAR(34)&amp;AS$1&amp;CHAR(34)&amp;",","")</f>
        <v/>
      </c>
      <c r="FA3" s="48" t="str">
        <f>IF(AT3&gt;0,CHAR(34)&amp;"sta"&amp;AZ3&amp;CHAR(34)&amp;",","")</f>
        <v>"staRED",</v>
      </c>
      <c r="FB3" s="48" t="str">
        <f>IF(AND(AT3&gt;0,BA3&lt;&gt;""),CHAR(34)&amp;"sta"&amp;BA3&amp;CHAR(34)&amp;",","")</f>
        <v/>
      </c>
      <c r="FC3" s="48" t="str">
        <f>IF(AND(AT3&gt;0,BB3&lt;&gt;""),CHAR(34)&amp;"sta"&amp;BB3&amp;CHAR(34)&amp;",","")</f>
        <v/>
      </c>
      <c r="FD3" s="48" t="str">
        <f>IF(BV3="n",CHAR(34)&amp;"tcWHYE"&amp;CHAR(34)&amp;",",IF(BV3="y",CHAR(34)&amp;FD$1&amp;CHAR(34)&amp;",",""))</f>
        <v/>
      </c>
      <c r="FE3" s="48" t="str">
        <f>IF(COUNTIF(BL3:BT3,"BLU")=0,CHAR(34)&amp;"NO_BLU"&amp;CHAR(34)&amp;",", "")</f>
        <v/>
      </c>
      <c r="FF3" s="48" t="str">
        <f>IF(COUNTIF(BL3:BT3,"WHI")=0,CHAR(34)&amp;"NO_WHI"&amp;CHAR(34)&amp;",", "")</f>
        <v>"NO_WHI",</v>
      </c>
      <c r="FG3" s="48" t="str">
        <f>IF(COUNTIF(BL3:BT3,"RED")=0,CHAR(34)&amp;"NO_RED"&amp;CHAR(34)&amp;",", "")</f>
        <v/>
      </c>
      <c r="FH3" s="48" t="str">
        <f>IF(COUNTIF(BL3:BS3,"GRE")=0,CHAR(34)&amp;"NO_GRE"&amp;CHAR(34)&amp;",", "")</f>
        <v/>
      </c>
      <c r="FI3" s="48" t="str">
        <f>IF(COUNTIF(BL3:BT3,"YEL")=0,CHAR(34)&amp;"NO_YEL"&amp;CHAR(34)&amp;",", "")</f>
        <v/>
      </c>
      <c r="FJ3" s="48" t="str">
        <f>IF(COUNTIF(BL3:BT3,"BLA")=0,CHAR(34)&amp;"NO_BLA"&amp;CHAR(34)&amp;",", "")</f>
        <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"WHRENO",</v>
      </c>
      <c r="FQ3" s="48" t="str">
        <f>IF(LEN(BF3)=3,CHAR(34)&amp;"001"&amp;BF3&amp;CHAR(34)&amp;",","")</f>
        <v>"001BLU",</v>
      </c>
      <c r="FR3" s="48" t="str">
        <f>IF(LEN(BG3)=3,CHAR(34)&amp;"002"&amp;BG3&amp;CHAR(34)&amp;",","")</f>
        <v/>
      </c>
      <c r="FS3" s="48" t="str">
        <f>IF(LEN(BH3)=3,CHAR(34)&amp;"003"&amp;BH3&amp;CHAR(34)&amp;",","")</f>
        <v>"003GRE",</v>
      </c>
      <c r="FT3" s="48" t="str">
        <f>CHAR(34)&amp;"myr"&amp;BD3&amp;CHAR(34)&amp;","</f>
        <v>"myrEQ",</v>
      </c>
      <c r="FU3" s="48" t="str">
        <f>IF(AY3="y",CHAR(34)&amp;"island"&amp;CHAR(34)&amp;",","")</f>
        <v/>
      </c>
      <c r="FV3" s="48" t="str">
        <f>IF(BZ3="y",CHAR(34)&amp;"landlo"&amp;CHAR(34)&amp;",","")</f>
        <v/>
      </c>
      <c r="FW3" s="48" t="str">
        <f>IF(CA3="y",CHAR(34)&amp;"eunion"&amp;CHAR(34)&amp;",","")</f>
        <v/>
      </c>
      <c r="FX3" s="48" t="str">
        <f>SUBSTITUTE(IFERROR(SEARCH("[",A3),IFERROR(IF(AND(CA3&lt;&gt;"y",SEARCH("Europe",R3)&gt;0),CHAR(34)&amp;"noeuni"&amp;CHAR(34)&amp;",",""),"")),"1","")</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C3" s="48" t="str">
        <f>IFERROR(IF(SEARCH("Portuguese",CB3)&gt;0,CHAR(34)&amp;"portug"&amp;CHAR(34)&amp;",",""),"")</f>
        <v/>
      </c>
      <c r="GD3" s="48" t="str">
        <f>IFERROR(IF(SEARCH("German",CB3)&gt;0,CHAR(34)&amp;"german"&amp;CHAR(34)&amp;",",""),"")</f>
        <v/>
      </c>
      <c r="GE3" s="48" t="str">
        <f>IFERROR(IF(SEARCH("Dutch",CB3)&gt;0,CHAR(34)&amp;"dutchs"&amp;CHAR(34)&amp;",",""),"")</f>
        <v/>
      </c>
      <c r="GF3" s="48" t="str">
        <f>IFERROR(IF(SEARCH("Histor",AU3)&gt;0,CHAR(34)&amp;"histor"&amp;CHAR(34)&amp;",",""),"")</f>
        <v/>
      </c>
      <c r="GG3" s="48" t="str">
        <f>IF(BU3="y",CHAR(34)&amp;"unjack"&amp;CHAR(34)&amp;",","")</f>
        <v/>
      </c>
      <c r="GH3" s="48" t="str">
        <f>IF(CD3=1,CHAR(34)&amp;"southc"&amp;CHAR(34)&amp;",","")</f>
        <v/>
      </c>
      <c r="GI3" s="48" t="str">
        <f>IF(CE3=1,CHAR(34)&amp;"hasmap"&amp;CHAR(34)&amp;",","")</f>
        <v/>
      </c>
      <c r="GJ3" s="48" t="str">
        <f>IF(CP3="y",CHAR(34)&amp;CP$1&amp;CHAR(34)&amp;",","")</f>
        <v/>
      </c>
      <c r="GK3" s="48" t="str">
        <f>IF(GJ3="",CHAR(34)&amp;"HasSta"&amp;CHAR(34)&amp;",","")</f>
        <v>"HasSta",</v>
      </c>
      <c r="GL3" s="48" t="str">
        <f>IF(CQ3="y",CHAR(34)&amp;CQ$1&amp;CHAR(34)&amp;",","")</f>
        <v>"1Stars",</v>
      </c>
      <c r="GM3" s="48" t="str">
        <f>IF(CR3="y",CHAR(34)&amp;CR$1&amp;CHAR(34)&amp;",","")</f>
        <v/>
      </c>
      <c r="GN3" s="48" t="str">
        <f>IF(CS3="y",CHAR(34)&amp;CS$1&amp;CHAR(34)&amp;",","")</f>
        <v/>
      </c>
      <c r="GP3" s="48" t="str">
        <f>CHAR(34)&amp;AU3&amp;CHAR(34)</f>
        <v>"Capital City"</v>
      </c>
      <c r="GS3" s="48" t="str">
        <f>SUBSTITUTE("["&amp;_xlfn.CONCAT(CW3:GN3)&amp;"]",",]","]")</f>
        <v>["5+Colo","lets07","startA","year19","allver","2Bands","Diagon","Vertic","Animal","Plants","IsMoon","Center","Builds","Ships!","staRED","NO_WHI","WHRENO","001BLU","003GRE","myrEQ","HasSta","1Stars"]</v>
      </c>
      <c r="GT3" s="48" t="str">
        <f>IF(BL3&lt;&gt;"",CHAR(34)&amp;"cl_"&amp;BL3&amp;CHAR(34)&amp;",","")</f>
        <v>"cl_BLU",</v>
      </c>
      <c r="GU3" s="48" t="str">
        <f>IF(BM3&lt;&gt;"",CHAR(34)&amp;"cl_"&amp;BM3&amp;CHAR(34)&amp;",","")</f>
        <v>"cl_GRE",</v>
      </c>
      <c r="GV3" s="48" t="str">
        <f>IF(BN3&lt;&gt;"",CHAR(34)&amp;"cl_"&amp;BN3&amp;CHAR(34)&amp;",","")</f>
        <v>"cl_YEL",</v>
      </c>
      <c r="GW3" s="48" t="str">
        <f>IF(BO3&lt;&gt;"",CHAR(34)&amp;"cl_"&amp;BO3&amp;CHAR(34)&amp;",","")</f>
        <v>"cl_RED",</v>
      </c>
      <c r="GX3" s="48" t="str">
        <f>IF(BP3&lt;&gt;"",CHAR(34)&amp;"cl_"&amp;BP3&amp;CHAR(34)&amp;",","")</f>
        <v>"cl_BLA",</v>
      </c>
      <c r="GY3" s="48" t="str">
        <f>IF(BQ3&lt;&gt;"",CHAR(34)&amp;"cl_"&amp;BQ3&amp;CHAR(34)&amp;",","")</f>
        <v>"cl_GRA",</v>
      </c>
      <c r="GZ3" s="48" t="str">
        <f>IF(BR3&lt;&gt;"",CHAR(34)&amp;"cl_"&amp;BR3&amp;CHAR(34)&amp;",","")</f>
        <v/>
      </c>
      <c r="HA3" s="48" t="str">
        <f>IF(BS3&lt;&gt;"",CHAR(34)&amp;"cl_"&amp;BS3&amp;CHAR(34)&amp;",","")</f>
        <v/>
      </c>
      <c r="HB3" s="48" t="str">
        <f>IF(BT3&lt;&gt;"",CHAR(34)&amp;"cl_"&amp;BT3&amp;CHAR(34)&amp;",","")</f>
        <v/>
      </c>
      <c r="HC3" s="48" t="str">
        <f>SUBSTITUTE("["&amp;_xlfn.CONCAT(GT3:HB3)&amp;"]",",]","]")</f>
        <v>["cl_BLU","cl_GRE","cl_YEL","cl_RED","cl_BLA","cl_GRA"]</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{couname:"[ALG] Algiers",year:"1962 ",region:"rgn_Africa",Colors:["cl_BLU","cl_GRE","cl_YEL","cl_RED","cl_BLA","cl_GRA"],Items:["5+Colo","lets07","startA","year19","allver","2Bands","Diagon","Vertic","Animal","Plants","IsMoon","Center","Builds","Ships!","staRED","NO_WHI","WHRENO","001BLU","003GRE","myrEQ","HasSta","1Stars"],Flag:"https://upload.wikimedia.org/wikipedia/commons/thumb/c/c6/Flag_of_Algiers.svg/640px-Flag_of_Algiers.svg.png",HDFlag:"https://upload.wikimedia.org/wikipedia/commons/thumb/c/c6/Flag_of_Algiers.svg/2560px-Flag_of_Algiers.svg.png",type:"Capital City", describe: "\nIt shows a fortress, which symbolizes the Casbah, and a boat which symbolize the Algerian fleet, vital to the country's economy in older times, as well as two lions, which can be seen in Bab Azzoun, one of the gates of the city.\nThe crescent symbolizes Islam, the state religion, the feather to symbolize scientific and cultural development.\nThe sheaf of corn (the main crop of the country) symbolizes agriculture, while the wheel symbolizes industry (Algiers is the largest industrial center of the country).", isnew:".", links: "https://en.wikipedia.org/wiki/Coat_of_arms_of_Algiers"},</v>
      </c>
      <c r="HG3" s="73" t="str">
        <f>"{couname:"&amp;CT3&amp;(IF(HK3&lt;&gt;"",",subtype:"&amp;CHAR(34)&amp;HK3&amp;CHAR(34),""))&amp;",year:"&amp;HJ3&amp;",region:"&amp;CU3&amp;",Colors:"&amp;HC3&amp;",Items:"&amp;GS3&amp;",Flag:"&amp;CV3&amp;",HDFlag:"&amp;CHAR(34)&amp;E3&amp;CHAR(34)&amp;",type:"&amp;GP3&amp;", describe: "&amp;HI3&amp;", links: "&amp;HL3&amp;"},"</f>
        <v>{couname:"[ALG] Algiers",year:"1962 ",region:"rgn_Africa",Colors:["cl_BLU","cl_GRE","cl_YEL","cl_RED","cl_BLA","cl_GRA"],Items:["5+Colo","lets07","startA","year19","allver","2Bands","Diagon","Vertic","Animal","Plants","IsMoon","Center","Builds","Ships!","staRED","NO_WHI","WHRENO","001BLU","003GRE","myrEQ","HasSta","1Stars"],Flag:"https://upload.wikimedia.org/wikipedia/commons/thumb/c/c6/Flag_of_Algiers.svg/640px-Flag_of_Algiers.svg.png",HDFlag:"https://upload.wikimedia.org/wikipedia/commons/thumb/c/c6/Flag_of_Algiers.svg/2560px-Flag_of_Algiers.svg.png",type:"Capital City", describe: "\nIt shows a fortress, which symbolizes the Casbah, and a boat which symbolize the Algerian fleet, vital to the country's economy in older times, as well as two lions, which can be seen in Bab Azzoun, one of the gates of the city.\nThe crescent symbolizes Islam, the state religion, the feather to symbolize scientific and cultural development.\nThe sheaf of corn (the main crop of the country) symbolizes agriculture, while the wheel symbolizes industry (Algiers is the largest industrial center of the country).", links: "https://en.wikipedia.org/wiki/Coat_of_arms_of_Algiers"},</v>
      </c>
      <c r="HH3" s="48" t="str">
        <f>IF(P3&lt;&gt;"",CHAR(34)&amp;"\n"&amp;P3&amp;CHAR(34),CHAR(34)&amp;CHAR(34))</f>
        <v>"\nIt shows a fortress, which symbolizes the Casbah, and a boat which symbolize the Algerian fleet, vital to the country's economy in older times, as well as two lions, which can be seen in Bab Azzoun, one of the gates of the city.\nThe crescent symbolizes Islam, the state religion, the feather to symbolize scientific and cultural development.\nThe sheaf of corn (the main crop of the country) symbolizes agriculture, while the wheel symbolizes industry (Algiers is the largest industrial center of the country)."</v>
      </c>
      <c r="HI3" s="48" t="str">
        <f>IF(J3=0,CHAR(34)&amp;CHAR(34),HH3)</f>
        <v>"\nIt shows a fortress, which symbolizes the Casbah, and a boat which symbolize the Algerian fleet, vital to the country's economy in older times, as well as two lions, which can be seen in Bab Azzoun, one of the gates of the city.\nThe crescent symbolizes Islam, the state religion, the feather to symbolize scientific and cultural development.\nThe sheaf of corn (the main crop of the country) symbolizes agriculture, while the wheel symbolizes industry (Algiers is the largest industrial center of the country)."</v>
      </c>
      <c r="HJ3" s="48" t="str">
        <f>CHAR(34)&amp;O3&amp;CHAR(34)</f>
        <v>"1962 "</v>
      </c>
      <c r="HL3" s="48" t="str">
        <f>CHAR(34)&amp;I3&amp;CHAR(34)</f>
        <v>"https://en.wikipedia.org/wiki/Coat_of_arms_of_Algiers"</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{"couname":"[ALG] Algiers","year":"1962 ","region":"rgn_Africa","Colors":["cl_BLU","cl_GRE","cl_YEL","cl_RED","cl_BLA","cl_GRA"],"Items":["5+Colo","lets07","startA","year19","allver","2Bands","Diagon","Vertic","Animal","Plants","IsMoon","Center","Builds","Ships!","staRED","NO_WHI","WHRENO","001BLU","003GRE","myrEQ","HasSta","1Stars"],"Flag":"https://upload.wikimedia.org/wikipedia/commons/thumb/c/c6/Flag_of_Algiers.svg/640px-Flag_of_Algiers.svg.png","HDFlag":"https://upload.wikimedia.org/wikipedia/commons/thumb/c/c6/Flag_of_Algiers.svg/2560px-Flag_of_Algiers.svg.png","type":"Capital City", "describe": "\nIt shows a fortress, which symbolizes the Casbah, and a boat which symbolize the Algerian fleet, vital to the country's economy in older times, as well as two lions, which can be seen in Bab Azzoun, one of the gates of the city.\nThe crescent symbolizes Islam, the state religion, the feather to symbolize scientific and cultural development.\nThe sheaf of corn (the main crop of the country) symbolizes agriculture, while the wheel symbolizes industry (Algiers is the largest industrial center of the country).", "isnew": ".", "links": "https://en.wikipedia.org/wiki/Coat_of_arms_of_Algiers"},</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{"couname":"[ALG] Algiers","year":"1962 ","region":"rgn_Africa","Colors":["cl_BLU","cl_GRE","cl_YEL","cl_RED","cl_BLA","cl_GRA"],"Items":["5+Colo","lets07","startA","year19","allver","2Bands","Diagon","Vertic","Animal","Plants","IsMoon","Center","Builds","Ships!","staRED","NO_WHI","WHRENO","001BLU","003GRE","myrEQ","HasSta","1Stars"],"Flag":"https://upload.wikimedia.org/wikipedia/commons/thumb/c/c6/Flag_of_Algiers.svg/640px-Flag_of_Algiers.svg.png","HDFlag":"https://upload.wikimedia.org/wikipedia/commons/thumb/c/c6/Flag_of_Algiers.svg/2560px-Flag_of_Algiers.svg.png","type":"Capital City", "describe": "\nIt shows a fortress, which symbolizes the Casbah, and a boat which symbolize the Algerian fleet, vital to the country's economy in older times, as well as two lions, which can be seen in Bab Azzoun, one of the gates of the city.\nThe crescent symbolizes Islam, the state religion, the feather to symbolize scientific and cultural development.\nThe sheaf of corn (the main crop of the country) symbolizes agriculture, while the wheel symbolizes industry (Algiers is the largest industrial center of the country).", "isnew": ".", "links": "https://en.wikipedia.org/wiki/Coat_of_arms_of_Algiers"},</v>
      </c>
      <c r="HO3" s="75"/>
      <c r="HP3" s="48" t="str" cm="1">
        <f t="array" ref="HP3">IF(_xlfn.TEXTJOIN(", ", TRUE, IF(ISNUMBER(SEARCH("BLA", BL3:BT3)), COLUMN(BL3:BT3) - COLUMN(BL3) + 1, ""))&lt;&gt;"","BLA","")</f>
        <v>BLA</v>
      </c>
      <c r="HQ3" s="48" t="str" cm="1">
        <f t="array" ref="HQ3">IF(_xlfn.TEXTJOIN(", ", TRUE, IF(ISNUMBER(SEARCH("BLU", BL3:BT3)), COLUMN(BL3:BT3) - COLUMN(BL3) + 1, ""))&lt;&gt;"","BLU","")</f>
        <v>BLU</v>
      </c>
      <c r="HR3" s="48" t="str" cm="1">
        <f t="array" ref="HR3">IF(_xlfn.TEXTJOIN(", ", TRUE, IF(ISNUMBER(SEARCH("GRE", BL3:BT3)), COLUMN(BL3:BT3) - COLUMN(BL3) + 1, ""))&lt;&gt;"","GRE","")</f>
        <v>GRE</v>
      </c>
      <c r="HS3" s="48" t="str" cm="1">
        <f t="array" ref="HS3">IF(_xlfn.TEXTJOIN(", ", TRUE, IF(ISNUMBER(SEARCH("RED", BL3:BT3)), COLUMN(BL3:BT3) - COLUMN(BL3) + 1, ""))&lt;&gt;"","RED","")</f>
        <v>RED</v>
      </c>
      <c r="HT3" s="48" t="str" cm="1">
        <f t="array" ref="HT3">IF(_xlfn.TEXTJOIN(", ", TRUE, IF(ISNUMBER(SEARCH("YEL", BL3:BT3)), COLUMN(BL3:BT3) - COLUMN(BL3) + 1, ""))&lt;&gt;"","YEL","")</f>
        <v>YEL</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
      </c>
      <c r="HY3" s="76"/>
      <c r="HZ3" s="76"/>
      <c r="IA3" s="6"/>
      <c r="IB3" s="6"/>
      <c r="IC3" s="77"/>
      <c r="ID3" s="77"/>
      <c r="IE3" s="77"/>
      <c r="IF3" s="77"/>
      <c r="IG3" s="77"/>
      <c r="IH3" s="77"/>
      <c r="II3" s="77"/>
      <c r="IJ3" s="77"/>
      <c r="IK3" s="77"/>
      <c r="IL3" s="48">
        <f>SUM(IC3:IK3)</f>
        <v>0</v>
      </c>
      <c r="IM3" s="45">
        <f>COUNTIF(IC3:IK3,"&gt;0")-CG3</f>
        <v>-6</v>
      </c>
      <c r="IN3" s="78" t="str">
        <f>"http://mkweb.bcgsc.ca/color-summarizer/?url="&amp;D3&amp;"&amp;precision=low&amp;num_clusters="&amp;CG3&amp;"&amp;text=1"</f>
        <v>http://mkweb.bcgsc.ca/color-summarizer/?url=https://upload.wikimedia.org/wikipedia/commons/thumb/c/c6/Flag_of_Algiers.svg/640px-Flag_of_Algiers.svg.png&amp;precision=low&amp;num_clusters=6&amp;text=1</v>
      </c>
      <c r="IO3" s="48" t="str">
        <f>IF(HP3&lt;&gt;"",CHAR(34)&amp;"black"&amp;CHAR(34),"")</f>
        <v>"black"</v>
      </c>
      <c r="IP3" s="48" t="str">
        <f>IF(HQ3&lt;&gt;"",CHAR(34)&amp;"blue"&amp;CHAR(34),"")</f>
        <v>"blue"</v>
      </c>
      <c r="IQ3" s="48" t="str">
        <f>IF(HR3&lt;&gt;"",CHAR(34)&amp;"green"&amp;CHAR(34),"")</f>
        <v>"green"</v>
      </c>
      <c r="IR3" s="48" t="str">
        <f>IF(HS3&lt;&gt;"",CHAR(34)&amp;"red"&amp;CHAR(34),"")</f>
        <v>"red"</v>
      </c>
      <c r="IS3" s="48" t="str">
        <f>IF(HT3&lt;&gt;"",CHAR(34)&amp;"yellow"&amp;CHAR(34),"")</f>
        <v>"yellow"</v>
      </c>
      <c r="IT3" s="48" t="str">
        <f>IF(HU3&lt;&gt;"",CHAR(34)&amp;"orange"&amp;CHAR(34),"")</f>
        <v/>
      </c>
      <c r="IU3" s="48" t="str">
        <f>IF(HV3&lt;&gt;"",CHAR(34)&amp;"brown"&amp;CHAR(34),"")</f>
        <v/>
      </c>
      <c r="IV3" s="48" t="str">
        <f>IF(HW3&lt;&gt;"",CHAR(34)&amp;"purple"&amp;CHAR(34),"")</f>
        <v/>
      </c>
      <c r="IW3" s="48" t="str">
        <f>IF(HX3&lt;&gt;"",CHAR(34)&amp;"white"&amp;CHAR(34),"")</f>
        <v/>
      </c>
      <c r="IX3" s="48" t="str">
        <f>"{"&amp;CHAR(34)&amp;"url"&amp;CHAR(34)&amp;":"&amp;CHAR(34)&amp;IN3&amp;CHAR(34)&amp;","&amp;CHAR(34)&amp;"name"&amp;CHAR(34)&amp;":"&amp;CHAR(34)&amp;A3&amp;CHAR(34)&amp;"},"</f>
        <v>{"url":"http://mkweb.bcgsc.ca/color-summarizer/?url=https://upload.wikimedia.org/wikipedia/commons/thumb/c/c6/Flag_of_Algiers.svg/640px-Flag_of_Algiers.svg.png&amp;precision=low&amp;num_clusters=6&amp;text=1","name":"[ALG] Algiers"},</v>
      </c>
      <c r="IY3" s="48">
        <v>275</v>
      </c>
    </row>
    <row r="4" spans="1:259" s="48" customFormat="1" ht="38.4" customHeight="1" thickBot="1" x14ac:dyDescent="0.35">
      <c r="A4" s="80" t="s">
        <v>543</v>
      </c>
      <c r="B4" s="40" t="e" vm="5">
        <v>#VALUE!</v>
      </c>
      <c r="C4" s="41" t="s">
        <v>173</v>
      </c>
      <c r="D4" s="42" t="s">
        <v>544</v>
      </c>
      <c r="E4" s="43" t="s">
        <v>545</v>
      </c>
      <c r="F4" s="44" t="s">
        <v>163</v>
      </c>
      <c r="G4" s="45">
        <f>COUNTIF($A$1:$A$8385,A4)</f>
        <v>1</v>
      </c>
      <c r="H4" s="46" t="s">
        <v>554</v>
      </c>
      <c r="I4" s="47" t="s">
        <v>546</v>
      </c>
      <c r="J4" s="48" t="str">
        <f>""</f>
        <v/>
      </c>
      <c r="K4" s="49"/>
      <c r="L4" s="50"/>
      <c r="M4" s="50"/>
      <c r="N4" s="51" t="s">
        <v>180</v>
      </c>
      <c r="O4" s="52">
        <v>1832</v>
      </c>
      <c r="P4" s="53" t="s">
        <v>547</v>
      </c>
      <c r="Q4" s="54">
        <v>4</v>
      </c>
      <c r="R4" s="55" t="s">
        <v>180</v>
      </c>
      <c r="S4" s="56">
        <v>3</v>
      </c>
      <c r="T4" s="57" t="s">
        <v>164</v>
      </c>
      <c r="U4" s="58" t="s">
        <v>164</v>
      </c>
      <c r="V4" s="58" t="s">
        <v>167</v>
      </c>
      <c r="W4" s="58" t="s">
        <v>164</v>
      </c>
      <c r="X4" s="58" t="s">
        <v>167</v>
      </c>
      <c r="Y4" s="58" t="s">
        <v>164</v>
      </c>
      <c r="Z4" s="58" t="s">
        <v>164</v>
      </c>
      <c r="AA4" s="58" t="s">
        <v>164</v>
      </c>
      <c r="AB4" s="58" t="s">
        <v>167</v>
      </c>
      <c r="AC4" s="58" t="s">
        <v>164</v>
      </c>
      <c r="AD4" s="58" t="s">
        <v>164</v>
      </c>
      <c r="AE4" s="58" t="s">
        <v>164</v>
      </c>
      <c r="AF4" s="59" t="s">
        <v>164</v>
      </c>
      <c r="AG4" s="59" t="s">
        <v>164</v>
      </c>
      <c r="AH4" s="59" t="s">
        <v>167</v>
      </c>
      <c r="AI4" s="59" t="s">
        <v>164</v>
      </c>
      <c r="AJ4" s="59" t="s">
        <v>164</v>
      </c>
      <c r="AK4" s="59" t="s">
        <v>164</v>
      </c>
      <c r="AL4" s="59" t="s">
        <v>164</v>
      </c>
      <c r="AM4" s="59" t="s">
        <v>164</v>
      </c>
      <c r="AN4" s="59" t="s">
        <v>167</v>
      </c>
      <c r="AO4" s="59" t="s">
        <v>164</v>
      </c>
      <c r="AP4" s="59" t="s">
        <v>164</v>
      </c>
      <c r="AQ4" s="59" t="s">
        <v>164</v>
      </c>
      <c r="AR4" s="59" t="s">
        <v>164</v>
      </c>
      <c r="AS4" s="59" t="s">
        <v>164</v>
      </c>
      <c r="AT4" s="60">
        <v>0</v>
      </c>
      <c r="AU4" s="59" t="s">
        <v>174</v>
      </c>
      <c r="AV4" s="59" t="str">
        <f>IF(LEFT(A4,1)="[",LEFT(A4,5)&amp;AU4&amp;A4,"")</f>
        <v>[ALG]Historical[ALG] Emirate of Abdelkader (1832-1847)</v>
      </c>
      <c r="AW4" s="59" t="str">
        <f t="shared" si="1"/>
        <v>3b[ALG] Other[ALG] Emirate of Abdelkader (1832-1847)</v>
      </c>
      <c r="AX4" s="61"/>
      <c r="AY4" s="61"/>
      <c r="AZ4" s="62" t="s">
        <v>172</v>
      </c>
      <c r="BA4" s="62" t="s">
        <v>172</v>
      </c>
      <c r="BB4" s="62"/>
      <c r="BC4" s="63"/>
      <c r="BD4" s="64" t="s">
        <v>169</v>
      </c>
      <c r="BE4" s="47"/>
      <c r="BF4" s="64" t="s">
        <v>153</v>
      </c>
      <c r="BG4" s="64" t="s">
        <v>159</v>
      </c>
      <c r="BH4" s="64" t="s">
        <v>153</v>
      </c>
      <c r="BI4" s="64"/>
      <c r="BJ4" s="64"/>
      <c r="BK4" s="47"/>
      <c r="BL4" s="64" t="s">
        <v>172</v>
      </c>
      <c r="BM4" s="64" t="s">
        <v>172</v>
      </c>
      <c r="BN4" s="64" t="s">
        <v>153</v>
      </c>
      <c r="BO4" s="64" t="s">
        <v>172</v>
      </c>
      <c r="BP4" s="64" t="s">
        <v>155</v>
      </c>
      <c r="BQ4" s="64" t="s">
        <v>172</v>
      </c>
      <c r="BR4" s="64" t="s">
        <v>172</v>
      </c>
      <c r="BS4" s="64" t="s">
        <v>172</v>
      </c>
      <c r="BT4" s="64" t="s">
        <v>159</v>
      </c>
      <c r="BU4" s="65"/>
      <c r="BV4" s="66"/>
      <c r="BW4" s="66">
        <v>0</v>
      </c>
      <c r="BX4" s="47"/>
      <c r="CB4" s="6"/>
      <c r="CC4" s="6"/>
      <c r="CD4" s="67">
        <v>0</v>
      </c>
      <c r="CE4" s="67">
        <v>0</v>
      </c>
      <c r="CF4" s="67" t="e">
        <v>#REF!</v>
      </c>
      <c r="CG4" s="68" cm="1">
        <f t="array" ref="CG4">SUMPRODUCT(--(LEN(TRIM(BL4:BT4))&gt;0))</f>
        <v>3</v>
      </c>
      <c r="CH4" s="59" t="str">
        <f>IF(CG4=2,"y","n")</f>
        <v>n</v>
      </c>
      <c r="CI4" s="59" t="str">
        <f>IF(CG4=3,"y","n")</f>
        <v>y</v>
      </c>
      <c r="CJ4" s="59" t="str">
        <f>IF(CG4=4,"y","n")</f>
        <v>n</v>
      </c>
      <c r="CK4" s="59" t="str">
        <f>IF(CG4&gt;4,"y","n")</f>
        <v>n</v>
      </c>
      <c r="CL4" s="59" t="str">
        <f>IF(S4=0,"y","n")</f>
        <v>n</v>
      </c>
      <c r="CM4" s="59" t="str">
        <f>IF(S4=2,"y","n")</f>
        <v>n</v>
      </c>
      <c r="CN4" s="59" t="str">
        <f>IF(S4=3,"y","n")</f>
        <v>y</v>
      </c>
      <c r="CO4" s="59" t="str">
        <f>IF(S4&gt;=4,"y","n")</f>
        <v>n</v>
      </c>
      <c r="CP4" s="59" t="str">
        <f>IF(AT4=0,"y","n")</f>
        <v>y</v>
      </c>
      <c r="CQ4" s="59" t="str">
        <f>IF(AT4=1,"y","n")</f>
        <v>n</v>
      </c>
      <c r="CR4" s="59" t="str">
        <f>IF(AT4=2,"y","n")</f>
        <v>n</v>
      </c>
      <c r="CS4" s="59" t="str">
        <f>IF(AT4&gt;=3,"y","n")</f>
        <v>n</v>
      </c>
      <c r="CT4" s="69" t="str">
        <f>CHAR(34)&amp;A4&amp;CHAR(34)</f>
        <v>"[ALG] Emirate of Abdelkader (1832-1847)"</v>
      </c>
      <c r="CU4" s="70" t="str">
        <f>CHAR(34)&amp;"rgn_"&amp;R4&amp;CHAR(34)</f>
        <v>"rgn_Africa"</v>
      </c>
      <c r="CV4" s="48" t="str">
        <f>CHAR(34)&amp;D4&amp;CHAR(34)</f>
        <v>"https://upload.wikimedia.org/wikipedia/commons/thumb/a/a1/Flag_of_the_Emirate_of_Mascara.svg/320px-Flag_of_the_Emirate_of_Mascara.svg.png"</v>
      </c>
      <c r="CW4" s="48" t="str">
        <f>IF(CH4="y",CHAR(34)&amp;CH$1&amp;CHAR(34)&amp;",","")</f>
        <v/>
      </c>
      <c r="CX4" s="48" t="str">
        <f>IF(CI4="y",CHAR(34)&amp;CI$1&amp;CHAR(34)&amp;",","")</f>
        <v>"3Color",</v>
      </c>
      <c r="CY4" s="48" t="str">
        <f>IF(CJ4="y",CHAR(34)&amp;CJ$1&amp;CHAR(34)&amp;",","")</f>
        <v/>
      </c>
      <c r="CZ4" s="48" t="str">
        <f>IF(CK4="y",CHAR(34)&amp;CK$1&amp;CHAR(34)&amp;",","")</f>
        <v/>
      </c>
      <c r="DA4" s="48" t="str">
        <f>IF(Q4&gt;1,CHAR(34)&amp;"words2"&amp;CHAR(34)&amp;",","")</f>
        <v>"words2",</v>
      </c>
      <c r="DB4" s="48" t="str">
        <f>IF(Q4&gt;2,CHAR(34)&amp;"words3"&amp;CHAR(34)&amp;",","")</f>
        <v>"words3",</v>
      </c>
      <c r="DD4" s="48" t="str">
        <f>IF(LEN(CHAR(34)&amp;"lets"&amp;LEN(SUBSTITUTE(SUBSTITUTE(IFERROR(TRIM(SUBSTITUTE(A4,MID(A4,FIND("[",A4),FIND("]",A4)-FIND("[",A4)+1),"")),A4)," ",""),"-",""))&amp;CHAR(34)&amp;",")=9,CHAR(34)&amp;"lets"&amp;LEN(SUBSTITUTE(SUBSTITUTE(IFERROR(TRIM(SUBSTITUTE(A4,MID(A4,FIND("[",A4),FIND("]",A4)-FIND("[",A4)+1),"")),A4)," ",""),"-",""))&amp;CHAR(34)&amp;",",CHAR(34)&amp;"lets0"&amp;LEN(SUBSTITUTE(SUBSTITUTE(IFERROR(TRIM(SUBSTITUTE(A4,MID(A4,FIND("[",A4),FIND("]",A4)-FIND("[",A4)+1),"")),A4)," ",""),"-",""))&amp;CHAR(34)&amp;",")</f>
        <v>"lets29",</v>
      </c>
      <c r="DE4" s="48" t="str">
        <f>CHAR(34)&amp;"start"&amp;IFERROR(LEFT(SUBSTITUTE(A4,"["&amp;MID(A4,FIND("[",A4)+1,FIND("]",A4)-FIND("[",A4)-1)&amp;"] ",""),1),LEFT(A4,1))&amp;CHAR(34)&amp;","</f>
        <v>"startE",</v>
      </c>
      <c r="DF4" s="48" t="str">
        <f>IFERROR(IF(SEARCH("tan",A4)&gt;0,CHAR(34)&amp;"withtn"&amp;CHAR(34)&amp;",",""),"")</f>
        <v/>
      </c>
      <c r="DG4" s="48" t="str">
        <f>IFERROR(IF(SEARCH("q",A4)&gt;0,CHAR(34)&amp;"with_q"&amp;CHAR(34)&amp;",",""),"")</f>
        <v/>
      </c>
      <c r="DH4" s="48" t="str">
        <f>IFERROR(IF(SEARCH("v",A4)&gt;0,CHAR(34)&amp;"with_v"&amp;CHAR(34)&amp;",",""),"")</f>
        <v/>
      </c>
      <c r="DI4" s="48" t="str">
        <f>IFERROR(IF(SEARCH("w",A4)&gt;0,CHAR(34)&amp;"with_w"&amp;CHAR(34)&amp;",",""),"")</f>
        <v/>
      </c>
      <c r="DJ4" s="48" t="str">
        <f>IFERROR(IF(SEARCH("y",A4)&gt;0,CHAR(34)&amp;"with_y"&amp;CHAR(34)&amp;",",""),"")</f>
        <v/>
      </c>
      <c r="DK4" s="48" t="str">
        <f>IFERROR(IF(SEARCH("z",A4)&gt;0,CHAR(34)&amp;"with_z"&amp;CHAR(34)&amp;",",""),"")</f>
        <v/>
      </c>
      <c r="DL4" s="48" t="str">
        <f>IF(CG4=2, CHAR(34) &amp; _xlfn.TEXTJOIN("", TRUE, _xlfn._xlws.SORT(HP4:HX4)) &amp; CHAR(34) &amp; ",", "")</f>
        <v/>
      </c>
      <c r="DM4" s="48" t="str" cm="1">
        <f t="array" ref="DM4">IF(CG4=3,CHAR(34) &amp; _xlfn.TEXTJOIN("", TRUE, RIGHT(HP4:HX4, 2)) &amp; CHAR(34) &amp; ",", "")</f>
        <v>"REELHI",</v>
      </c>
      <c r="DN4" s="48" t="str">
        <f>IF(AND(ISNUMBER(SEARCH("18", O4)), ISERROR(SEARCH("1918", O4)), ISERROR(SEARCH("2018", O4))), CHAR(34) &amp; "year18" &amp; CHAR(34) &amp; ",", "")</f>
        <v>"year18",</v>
      </c>
      <c r="DO4" s="48" t="str">
        <f>IF(AND(ISNUMBER(SEARCH("19", O4)), ISERROR(SEARCH("1819", O4)),  ISERROR(SEARCH("1219", O4)),ISERROR(SEARCH("1119", O4)),ISERROR(SEARCH("1190", O4)),ISERROR(SEARCH("2019", O4))), CHAR(34) &amp; "year19" &amp; CHAR(34) &amp; ",", "")</f>
        <v/>
      </c>
      <c r="DP4" s="6" t="str">
        <f>IF(AND(ISNUMBER(SEARCH("20", O4)), ISERROR(SEARCH("1920", O4))), CHAR(34)&amp;"year00"&amp;CHAR(34)&amp;",", "")</f>
        <v/>
      </c>
      <c r="DQ4" s="6" t="str">
        <f>IF(CC4="y",CHAR(34)&amp;"soviet"&amp;CHAR(34)&amp;",","")</f>
        <v/>
      </c>
      <c r="DR4" s="6" t="str">
        <f>IF(BY4="y",CHAR(34)&amp;"dgband"&amp;CHAR(34)&amp;",","")</f>
        <v/>
      </c>
      <c r="DS4" s="6" t="str">
        <f>IF(W4="y",IF(AND(V4="n",BY4&lt;&gt;"y"),CHAR(34)&amp;"allver"&amp;CHAR(34)&amp;",",""),"")</f>
        <v/>
      </c>
      <c r="DT4" s="6" t="str">
        <f>IF(V4="y",IF(AND(W4="n",BY4&lt;&gt;"y"),CHAR(34)&amp;"allhor"&amp;CHAR(34)&amp;",",""),"")</f>
        <v>"allhor",</v>
      </c>
      <c r="DU4" s="6" t="str">
        <f>IF(BY4="y",IF(AND(W4="n",V4="n"),CHAR(34)&amp;"alldia"&amp;CHAR(34)&amp;",",""),"")</f>
        <v/>
      </c>
      <c r="DW4" s="48" t="str">
        <f>IF(CL4="y",CHAR(34)&amp;CL$1&amp;CHAR(34)&amp;",","")</f>
        <v/>
      </c>
      <c r="DX4" s="48" t="str">
        <f>IF(CM4="y",CHAR(34)&amp;CM$1&amp;CHAR(34)&amp;",","")</f>
        <v/>
      </c>
      <c r="DY4" s="48" t="str">
        <f>IF(CN4="y",CHAR(34)&amp;CN$1&amp;CHAR(34)&amp;",","")</f>
        <v>"3Bands",</v>
      </c>
      <c r="DZ4" s="48" t="str">
        <f>IF(CO4="y",CHAR(34)&amp;CO$1&amp;CHAR(34)&amp;",","")</f>
        <v/>
      </c>
      <c r="EA4" s="48" t="str">
        <f>IF(T4="y",CHAR(34)&amp;T$1&amp;CHAR(34)&amp;",","")</f>
        <v/>
      </c>
      <c r="EB4" s="48" t="str">
        <f>IF(U4="y",CHAR(34)&amp;U$1&amp;CHAR(34)&amp;",","")</f>
        <v/>
      </c>
      <c r="EC4" s="48" t="str">
        <f>IF(V4="y",CHAR(34)&amp;V$1&amp;CHAR(34)&amp;",","")</f>
        <v>"Horizo",</v>
      </c>
      <c r="ED4" s="48" t="str">
        <f>IF(W4="y",CHAR(34)&amp;W$1&amp;CHAR(34)&amp;",","")</f>
        <v/>
      </c>
      <c r="EE4" s="48" t="str">
        <f>IF(X4="y",CHAR(34)&amp;X$1&amp;CHAR(34)&amp;",","")</f>
        <v>"Circle",</v>
      </c>
      <c r="EF4" s="48" t="str">
        <f>IF(AND(Y4&lt;&gt;"n",Y4&lt;&gt;""),CHAR(34)&amp;Y$1&amp;CHAR(34)&amp;",","")</f>
        <v/>
      </c>
      <c r="EG4" s="48" t="str">
        <f>IF(Z4="y",CHAR(34)&amp;Z$1&amp;CHAR(34)&amp;",","")</f>
        <v/>
      </c>
      <c r="EH4" s="48" t="str">
        <f>IF(AA4="y",CHAR(34)&amp;AA$1&amp;CHAR(34)&amp;",","")</f>
        <v/>
      </c>
      <c r="EI4" s="48" t="str">
        <f>IF(AB4="y",CHAR(34)&amp;AB$1&amp;CHAR(34)&amp;",","")</f>
        <v>"Texted",</v>
      </c>
      <c r="EJ4" s="48" t="str">
        <f>IF(AC4="y",CHAR(34)&amp;AC$1&amp;CHAR(34)&amp;",","")</f>
        <v/>
      </c>
      <c r="EK4" s="48" t="str">
        <f>IF(AD4="y",CHAR(34)&amp;AD$1&amp;CHAR(34)&amp;",","")</f>
        <v/>
      </c>
      <c r="EL4" s="48" t="str">
        <f>IF(AE4="y",CHAR(34)&amp;AE$1&amp;CHAR(34)&amp;",","")</f>
        <v/>
      </c>
      <c r="EM4" s="48" t="str">
        <f>IF(AF4="y",CHAR(34)&amp;AF$1&amp;CHAR(34)&amp;",","")</f>
        <v/>
      </c>
      <c r="EN4" s="48" t="str">
        <f>IF(AG4="y",CHAR(34)&amp;AG$1&amp;CHAR(34)&amp;",","")</f>
        <v/>
      </c>
      <c r="EO4" s="48" t="str">
        <f>IF(AH4="y",CHAR(34)&amp;AH$1&amp;CHAR(34)&amp;",","")</f>
        <v>"Center",</v>
      </c>
      <c r="EP4" s="48" t="str">
        <f>IF(AI4="y",CHAR(34)&amp;AI$1&amp;CHAR(34)&amp;",","")</f>
        <v/>
      </c>
      <c r="EQ4" s="48" t="str">
        <f>IF(AJ4="y",CHAR(34)&amp;AJ$1&amp;CHAR(34)&amp;",","")</f>
        <v/>
      </c>
      <c r="ER4" s="48" t="str">
        <f>IF(AK4="y",CHAR(34)&amp;AK$1&amp;CHAR(34)&amp;",","")</f>
        <v/>
      </c>
      <c r="ES4" s="48" t="str">
        <f>IF(AL4="y",CHAR(34)&amp;AL$1&amp;CHAR(34)&amp;",","")</f>
        <v/>
      </c>
      <c r="ET4" s="48" t="str">
        <f>IF(AM4="y",CHAR(34)&amp;AM$1&amp;CHAR(34)&amp;",","")</f>
        <v/>
      </c>
      <c r="EU4" s="48" t="str">
        <f>IF(AN4="y",CHAR(34)&amp;AN$1&amp;CHAR(34)&amp;",","")</f>
        <v>"Humans",</v>
      </c>
      <c r="EV4" s="48" t="str">
        <f>IF(AO4="y",CHAR(34)&amp;AO$1&amp;CHAR(34)&amp;",","")</f>
        <v/>
      </c>
      <c r="EW4" s="48" t="str">
        <f>IF(AP4="y",CHAR(34)&amp;AP$1&amp;CHAR(34)&amp;",","")</f>
        <v/>
      </c>
      <c r="EX4" s="48" t="str">
        <f>IF(AQ4="y",CHAR(34)&amp;AQ$1&amp;CHAR(34)&amp;",","")</f>
        <v/>
      </c>
      <c r="EY4" s="48" t="str">
        <f>IF(AR4="y",CHAR(34)&amp;AR$1&amp;CHAR(34)&amp;",","")</f>
        <v/>
      </c>
      <c r="EZ4" s="48" t="str">
        <f>IF(AS4="y",CHAR(34)&amp;AS$1&amp;CHAR(34)&amp;",","")</f>
        <v/>
      </c>
      <c r="FA4" s="48" t="str">
        <f>IF(AT4&gt;0,CHAR(34)&amp;"sta"&amp;AZ4&amp;CHAR(34)&amp;",","")</f>
        <v/>
      </c>
      <c r="FB4" s="48" t="str">
        <f>IF(AND(AT4&gt;0,BA4&lt;&gt;""),CHAR(34)&amp;"sta"&amp;BA4&amp;CHAR(34)&amp;",","")</f>
        <v/>
      </c>
      <c r="FD4" s="48" t="str">
        <f>IF(BV4="n",CHAR(34)&amp;"tcWHYE"&amp;CHAR(34)&amp;",",IF(BV4="y",CHAR(34)&amp;FD$1&amp;CHAR(34)&amp;",",""))</f>
        <v/>
      </c>
      <c r="FE4" s="48" t="str">
        <f>IF(COUNTIF(BL4:BT4,"BLU")=0,CHAR(34)&amp;"NO_BLU"&amp;CHAR(34)&amp;",", "")</f>
        <v>"NO_BLU",</v>
      </c>
      <c r="FF4" s="48" t="str">
        <f>IF(COUNTIF(BL4:BT4,"WHI")=0,CHAR(34)&amp;"NO_WHI"&amp;CHAR(34)&amp;",", "")</f>
        <v/>
      </c>
      <c r="FG4" s="48" t="str">
        <f>IF(COUNTIF(BL4:BT4,"RED")=0,CHAR(34)&amp;"NO_RED"&amp;CHAR(34)&amp;",", "")</f>
        <v>"NO_RED",</v>
      </c>
      <c r="FH4" s="48" t="str">
        <f>IF(COUNTIF(BL4:BS4,"GRE")=0,CHAR(34)&amp;"NO_GRE"&amp;CHAR(34)&amp;",", "")</f>
        <v/>
      </c>
      <c r="FI4" s="48" t="str">
        <f>IF(COUNTIF(BL4:BT4,"YEL")=0,CHAR(34)&amp;"NO_YEL"&amp;CHAR(34)&amp;",", "")</f>
        <v/>
      </c>
      <c r="FJ4" s="48" t="str">
        <f>IF(COUNTIF(BL4:BT4,"BLA")=0,CHAR(34)&amp;"NO_BLA"&amp;CHAR(34)&amp;",", "")</f>
        <v>"NO_BLA",</v>
      </c>
      <c r="FK4" s="48" t="str">
        <f>IF(AND(FH4&lt;&gt;"",FF4&lt;&gt;""),CHAR(34)&amp;"WHGRNO"&amp;CHAR(34)&amp;",","")</f>
        <v/>
      </c>
      <c r="FL4" s="48" t="str">
        <f>IF(AND(FI4&lt;&gt;"",FF4&lt;&gt;""),CHAR(34)&amp;"WHYENO"&amp;CHAR(34)&amp;",","")</f>
        <v/>
      </c>
      <c r="FM4" s="48" t="str">
        <f>IF(AND(FJ4&lt;&gt;"",FF4&lt;&gt;""),CHAR(34)&amp;"BAWHNO"&amp;CHAR(34)&amp;",","")</f>
        <v/>
      </c>
      <c r="FN4" s="48" t="str">
        <f>IF(AND(FE4&lt;&gt;"",FF4&lt;&gt;""),CHAR(34)&amp;"BLWHNO"&amp;CHAR(34)&amp;",","")</f>
        <v/>
      </c>
      <c r="FO4" s="48" t="str">
        <f>IF(AND(FE4&lt;&gt;"",FG4&lt;&gt;""),CHAR(34)&amp;"BLRENO"&amp;CHAR(34)&amp;",","")</f>
        <v>"BLRENO",</v>
      </c>
      <c r="FP4" s="48" t="str">
        <f>IF(AND(FF4&lt;&gt;"",FF4&lt;&gt;""),CHAR(34)&amp;"WHRENO"&amp;CHAR(34)&amp;",","")</f>
        <v/>
      </c>
      <c r="FQ4" s="48" t="str">
        <f>IF(LEN(BF4)=3,CHAR(34)&amp;"001"&amp;BF4&amp;CHAR(34)&amp;",","")</f>
        <v>"001GRE",</v>
      </c>
      <c r="FR4" s="48" t="str">
        <f>IF(LEN(BG4)=3,CHAR(34)&amp;"002"&amp;BG4&amp;CHAR(34)&amp;",","")</f>
        <v>"002WHI",</v>
      </c>
      <c r="FS4" s="48" t="str">
        <f>IF(LEN(BH4)=3,CHAR(34)&amp;"003"&amp;BH4&amp;CHAR(34)&amp;",","")</f>
        <v>"003GRE",</v>
      </c>
      <c r="FT4" s="48" t="str">
        <f>CHAR(34)&amp;"myr"&amp;BD4&amp;CHAR(34)&amp;","</f>
        <v>"myrEQ",</v>
      </c>
      <c r="FU4" s="48" t="str">
        <f>IF(AY4="y",CHAR(34)&amp;"island"&amp;CHAR(34)&amp;",","")</f>
        <v/>
      </c>
      <c r="FV4" s="48" t="str">
        <f>IF(BZ4="y",CHAR(34)&amp;"landlo"&amp;CHAR(34)&amp;",","")</f>
        <v/>
      </c>
      <c r="FW4" s="48" t="str">
        <f>IF(CA4="y",CHAR(34)&amp;"eunion"&amp;CHAR(34)&amp;",","")</f>
        <v/>
      </c>
      <c r="FY4" s="48" t="str">
        <f>IFERROR(IF(SEARCH("Arabic",CB4)&gt;0,CHAR(34)&amp;"arabic"&amp;CHAR(34)&amp;",",""),"")</f>
        <v/>
      </c>
      <c r="FZ4" s="48" t="str">
        <f>IFERROR(IF(SEARCH("English",CB4)&gt;0,CHAR(34)&amp;"englis"&amp;CHAR(34)&amp;",",""),"")</f>
        <v/>
      </c>
      <c r="GA4" s="48" t="str">
        <f>IFERROR(IF(SEARCH("French",CB4)&gt;0,CHAR(34)&amp;"french"&amp;CHAR(34)&amp;",",""),"")</f>
        <v/>
      </c>
      <c r="GB4" s="48" t="str">
        <f>IFERROR(IF(SEARCH("Spanish",CB4)&gt;0,CHAR(34)&amp;"spanis"&amp;CHAR(34)&amp;",",""),"")</f>
        <v/>
      </c>
      <c r="GE4" s="48" t="str">
        <f>IFERROR(IF(SEARCH("Dutch",CB4)&gt;0,CHAR(34)&amp;"dutchs"&amp;CHAR(34)&amp;",",""),"")</f>
        <v/>
      </c>
      <c r="GF4" s="48" t="str">
        <f>IFERROR(IF(SEARCH("Historical",AU4)&gt;0,CHAR(34)&amp;"histor"&amp;CHAR(34)&amp;",",""),"")</f>
        <v>"histor",</v>
      </c>
      <c r="GG4" s="48" t="str">
        <f>IF(BU4="y",CHAR(34)&amp;"unjack"&amp;CHAR(34)&amp;",","")</f>
        <v/>
      </c>
      <c r="GH4" s="48" t="str">
        <f>IF(CD4=1,CHAR(34)&amp;"southc"&amp;CHAR(34)&amp;",","")</f>
        <v/>
      </c>
      <c r="GI4" s="48" t="str">
        <f>IF(CE4=1,CHAR(34)&amp;"hasmap"&amp;CHAR(34)&amp;",","")</f>
        <v/>
      </c>
      <c r="GJ4" s="48" t="str">
        <f>IF(CP4="y",CHAR(34)&amp;CP$1&amp;CHAR(34)&amp;",","")</f>
        <v>"NoStar",</v>
      </c>
      <c r="GK4" s="48" t="str">
        <f>IF(GJ4="",CHAR(34)&amp;"HasSta"&amp;CHAR(34)&amp;",","")</f>
        <v/>
      </c>
      <c r="GL4" s="48" t="str">
        <f>IF(CQ4="y",CHAR(34)&amp;CQ$1&amp;CHAR(34)&amp;",","")</f>
        <v/>
      </c>
      <c r="GM4" s="48" t="str">
        <f>IF(CR4="y",CHAR(34)&amp;CR$1&amp;CHAR(34)&amp;",","")</f>
        <v/>
      </c>
      <c r="GN4" s="48" t="str">
        <f>IF(CS4="y",CHAR(34)&amp;CS$1&amp;CHAR(34)&amp;",","")</f>
        <v/>
      </c>
      <c r="GP4" s="48" t="str">
        <f>CHAR(34)&amp;AU4&amp;CHAR(34)</f>
        <v>"Historical"</v>
      </c>
      <c r="GS4" s="48" t="str">
        <f>SUBSTITUTE("["&amp;_xlfn.CONCAT(CW4:GN4)&amp;"]",",]","]")</f>
        <v>["3Color","words2","words3","lets29","startE","REELHI","year18","allhor","3Bands","Horizo","Circle","Texted","Center","Humans","NO_BLU","NO_RED","NO_BLA","BLRENO","001GRE","002WHI","003GRE","myrEQ","histor","NoStar"]</v>
      </c>
      <c r="GT4" s="48" t="str">
        <f>IF(BL4&lt;&gt;"",CHAR(34)&amp;"cl_"&amp;BL4&amp;CHAR(34)&amp;",","")</f>
        <v/>
      </c>
      <c r="GU4" s="48" t="str">
        <f>IF(BM4&lt;&gt;"",CHAR(34)&amp;"cl_"&amp;BM4&amp;CHAR(34)&amp;",","")</f>
        <v/>
      </c>
      <c r="GV4" s="48" t="str">
        <f>IF(BN4&lt;&gt;"",CHAR(34)&amp;"cl_"&amp;BN4&amp;CHAR(34)&amp;",","")</f>
        <v>"cl_GRE",</v>
      </c>
      <c r="GW4" s="48" t="str">
        <f>IF(BO4&lt;&gt;"",CHAR(34)&amp;"cl_"&amp;BO4&amp;CHAR(34)&amp;",","")</f>
        <v/>
      </c>
      <c r="GX4" s="48" t="str">
        <f>IF(BP4&lt;&gt;"",CHAR(34)&amp;"cl_"&amp;BP4&amp;CHAR(34)&amp;",","")</f>
        <v>"cl_YEL",</v>
      </c>
      <c r="GY4" s="48" t="str">
        <f>IF(BQ4&lt;&gt;"",CHAR(34)&amp;"cl_"&amp;BQ4&amp;CHAR(34)&amp;",","")</f>
        <v/>
      </c>
      <c r="GZ4" s="48" t="str">
        <f>IF(BR4&lt;&gt;"",CHAR(34)&amp;"cl_"&amp;BR4&amp;CHAR(34)&amp;",","")</f>
        <v/>
      </c>
      <c r="HA4" s="48" t="str">
        <f>IF(BS4&lt;&gt;"",CHAR(34)&amp;"cl_"&amp;BS4&amp;CHAR(34)&amp;",","")</f>
        <v/>
      </c>
      <c r="HB4" s="48" t="str">
        <f>IF(BT4&lt;&gt;"",CHAR(34)&amp;"cl_"&amp;BT4&amp;CHAR(34)&amp;",","")</f>
        <v>"cl_WHI",</v>
      </c>
      <c r="HC4" s="48" t="str">
        <f>SUBSTITUTE("["&amp;_xlfn.CONCAT(GT4:HB4)&amp;"]",",]","]")</f>
        <v>["cl_GRE","cl_YEL","cl_WHI"]</v>
      </c>
      <c r="HE4" s="71"/>
      <c r="HF4" s="72" t="str">
        <f>"{couname:"&amp;CT4&amp;(IF(HK4&lt;&gt;"",",subtype:"&amp;CHAR(34)&amp;HK4&amp;CHAR(34),""))&amp;",year:"&amp;HJ4&amp;",region:"&amp;CU4&amp;",Colors:"&amp;HC4&amp;",Items:"&amp;GS4&amp;",Flag:"&amp;CV4&amp;",HDFlag:"&amp;CHAR(34)&amp;E4&amp;CHAR(34)&amp;",type:"&amp;GP4&amp;", describe: "&amp;HH4&amp;", isnew:"&amp;CHAR(34)&amp;F4&amp;CHAR(34)&amp;", links: "&amp;HL4&amp;"},"</f>
        <v>{couname:"[ALG] Emirate of Abdelkader (1832-1847)",year:"1832",region:"rgn_Africa",Colors:["cl_GRE","cl_YEL","cl_WHI"],Items:["3Color","words2","words3","lets29","startE","REELHI","year18","allhor","3Bands","Horizo","Circle","Texted","Center","Humans","NO_BLU","NO_RED","NO_BLA","BLRENO","001GRE","002WHI","003GRE","myrEQ","histor","NoStar"],Flag:"https://upload.wikimedia.org/wikipedia/commons/thumb/a/a1/Flag_of_the_Emirate_of_Mascara.svg/320px-Flag_of_the_Emirate_of_Mascara.svg.png",HDFlag:"https://upload.wikimedia.org/wikipedia/commons/thumb/a/a1/Flag_of_the_Emirate_of_Mascara.svg/640px-Flag_of_the_Emirate_of_Mascara.svg.png",type:"Historical", describe: "\nThe Emirate of Abdelkader was a sovereign country founded by Abdelkader al-Jazairi with the allegiance of the people of Algeria to resist the French conquest of Algeria with its first capital at Mascara then Tagdemt after it was taken by France. Many flags were used in the emirate, but the most important is the green and white one used at Abdelkader's tent. In the white center was a raised hand of Fatima drawn surrounded by the words in gold 'Victory from Allah and the reconquest is near, and the victory by Emir Abdelkader'. Copies of this flag, although different in proportions, are kept in the Emir Abdelkader Museum in Miliana.", isnew:".", links: "https://en.wikipedia.org/wiki/Flag_of_Algeria#Emirate_of_Abdelkader"},</v>
      </c>
      <c r="HG4" s="73" t="str">
        <f>"{couname:"&amp;CT4&amp;(IF(HK4&lt;&gt;"",",subtype:"&amp;CHAR(34)&amp;HK4&amp;CHAR(34),""))&amp;",year:"&amp;HJ4&amp;",region:"&amp;CU4&amp;",Colors:"&amp;HC4&amp;",Items:"&amp;GS4&amp;",Flag:"&amp;CV4&amp;",HDFlag:"&amp;CHAR(34)&amp;E4&amp;CHAR(34)&amp;",type:"&amp;GP4&amp;", describe: "&amp;HI4&amp;", links: "&amp;HL4&amp;"},"</f>
        <v>{couname:"[ALG] Emirate of Abdelkader (1832-1847)",year:"1832",region:"rgn_Africa",Colors:["cl_GRE","cl_YEL","cl_WHI"],Items:["3Color","words2","words3","lets29","startE","REELHI","year18","allhor","3Bands","Horizo","Circle","Texted","Center","Humans","NO_BLU","NO_RED","NO_BLA","BLRENO","001GRE","002WHI","003GRE","myrEQ","histor","NoStar"],Flag:"https://upload.wikimedia.org/wikipedia/commons/thumb/a/a1/Flag_of_the_Emirate_of_Mascara.svg/320px-Flag_of_the_Emirate_of_Mascara.svg.png",HDFlag:"https://upload.wikimedia.org/wikipedia/commons/thumb/a/a1/Flag_of_the_Emirate_of_Mascara.svg/640px-Flag_of_the_Emirate_of_Mascara.svg.png",type:"Historical", describe: "\nThe Emirate of Abdelkader was a sovereign country founded by Abdelkader al-Jazairi with the allegiance of the people of Algeria to resist the French conquest of Algeria with its first capital at Mascara then Tagdemt after it was taken by France. Many flags were used in the emirate, but the most important is the green and white one used at Abdelkader's tent. In the white center was a raised hand of Fatima drawn surrounded by the words in gold 'Victory from Allah and the reconquest is near, and the victory by Emir Abdelkader'. Copies of this flag, although different in proportions, are kept in the Emir Abdelkader Museum in Miliana.", links: "https://en.wikipedia.org/wiki/Flag_of_Algeria#Emirate_of_Abdelkader"},</v>
      </c>
      <c r="HH4" s="48" t="str">
        <f>IF(P4&lt;&gt;"",CHAR(34)&amp;"\n"&amp;P4&amp;CHAR(34),CHAR(34)&amp;CHAR(34))</f>
        <v>"\nThe Emirate of Abdelkader was a sovereign country founded by Abdelkader al-Jazairi with the allegiance of the people of Algeria to resist the French conquest of Algeria with its first capital at Mascara then Tagdemt after it was taken by France. Many flags were used in the emirate, but the most important is the green and white one used at Abdelkader's tent. In the white center was a raised hand of Fatima drawn surrounded by the words in gold 'Victory from Allah and the reconquest is near, and the victory by Emir Abdelkader'. Copies of this flag, although different in proportions, are kept in the Emir Abdelkader Museum in Miliana."</v>
      </c>
      <c r="HI4" s="48" t="str">
        <f>IF(J4=0,CHAR(34)&amp;CHAR(34),HH4)</f>
        <v>"\nThe Emirate of Abdelkader was a sovereign country founded by Abdelkader al-Jazairi with the allegiance of the people of Algeria to resist the French conquest of Algeria with its first capital at Mascara then Tagdemt after it was taken by France. Many flags were used in the emirate, but the most important is the green and white one used at Abdelkader's tent. In the white center was a raised hand of Fatima drawn surrounded by the words in gold 'Victory from Allah and the reconquest is near, and the victory by Emir Abdelkader'. Copies of this flag, although different in proportions, are kept in the Emir Abdelkader Museum in Miliana."</v>
      </c>
      <c r="HJ4" s="48" t="str">
        <f>CHAR(34)&amp;O4&amp;CHAR(34)</f>
        <v>"1832"</v>
      </c>
      <c r="HL4" s="48" t="str">
        <f>CHAR(34)&amp;I4&amp;CHAR(34)</f>
        <v>"https://en.wikipedia.org/wiki/Flag_of_Algeria#Emirate_of_Abdelkader"</v>
      </c>
      <c r="HM4" s="72"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"&amp;HH4&amp;", "&amp;CHAR(34)&amp;"isnew"&amp;CHAR(34)&amp;": "&amp;CHAR(34)&amp;F4&amp;CHAR(34)&amp;", "&amp;CHAR(34)&amp;"links"&amp;CHAR(34)&amp;": "&amp;HL4&amp;"},"</f>
        <v>{"couname":"[ALG] Emirate of Abdelkader (1832-1847)","subtype":"[ALG] Other","year":"1832","region":"rgn_Africa","Colors":["cl_GRE","cl_YEL","cl_WHI"],"Items":["3Color","words2","words3","lets29","startE","REELHI","year18","allhor","3Bands","Horizo","Circle","Texted","Center","Humans","NO_BLU","NO_RED","NO_BLA","BLRENO","001GRE","002WHI","003GRE","myrEQ","histor","NoStar"],"Flag":"https://upload.wikimedia.org/wikipedia/commons/thumb/a/a1/Flag_of_the_Emirate_of_Mascara.svg/320px-Flag_of_the_Emirate_of_Mascara.svg.png","HDFlag":"https://upload.wikimedia.org/wikipedia/commons/thumb/a/a1/Flag_of_the_Emirate_of_Mascara.svg/640px-Flag_of_the_Emirate_of_Mascara.svg.png","type":"Historical", "describe": "\nThe Emirate of Abdelkader was a sovereign country founded by Abdelkader al-Jazairi with the allegiance of the people of Algeria to resist the French conquest of Algeria with its first capital at Mascara then Tagdemt after it was taken by France. Many flags were used in the emirate, but the most important is the green and white one used at Abdelkader's tent. In the white center was a raised hand of Fatima drawn surrounded by the words in gold 'Victory from Allah and the reconquest is near, and the victory by Emir Abdelkader'. Copies of this flag, although different in proportions, are kept in the Emir Abdelkader Museum in Miliana.", "isnew": ".", "links": "https://en.wikipedia.org/wiki/Flag_of_Algeria#Emirate_of_Abdelkader"},</v>
      </c>
      <c r="HN4" s="74"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"&amp;HI4&amp;", "&amp;CHAR(34)&amp;"isnew"&amp;CHAR(34)&amp;": "&amp;CHAR(34)&amp;F4&amp;CHAR(34)&amp;", "&amp;CHAR(34)&amp;"links"&amp;CHAR(34)&amp;": "&amp;HL4&amp;"},"</f>
        <v>{"couname":"[ALG] Emirate of Abdelkader (1832-1847)","subtype":"[ALG] Other","year":"1832","region":"rgn_Africa","Colors":["cl_GRE","cl_YEL","cl_WHI"],"Items":["3Color","words2","words3","lets29","startE","REELHI","year18","allhor","3Bands","Horizo","Circle","Texted","Center","Humans","NO_BLU","NO_RED","NO_BLA","BLRENO","001GRE","002WHI","003GRE","myrEQ","histor","NoStar"],"Flag":"https://upload.wikimedia.org/wikipedia/commons/thumb/a/a1/Flag_of_the_Emirate_of_Mascara.svg/320px-Flag_of_the_Emirate_of_Mascara.svg.png","HDFlag":"https://upload.wikimedia.org/wikipedia/commons/thumb/a/a1/Flag_of_the_Emirate_of_Mascara.svg/640px-Flag_of_the_Emirate_of_Mascara.svg.png","type":"Historical", "describe": "\nThe Emirate of Abdelkader was a sovereign country founded by Abdelkader al-Jazairi with the allegiance of the people of Algeria to resist the French conquest of Algeria with its first capital at Mascara then Tagdemt after it was taken by France. Many flags were used in the emirate, but the most important is the green and white one used at Abdelkader's tent. In the white center was a raised hand of Fatima drawn surrounded by the words in gold 'Victory from Allah and the reconquest is near, and the victory by Emir Abdelkader'. Copies of this flag, although different in proportions, are kept in the Emir Abdelkader Museum in Miliana.", "isnew": ".", "links": "https://en.wikipedia.org/wiki/Flag_of_Algeria#Emirate_of_Abdelkader"},</v>
      </c>
      <c r="HO4" s="75">
        <v>45618</v>
      </c>
      <c r="HP4" s="48" t="str" cm="1">
        <f t="array" ref="HP4">IF(_xlfn.TEXTJOIN(", ", TRUE, IF(ISNUMBER(SEARCH("BLA", BL4:BT4)), COLUMN(BL4:BT4) - COLUMN(BL4) + 1, ""))&lt;&gt;"","BLA","")</f>
        <v/>
      </c>
      <c r="HQ4" s="48" t="str" cm="1">
        <f t="array" ref="HQ4">IF(_xlfn.TEXTJOIN(", ", TRUE, IF(ISNUMBER(SEARCH("BLU", BL4:BT4)), COLUMN(BL4:BT4) - COLUMN(BL4) + 1, ""))&lt;&gt;"","BLU","")</f>
        <v/>
      </c>
      <c r="HR4" s="48" t="str" cm="1">
        <f t="array" ref="HR4">IF(_xlfn.TEXTJOIN(", ", TRUE, IF(ISNUMBER(SEARCH("GRE", BL4:BT4)), COLUMN(BL4:BT4) - COLUMN(BL4) + 1, ""))&lt;&gt;"","GRE","")</f>
        <v>GRE</v>
      </c>
      <c r="HS4" s="48" t="str" cm="1">
        <f t="array" ref="HS4">IF(_xlfn.TEXTJOIN(", ", TRUE, IF(ISNUMBER(SEARCH("RED", BL4:BT4)), COLUMN(BL4:BT4) - COLUMN(BL4) + 1, ""))&lt;&gt;"","RED","")</f>
        <v/>
      </c>
      <c r="HT4" s="48" t="str" cm="1">
        <f t="array" ref="HT4">IF(_xlfn.TEXTJOIN(", ", TRUE, IF(ISNUMBER(SEARCH("YEL", BL4:BT4)), COLUMN(BL4:BT4) - COLUMN(BL4) + 1, ""))&lt;&gt;"","YEL","")</f>
        <v>YEL</v>
      </c>
      <c r="HU4" s="48" t="str" cm="1">
        <f t="array" ref="HU4">IF(_xlfn.TEXTJOIN(", ", TRUE, IF(ISNUMBER(SEARCH("ORA", BL4:BT4)), COLUMN(BL4:BT4) - COLUMN(BL4) + 1, ""))&lt;&gt;"","ORA","")</f>
        <v/>
      </c>
      <c r="HV4" s="48" t="str" cm="1">
        <f t="array" ref="HV4">IF(_xlfn.TEXTJOIN(", ", TRUE, IF(ISNUMBER(SEARCH("BRO", BL4:BT4)), COLUMN(BL4:BT4) - COLUMN(BL4) + 1, ""))&lt;&gt;"","BRO","")</f>
        <v/>
      </c>
      <c r="HW4" s="48" t="str" cm="1">
        <f t="array" ref="HW4">IF(_xlfn.TEXTJOIN(", ", TRUE, IF(ISNUMBER(SEARCH("PUR", BL4:BT4)), COLUMN(BL4:BT4) - COLUMN(BL4) + 1, ""))&lt;&gt;"","PUR","")</f>
        <v/>
      </c>
      <c r="HX4" s="48" t="str" cm="1">
        <f t="array" ref="HX4">IF(_xlfn.TEXTJOIN(", ", TRUE, IF(ISNUMBER(SEARCH("WHI", BL4:BT4)), COLUMN(BL4:BT4) - COLUMN(BL4) + 1, ""))&lt;&gt;"","WHI","")</f>
        <v>WHI</v>
      </c>
      <c r="HY4" s="76"/>
      <c r="HZ4" s="76"/>
      <c r="IA4" s="6"/>
      <c r="IB4" s="6"/>
      <c r="IC4" s="77"/>
      <c r="ID4" s="77"/>
      <c r="IE4" s="77"/>
      <c r="IF4" s="77"/>
      <c r="IG4" s="77"/>
      <c r="IH4" s="77"/>
      <c r="II4" s="77"/>
      <c r="IJ4" s="77"/>
      <c r="IK4" s="77"/>
      <c r="IM4" s="45">
        <f>COUNTIF(IC4:IK4,"&gt;0")-CG4</f>
        <v>-3</v>
      </c>
      <c r="IN4" s="78" t="str">
        <f>"http://mkweb.bcgsc.ca/color-summarizer/?url="&amp;D4&amp;"&amp;precision=low&amp;num_clusters="&amp;CG4&amp;"&amp;text=1"</f>
        <v>http://mkweb.bcgsc.ca/color-summarizer/?url=https://upload.wikimedia.org/wikipedia/commons/thumb/a/a1/Flag_of_the_Emirate_of_Mascara.svg/320px-Flag_of_the_Emirate_of_Mascara.svg.png&amp;precision=low&amp;num_clusters=3&amp;text=1</v>
      </c>
      <c r="IO4" s="48" t="str">
        <f>IF(HP4&lt;&gt;"",CHAR(34)&amp;"black"&amp;CHAR(34),"")</f>
        <v/>
      </c>
      <c r="IP4" s="48" t="str">
        <f>IF(HQ4&lt;&gt;"",CHAR(34)&amp;"blue"&amp;CHAR(34),"")</f>
        <v/>
      </c>
      <c r="IQ4" s="48" t="str">
        <f>IF(HR4&lt;&gt;"",CHAR(34)&amp;"green"&amp;CHAR(34),"")</f>
        <v>"green"</v>
      </c>
      <c r="IR4" s="48" t="str">
        <f>IF(HS4&lt;&gt;"",CHAR(34)&amp;"red"&amp;CHAR(34),"")</f>
        <v/>
      </c>
      <c r="IS4" s="48" t="str">
        <f>IF(HT4&lt;&gt;"",CHAR(34)&amp;"yellow"&amp;CHAR(34),"")</f>
        <v>"yellow"</v>
      </c>
      <c r="IT4" s="48" t="str">
        <f>IF(HU4&lt;&gt;"",CHAR(34)&amp;"orange"&amp;CHAR(34),"")</f>
        <v/>
      </c>
      <c r="IU4" s="48" t="str">
        <f>IF(HV4&lt;&gt;"",CHAR(34)&amp;"brown"&amp;CHAR(34),"")</f>
        <v/>
      </c>
      <c r="IV4" s="48" t="str">
        <f>IF(HW4&lt;&gt;"",CHAR(34)&amp;"purple"&amp;CHAR(34),"")</f>
        <v/>
      </c>
      <c r="IW4" s="48" t="str">
        <f>IF(HX4&lt;&gt;"",CHAR(34)&amp;"white"&amp;CHAR(34),"")</f>
        <v>"white"</v>
      </c>
      <c r="IX4" s="48" t="str">
        <f>"{"&amp;CHAR(34)&amp;"url"&amp;CHAR(34)&amp;":"&amp;CHAR(34)&amp;IN4&amp;CHAR(34)&amp;","&amp;CHAR(34)&amp;"name"&amp;CHAR(34)&amp;":"&amp;CHAR(34)&amp;A4&amp;CHAR(34)&amp;"},"</f>
        <v>{"url":"http://mkweb.bcgsc.ca/color-summarizer/?url=https://upload.wikimedia.org/wikipedia/commons/thumb/a/a1/Flag_of_the_Emirate_of_Mascara.svg/320px-Flag_of_the_Emirate_of_Mascara.svg.png&amp;precision=low&amp;num_clusters=3&amp;text=1","name":"[ALG] Emirate of Abdelkader (1832-1847)"},</v>
      </c>
      <c r="IY4" s="48">
        <v>936</v>
      </c>
    </row>
    <row r="5" spans="1:259" ht="38.4" customHeight="1" x14ac:dyDescent="0.3">
      <c r="F5" s="82"/>
      <c r="G5" s="82"/>
      <c r="H5" s="82"/>
      <c r="I5" s="82"/>
      <c r="J5" s="82"/>
      <c r="K5" s="82"/>
    </row>
    <row r="6" spans="1:259" ht="38.4" customHeight="1" x14ac:dyDescent="0.3">
      <c r="G6" s="83"/>
      <c r="H6" s="83"/>
      <c r="I6" s="83"/>
      <c r="J6" s="83"/>
    </row>
    <row r="7" spans="1:259" ht="38.4" customHeight="1" x14ac:dyDescent="0.3">
      <c r="G7" s="83"/>
      <c r="H7" s="83"/>
      <c r="I7" s="83"/>
      <c r="J7" s="83"/>
    </row>
    <row r="8" spans="1:259" ht="38.4" customHeight="1" x14ac:dyDescent="0.3">
      <c r="G8" s="83"/>
      <c r="H8" s="83"/>
      <c r="I8" s="83"/>
      <c r="J8" s="83"/>
    </row>
    <row r="9" spans="1:259" ht="38.4" customHeight="1" x14ac:dyDescent="0.3">
      <c r="G9" s="83"/>
      <c r="H9" s="83"/>
      <c r="I9" s="83"/>
      <c r="J9" s="83"/>
    </row>
    <row r="10" spans="1:259" ht="38.4" customHeight="1" x14ac:dyDescent="0.3">
      <c r="G10" s="83"/>
      <c r="H10" s="83"/>
      <c r="I10" s="83"/>
      <c r="J10" s="83"/>
    </row>
    <row r="11" spans="1:259" ht="38.4" customHeight="1" x14ac:dyDescent="0.3">
      <c r="G11" s="83"/>
      <c r="H11" s="83"/>
      <c r="I11" s="83"/>
      <c r="J11" s="83"/>
    </row>
  </sheetData>
  <autoFilter ref="A1:IY1" xr:uid="{A1051193-A95B-4CFB-A73C-F0184620C81F}">
    <sortState xmlns:xlrd2="http://schemas.microsoft.com/office/spreadsheetml/2017/richdata2" ref="A2:IY5">
      <sortCondition ref="AW1"/>
    </sortState>
  </autoFilter>
  <conditionalFormatting sqref="H1 CW1:GS1 IA1:IB1">
    <cfRule type="cellIs" dxfId="6459" priority="118" operator="greaterThan">
      <formula>0</formula>
    </cfRule>
  </conditionalFormatting>
  <conditionalFormatting sqref="H1 H12:H1048576">
    <cfRule type="cellIs" dxfId="6458" priority="84" stopIfTrue="1" operator="notEqual">
      <formula>""</formula>
    </cfRule>
  </conditionalFormatting>
  <conditionalFormatting sqref="T1:BK1">
    <cfRule type="cellIs" dxfId="6457" priority="121" operator="greaterThan">
      <formula>0</formula>
    </cfRule>
  </conditionalFormatting>
  <conditionalFormatting sqref="BV1:BW1 BV5:BW1048576">
    <cfRule type="cellIs" dxfId="6456" priority="120" operator="equal">
      <formula>"nc"</formula>
    </cfRule>
  </conditionalFormatting>
  <conditionalFormatting sqref="HF1:HG1">
    <cfRule type="cellIs" dxfId="6455" priority="122" operator="greaterThan">
      <formula>0</formula>
    </cfRule>
  </conditionalFormatting>
  <conditionalFormatting sqref="HK1">
    <cfRule type="cellIs" dxfId="6454" priority="119" operator="greaterThan">
      <formula>0</formula>
    </cfRule>
  </conditionalFormatting>
  <conditionalFormatting sqref="HP1:HX1">
    <cfRule type="cellIs" dxfId="6453" priority="96" operator="equal">
      <formula>"PIN"</formula>
    </cfRule>
    <cfRule type="cellIs" dxfId="6452" priority="97" operator="equal">
      <formula>"ORA"</formula>
    </cfRule>
    <cfRule type="cellIs" dxfId="6451" priority="98" operator="equal">
      <formula>"GRA"</formula>
    </cfRule>
    <cfRule type="cellIs" dxfId="6450" priority="99" operator="equal">
      <formula>"PUR"</formula>
    </cfRule>
    <cfRule type="cellIs" dxfId="6449" priority="100" operator="equal">
      <formula>"BRO"</formula>
    </cfRule>
    <cfRule type="cellIs" dxfId="6448" priority="101" operator="equal">
      <formula>"YEL"</formula>
    </cfRule>
    <cfRule type="cellIs" dxfId="6447" priority="102" operator="equal">
      <formula>"BLU"</formula>
    </cfRule>
    <cfRule type="cellIs" dxfId="6446" priority="103" operator="equal">
      <formula>"WHI"</formula>
    </cfRule>
    <cfRule type="cellIs" dxfId="6445" priority="104" operator="equal">
      <formula>"GRE"</formula>
    </cfRule>
    <cfRule type="cellIs" dxfId="6444" priority="105" operator="equal">
      <formula>"RED"</formula>
    </cfRule>
    <cfRule type="cellIs" dxfId="6443" priority="106" operator="equal">
      <formula>"BLA"</formula>
    </cfRule>
  </conditionalFormatting>
  <conditionalFormatting sqref="IC1:IK1">
    <cfRule type="cellIs" dxfId="6442" priority="107" operator="equal">
      <formula>"PIN"</formula>
    </cfRule>
    <cfRule type="cellIs" dxfId="6441" priority="108" operator="equal">
      <formula>"ORA"</formula>
    </cfRule>
    <cfRule type="cellIs" dxfId="6440" priority="109" operator="equal">
      <formula>"GRA"</formula>
    </cfRule>
    <cfRule type="cellIs" dxfId="6439" priority="110" operator="equal">
      <formula>"PUR"</formula>
    </cfRule>
    <cfRule type="cellIs" dxfId="6438" priority="111" operator="equal">
      <formula>"BRO"</formula>
    </cfRule>
    <cfRule type="cellIs" dxfId="6437" priority="112" operator="equal">
      <formula>"YEL"</formula>
    </cfRule>
    <cfRule type="cellIs" dxfId="6436" priority="113" operator="equal">
      <formula>"BLU"</formula>
    </cfRule>
    <cfRule type="cellIs" dxfId="6435" priority="114" operator="equal">
      <formula>"WHI"</formula>
    </cfRule>
    <cfRule type="cellIs" dxfId="6434" priority="115" operator="equal">
      <formula>"GRE"</formula>
    </cfRule>
    <cfRule type="cellIs" dxfId="6433" priority="116" operator="equal">
      <formula>"RED"</formula>
    </cfRule>
    <cfRule type="cellIs" dxfId="6432" priority="117" operator="equal">
      <formula>"BLA"</formula>
    </cfRule>
  </conditionalFormatting>
  <conditionalFormatting sqref="IO1:IW1">
    <cfRule type="cellIs" dxfId="6431" priority="85" operator="equal">
      <formula>"PIN"</formula>
    </cfRule>
    <cfRule type="cellIs" dxfId="6430" priority="86" operator="equal">
      <formula>"ORA"</formula>
    </cfRule>
    <cfRule type="cellIs" dxfId="6429" priority="87" operator="equal">
      <formula>"GRA"</formula>
    </cfRule>
    <cfRule type="cellIs" dxfId="6428" priority="88" operator="equal">
      <formula>"PUR"</formula>
    </cfRule>
    <cfRule type="cellIs" dxfId="6427" priority="89" operator="equal">
      <formula>"BRO"</formula>
    </cfRule>
    <cfRule type="cellIs" dxfId="6426" priority="90" operator="equal">
      <formula>"YEL"</formula>
    </cfRule>
    <cfRule type="cellIs" dxfId="6425" priority="91" operator="equal">
      <formula>"BLU"</formula>
    </cfRule>
    <cfRule type="cellIs" dxfId="6424" priority="92" operator="equal">
      <formula>"WHI"</formula>
    </cfRule>
    <cfRule type="cellIs" dxfId="6423" priority="93" operator="equal">
      <formula>"GRE"</formula>
    </cfRule>
    <cfRule type="cellIs" dxfId="6422" priority="94" operator="equal">
      <formula>"RED"</formula>
    </cfRule>
    <cfRule type="cellIs" dxfId="6421" priority="95" operator="equal">
      <formula>"BLA"</formula>
    </cfRule>
  </conditionalFormatting>
  <conditionalFormatting sqref="H3:H4">
    <cfRule type="cellIs" dxfId="6420" priority="76" stopIfTrue="1" operator="notEqual">
      <formula>""</formula>
    </cfRule>
  </conditionalFormatting>
  <conditionalFormatting sqref="R3:R4 CU3:CU4">
    <cfRule type="cellIs" dxfId="6419" priority="79" operator="greaterThan">
      <formula>0</formula>
    </cfRule>
  </conditionalFormatting>
  <conditionalFormatting sqref="T3:AS4 CH3:CS4">
    <cfRule type="cellIs" dxfId="6418" priority="73" stopIfTrue="1" operator="equal">
      <formula>"n"</formula>
    </cfRule>
    <cfRule type="cellIs" dxfId="6417" priority="74" stopIfTrue="1" operator="equal">
      <formula>"y"</formula>
    </cfRule>
    <cfRule type="cellIs" dxfId="6416" priority="75" operator="greaterThan">
      <formula>0</formula>
    </cfRule>
  </conditionalFormatting>
  <conditionalFormatting sqref="AZ3:BB4">
    <cfRule type="expression" dxfId="6415" priority="60">
      <formula>$AT3=0</formula>
    </cfRule>
  </conditionalFormatting>
  <conditionalFormatting sqref="CD3:CF4 BX3:CA4 AZ3:BU4">
    <cfRule type="cellIs" dxfId="6414" priority="61" operator="equal">
      <formula>"PIN"</formula>
    </cfRule>
    <cfRule type="cellIs" dxfId="6413" priority="62" operator="equal">
      <formula>"ORA"</formula>
    </cfRule>
    <cfRule type="cellIs" dxfId="6412" priority="63" operator="equal">
      <formula>"GRA"</formula>
    </cfRule>
    <cfRule type="cellIs" dxfId="6411" priority="64" operator="equal">
      <formula>"PUR"</formula>
    </cfRule>
    <cfRule type="cellIs" dxfId="6410" priority="65" operator="equal">
      <formula>"BRO"</formula>
    </cfRule>
    <cfRule type="cellIs" dxfId="6409" priority="66" operator="equal">
      <formula>"YEL"</formula>
    </cfRule>
    <cfRule type="cellIs" dxfId="6408" priority="67" operator="equal">
      <formula>"BLU"</formula>
    </cfRule>
    <cfRule type="cellIs" dxfId="6407" priority="68" operator="equal">
      <formula>"WHI"</formula>
    </cfRule>
    <cfRule type="cellIs" dxfId="6406" priority="69" operator="equal">
      <formula>"GRE"</formula>
    </cfRule>
    <cfRule type="cellIs" dxfId="6405" priority="70" operator="equal">
      <formula>"RED"</formula>
    </cfRule>
    <cfRule type="cellIs" dxfId="6404" priority="71" operator="equal">
      <formula>"BLA"</formula>
    </cfRule>
  </conditionalFormatting>
  <conditionalFormatting sqref="BV3:BV4">
    <cfRule type="cellIs" dxfId="6403" priority="78" operator="equal">
      <formula>"nc"</formula>
    </cfRule>
  </conditionalFormatting>
  <conditionalFormatting sqref="CD3:CF4 BX3:CA4">
    <cfRule type="cellIs" dxfId="6402" priority="77" operator="equal">
      <formula>"y"</formula>
    </cfRule>
  </conditionalFormatting>
  <conditionalFormatting sqref="CD3:CF4 BZ3:CA4">
    <cfRule type="cellIs" dxfId="6401" priority="72" operator="greaterThan">
      <formula>0</formula>
    </cfRule>
  </conditionalFormatting>
  <conditionalFormatting sqref="IC3:IK4">
    <cfRule type="expression" dxfId="6400" priority="59">
      <formula>$IL3&gt;0</formula>
    </cfRule>
  </conditionalFormatting>
  <conditionalFormatting sqref="IC3:IC4">
    <cfRule type="cellIs" dxfId="6399" priority="53" stopIfTrue="1" operator="greaterThan">
      <formula>0</formula>
    </cfRule>
  </conditionalFormatting>
  <conditionalFormatting sqref="ID3:ID4">
    <cfRule type="cellIs" dxfId="6398" priority="51" stopIfTrue="1" operator="greaterThan">
      <formula>0</formula>
    </cfRule>
  </conditionalFormatting>
  <conditionalFormatting sqref="II3:II4 IE3:IF4">
    <cfRule type="cellIs" dxfId="6397" priority="58" operator="greaterThan">
      <formula>0</formula>
    </cfRule>
  </conditionalFormatting>
  <conditionalFormatting sqref="II3:II4 IF3:IF4">
    <cfRule type="cellIs" dxfId="6396" priority="52" stopIfTrue="1" operator="greaterThan">
      <formula>0</formula>
    </cfRule>
  </conditionalFormatting>
  <conditionalFormatting sqref="IG3:IG4">
    <cfRule type="cellIs" dxfId="6395" priority="57" operator="greaterThan">
      <formula>0</formula>
    </cfRule>
  </conditionalFormatting>
  <conditionalFormatting sqref="IH3:II4">
    <cfRule type="cellIs" dxfId="6394" priority="56" operator="greaterThan">
      <formula>0</formula>
    </cfRule>
  </conditionalFormatting>
  <conditionalFormatting sqref="IJ3:IJ4">
    <cfRule type="cellIs" dxfId="6393" priority="55" operator="greaterThan">
      <formula>0</formula>
    </cfRule>
  </conditionalFormatting>
  <conditionalFormatting sqref="IK3:IK4">
    <cfRule type="cellIs" dxfId="6392" priority="54" operator="greaterThan">
      <formula>0</formula>
    </cfRule>
  </conditionalFormatting>
  <conditionalFormatting sqref="IF3:IF4">
    <cfRule type="cellIs" dxfId="6391" priority="50" stopIfTrue="1" operator="greaterThan">
      <formula>0</formula>
    </cfRule>
  </conditionalFormatting>
  <conditionalFormatting sqref="IM3:IM4">
    <cfRule type="cellIs" dxfId="6390" priority="49" operator="equal">
      <formula>0</formula>
    </cfRule>
  </conditionalFormatting>
  <conditionalFormatting sqref="BX3:CA4 CD3:CF4">
    <cfRule type="cellIs" dxfId="6389" priority="37" operator="equal">
      <formula>"y"</formula>
    </cfRule>
    <cfRule type="cellIs" dxfId="6388" priority="38" operator="equal">
      <formula>"PIN"</formula>
    </cfRule>
    <cfRule type="cellIs" dxfId="6387" priority="39" operator="equal">
      <formula>"ORA"</formula>
    </cfRule>
    <cfRule type="cellIs" dxfId="6386" priority="40" operator="equal">
      <formula>"GRA"</formula>
    </cfRule>
    <cfRule type="cellIs" dxfId="6385" priority="41" operator="equal">
      <formula>"PUR"</formula>
    </cfRule>
    <cfRule type="cellIs" dxfId="6384" priority="42" operator="equal">
      <formula>"BRO"</formula>
    </cfRule>
    <cfRule type="cellIs" dxfId="6383" priority="43" operator="equal">
      <formula>"YEL"</formula>
    </cfRule>
    <cfRule type="cellIs" dxfId="6382" priority="44" operator="equal">
      <formula>"BLU"</formula>
    </cfRule>
    <cfRule type="cellIs" dxfId="6381" priority="45" operator="equal">
      <formula>"WHI"</formula>
    </cfRule>
    <cfRule type="cellIs" dxfId="6380" priority="46" operator="equal">
      <formula>"GRE"</formula>
    </cfRule>
    <cfRule type="cellIs" dxfId="6379" priority="47" operator="equal">
      <formula>"RED"</formula>
    </cfRule>
    <cfRule type="cellIs" dxfId="6378" priority="48" operator="equal">
      <formula>"BLA"</formula>
    </cfRule>
  </conditionalFormatting>
  <conditionalFormatting sqref="AT3:AT4">
    <cfRule type="colorScale" priority="80">
      <colorScale>
        <cfvo type="min"/>
        <cfvo type="max"/>
        <color rgb="FFFCFCFF"/>
        <color theme="8" tint="0.39997558519241921"/>
      </colorScale>
    </cfRule>
  </conditionalFormatting>
  <conditionalFormatting sqref="S3:S4">
    <cfRule type="colorScale" priority="81">
      <colorScale>
        <cfvo type="min"/>
        <cfvo type="max"/>
        <color rgb="FFFCFCFF"/>
        <color rgb="FF754BFB"/>
      </colorScale>
    </cfRule>
  </conditionalFormatting>
  <conditionalFormatting sqref="J3:J4">
    <cfRule type="colorScale" priority="82">
      <colorScale>
        <cfvo type="min"/>
        <cfvo type="percentile" val="50"/>
        <cfvo type="max"/>
        <color rgb="FFF8696B"/>
        <color rgb="FFFFEB84"/>
        <color rgb="FF63BE7B"/>
      </colorScale>
    </cfRule>
  </conditionalFormatting>
  <conditionalFormatting sqref="CG3:CG4">
    <cfRule type="colorScale" priority="83">
      <colorScale>
        <cfvo type="min"/>
        <cfvo type="max"/>
        <color rgb="FFFCFCFF"/>
        <color rgb="FF63BE7B"/>
      </colorScale>
    </cfRule>
  </conditionalFormatting>
  <conditionalFormatting sqref="H2">
    <cfRule type="cellIs" dxfId="6377" priority="30" stopIfTrue="1" operator="notEqual">
      <formula>""</formula>
    </cfRule>
  </conditionalFormatting>
  <conditionalFormatting sqref="R2 CU2">
    <cfRule type="cellIs" dxfId="6376" priority="32" operator="greaterThan">
      <formula>0</formula>
    </cfRule>
  </conditionalFormatting>
  <conditionalFormatting sqref="T2:AS2 CH2:CS2">
    <cfRule type="cellIs" dxfId="6375" priority="27" stopIfTrue="1" operator="equal">
      <formula>"n"</formula>
    </cfRule>
    <cfRule type="cellIs" dxfId="6374" priority="28" stopIfTrue="1" operator="equal">
      <formula>"y"</formula>
    </cfRule>
    <cfRule type="cellIs" dxfId="6373" priority="29" operator="greaterThan">
      <formula>0</formula>
    </cfRule>
  </conditionalFormatting>
  <conditionalFormatting sqref="AZ2:BB2">
    <cfRule type="expression" dxfId="6372" priority="14">
      <formula>$AT2=0</formula>
    </cfRule>
  </conditionalFormatting>
  <conditionalFormatting sqref="AZ2:BU2">
    <cfRule type="cellIs" dxfId="6371" priority="15" operator="equal">
      <formula>"PIN"</formula>
    </cfRule>
    <cfRule type="cellIs" dxfId="6370" priority="16" operator="equal">
      <formula>"ORA"</formula>
    </cfRule>
    <cfRule type="cellIs" dxfId="6369" priority="17" operator="equal">
      <formula>"GRA"</formula>
    </cfRule>
    <cfRule type="cellIs" dxfId="6368" priority="18" operator="equal">
      <formula>"PUR"</formula>
    </cfRule>
    <cfRule type="cellIs" dxfId="6367" priority="19" operator="equal">
      <formula>"BRO"</formula>
    </cfRule>
    <cfRule type="cellIs" dxfId="6366" priority="20" operator="equal">
      <formula>"YEL"</formula>
    </cfRule>
    <cfRule type="cellIs" dxfId="6365" priority="21" operator="equal">
      <formula>"BLU"</formula>
    </cfRule>
    <cfRule type="cellIs" dxfId="6364" priority="22" operator="equal">
      <formula>"WHI"</formula>
    </cfRule>
    <cfRule type="cellIs" dxfId="6363" priority="23" operator="equal">
      <formula>"GRE"</formula>
    </cfRule>
    <cfRule type="cellIs" dxfId="6362" priority="24" operator="equal">
      <formula>"RED"</formula>
    </cfRule>
    <cfRule type="cellIs" dxfId="6361" priority="25" operator="equal">
      <formula>"BLA"</formula>
    </cfRule>
  </conditionalFormatting>
  <conditionalFormatting sqref="BV2">
    <cfRule type="cellIs" dxfId="6360" priority="31" operator="equal">
      <formula>"nc"</formula>
    </cfRule>
  </conditionalFormatting>
  <conditionalFormatting sqref="CD2:CF2 BZ2:CA2">
    <cfRule type="cellIs" dxfId="6359" priority="26" operator="greaterThan">
      <formula>0</formula>
    </cfRule>
  </conditionalFormatting>
  <conditionalFormatting sqref="IC2:IK2">
    <cfRule type="expression" dxfId="6358" priority="13">
      <formula>$IL2&gt;0</formula>
    </cfRule>
  </conditionalFormatting>
  <conditionalFormatting sqref="BX2:CA2 CD2:CF2">
    <cfRule type="cellIs" dxfId="6357" priority="1" operator="equal">
      <formula>"y"</formula>
    </cfRule>
    <cfRule type="cellIs" dxfId="6356" priority="2" operator="equal">
      <formula>"PIN"</formula>
    </cfRule>
    <cfRule type="cellIs" dxfId="6355" priority="3" operator="equal">
      <formula>"ORA"</formula>
    </cfRule>
    <cfRule type="cellIs" dxfId="6354" priority="4" operator="equal">
      <formula>"GRA"</formula>
    </cfRule>
    <cfRule type="cellIs" dxfId="6353" priority="5" operator="equal">
      <formula>"PUR"</formula>
    </cfRule>
    <cfRule type="cellIs" dxfId="6352" priority="6" operator="equal">
      <formula>"BRO"</formula>
    </cfRule>
    <cfRule type="cellIs" dxfId="6351" priority="7" operator="equal">
      <formula>"YEL"</formula>
    </cfRule>
    <cfRule type="cellIs" dxfId="6350" priority="8" operator="equal">
      <formula>"BLU"</formula>
    </cfRule>
    <cfRule type="cellIs" dxfId="6349" priority="9" operator="equal">
      <formula>"WHI"</formula>
    </cfRule>
    <cfRule type="cellIs" dxfId="6348" priority="10" operator="equal">
      <formula>"GRE"</formula>
    </cfRule>
    <cfRule type="cellIs" dxfId="6347" priority="11" operator="equal">
      <formula>"RED"</formula>
    </cfRule>
    <cfRule type="cellIs" dxfId="6346" priority="12" operator="equal">
      <formula>"BLA"</formula>
    </cfRule>
  </conditionalFormatting>
  <conditionalFormatting sqref="J2">
    <cfRule type="colorScale" priority="33">
      <colorScale>
        <cfvo type="min"/>
        <cfvo type="percentile" val="50"/>
        <cfvo type="max"/>
        <color rgb="FFF8696B"/>
        <color rgb="FFFFEB84"/>
        <color rgb="FF63BE7B"/>
      </colorScale>
    </cfRule>
  </conditionalFormatting>
  <conditionalFormatting sqref="S2">
    <cfRule type="colorScale" priority="34">
      <colorScale>
        <cfvo type="min"/>
        <cfvo type="max"/>
        <color rgb="FFFCFCFF"/>
        <color rgb="FF754BFB"/>
      </colorScale>
    </cfRule>
  </conditionalFormatting>
  <conditionalFormatting sqref="AT2">
    <cfRule type="colorScale" priority="35">
      <colorScale>
        <cfvo type="min"/>
        <cfvo type="max"/>
        <color rgb="FFFCFCFF"/>
        <color theme="8" tint="0.39997558519241921"/>
      </colorScale>
    </cfRule>
  </conditionalFormatting>
  <conditionalFormatting sqref="CG2">
    <cfRule type="colorScale" priority="36">
      <colorScale>
        <cfvo type="min"/>
        <cfvo type="max"/>
        <color rgb="FFFCFCFF"/>
        <color rgb="FF63BE7B"/>
      </colorScale>
    </cfRule>
  </conditionalFormatting>
  <hyperlinks>
    <hyperlink ref="D3" r:id="rId1" xr:uid="{45398356-5144-4AAA-8A19-5D0CC4F10345}"/>
    <hyperlink ref="E3" r:id="rId2" xr:uid="{9A992A0D-B80D-4743-B156-851395002BF8}"/>
    <hyperlink ref="I3" r:id="rId3" xr:uid="{C65C33B4-8207-410D-9DD9-15D01C227058}"/>
  </hyperlinks>
  <pageMargins left="0.7" right="0.7" top="0.75" bottom="0.75"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9217" r:id="rId7"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9218" r:id="rId8"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9219" r:id="rId9"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68B026-28B0-44F5-9FE6-4EE869D5F19B}">
  <sheetPr codeName="Sheet41"/>
  <dimension ref="A1:IY6"/>
  <sheetViews>
    <sheetView zoomScale="70" zoomScaleNormal="70" workbookViewId="0">
      <pane xSplit="5" ySplit="1" topLeftCell="F2" activePane="bottomRight" state="frozen"/>
      <selection pane="topRight" activeCell="F1" sqref="F1"/>
      <selection pane="bottomLeft" activeCell="A2" sqref="A2"/>
      <selection pane="bottomRight" activeCell="M3" sqref="M3"/>
    </sheetView>
  </sheetViews>
  <sheetFormatPr defaultRowHeight="38.4" customHeight="1" x14ac:dyDescent="0.3"/>
  <cols>
    <col min="1" max="1" width="52.44140625" style="81" bestFit="1" customWidth="1"/>
    <col min="2" max="2" width="10.109375" style="81" customWidth="1"/>
    <col min="3" max="3" width="7.44140625" style="82" customWidth="1"/>
    <col min="4" max="4" width="4.77734375" style="83" customWidth="1"/>
    <col min="5" max="5" width="4.5546875" style="83" customWidth="1"/>
    <col min="6" max="6" width="5.77734375" style="83" customWidth="1"/>
    <col min="7" max="7" width="7.44140625" style="81" customWidth="1"/>
    <col min="8" max="8" width="11.44140625" style="81" customWidth="1"/>
    <col min="9" max="9" width="10" style="81" customWidth="1"/>
    <col min="10" max="10" width="4.21875" style="81" customWidth="1"/>
    <col min="11" max="11" width="5.6640625" style="83" customWidth="1"/>
    <col min="12" max="12" width="2.88671875" style="83" customWidth="1"/>
    <col min="13" max="13" width="6.44140625" style="83" customWidth="1"/>
    <col min="14" max="14" width="4.5546875" style="83" customWidth="1"/>
    <col min="15" max="15" width="10.5546875" style="84" customWidth="1"/>
    <col min="16" max="16" width="6.88671875" style="83" customWidth="1"/>
    <col min="17" max="17" width="4.77734375" style="83" customWidth="1"/>
    <col min="18" max="18" width="13.109375" style="82" customWidth="1"/>
    <col min="19" max="19" width="6.77734375" style="82" customWidth="1"/>
    <col min="20" max="46" width="8.44140625" style="81" customWidth="1"/>
    <col min="47" max="47" width="24.5546875" style="81" customWidth="1"/>
    <col min="48" max="51" width="16.6640625" style="81" customWidth="1"/>
    <col min="52" max="52" width="6.5546875" style="81" customWidth="1"/>
    <col min="53" max="54" width="5.88671875" style="81" customWidth="1"/>
    <col min="55" max="55" width="1.33203125" style="81" customWidth="1"/>
    <col min="56" max="56" width="7.44140625" style="81" customWidth="1"/>
    <col min="57" max="57" width="2.33203125" style="81" customWidth="1"/>
    <col min="58" max="62" width="6.109375" style="81" customWidth="1"/>
    <col min="63" max="63" width="2.33203125" style="81" customWidth="1"/>
    <col min="64" max="64" width="7" style="81" bestFit="1" customWidth="1"/>
    <col min="65" max="65" width="6.44140625" style="81" bestFit="1" customWidth="1"/>
    <col min="66" max="66" width="7.109375" style="81" bestFit="1" customWidth="1"/>
    <col min="67" max="71" width="6.44140625" style="81" bestFit="1" customWidth="1"/>
    <col min="72" max="73" width="6.44140625" style="81" customWidth="1"/>
    <col min="74" max="75" width="13.44140625" style="81" customWidth="1"/>
    <col min="76" max="84" width="14.6640625" style="81" customWidth="1"/>
    <col min="85" max="85" width="6.44140625" style="81" customWidth="1"/>
    <col min="86" max="87" width="11.6640625" style="81" bestFit="1" customWidth="1"/>
    <col min="88" max="88" width="11.6640625" style="81" customWidth="1"/>
    <col min="89" max="89" width="12.77734375" style="81" bestFit="1" customWidth="1"/>
    <col min="90" max="90" width="16.44140625" style="82" bestFit="1" customWidth="1"/>
    <col min="91" max="92" width="14.88671875" style="82" bestFit="1" customWidth="1"/>
    <col min="93" max="93" width="16" style="82" bestFit="1" customWidth="1"/>
    <col min="94" max="97" width="7.77734375" style="81" customWidth="1"/>
    <col min="98" max="98" width="33.21875" style="81" customWidth="1"/>
    <col min="99" max="99" width="18" style="81" customWidth="1"/>
    <col min="100" max="100" width="75.6640625" style="81" customWidth="1"/>
    <col min="101" max="125" width="33" style="81" customWidth="1"/>
    <col min="126" max="126" width="8.88671875" style="81"/>
    <col min="127" max="128" width="9.44140625" style="81" bestFit="1" customWidth="1"/>
    <col min="129" max="129" width="10.77734375" style="81" bestFit="1" customWidth="1"/>
    <col min="130" max="134" width="10.77734375" style="81" customWidth="1"/>
    <col min="135" max="135" width="10.109375" style="81" bestFit="1" customWidth="1"/>
    <col min="136" max="136" width="7.77734375" style="81" bestFit="1" customWidth="1"/>
    <col min="137" max="137" width="7.77734375" style="81" customWidth="1"/>
    <col min="138" max="138" width="9" style="81" bestFit="1" customWidth="1"/>
    <col min="139" max="139" width="11.33203125" style="81" bestFit="1" customWidth="1"/>
    <col min="140" max="140" width="9.109375" style="81" bestFit="1" customWidth="1"/>
    <col min="141" max="141" width="9" style="81" bestFit="1" customWidth="1"/>
    <col min="142" max="142" width="12" style="81" bestFit="1" customWidth="1"/>
    <col min="143" max="166" width="12" style="81" customWidth="1"/>
    <col min="167" max="167" width="17.21875" style="81" customWidth="1"/>
    <col min="168" max="191" width="12" style="81" customWidth="1"/>
    <col min="192" max="192" width="8.5546875" style="81" bestFit="1" customWidth="1"/>
    <col min="193" max="193" width="8.5546875" style="81" customWidth="1"/>
    <col min="194" max="194" width="7.109375" style="81" bestFit="1" customWidth="1"/>
    <col min="195" max="195" width="7.5546875" style="81" bestFit="1" customWidth="1"/>
    <col min="196" max="196" width="8.5546875" style="81" bestFit="1" customWidth="1"/>
    <col min="197" max="200" width="8.5546875" style="81" customWidth="1"/>
    <col min="201" max="201" width="188.88671875" style="81" customWidth="1"/>
    <col min="202" max="202" width="9.5546875" style="81" bestFit="1" customWidth="1"/>
    <col min="203" max="203" width="10.44140625" style="81" bestFit="1" customWidth="1"/>
    <col min="204" max="204" width="11.109375" style="81" bestFit="1" customWidth="1"/>
    <col min="205" max="205" width="10.44140625" style="81" bestFit="1" customWidth="1"/>
    <col min="206" max="210" width="10.44140625" style="81" customWidth="1"/>
    <col min="211" max="211" width="45.44140625" style="81" customWidth="1"/>
    <col min="212" max="212" width="47.5546875" style="81" bestFit="1" customWidth="1"/>
    <col min="213" max="213" width="9.33203125" style="85" customWidth="1"/>
    <col min="214" max="214" width="119.5546875" style="81" customWidth="1"/>
    <col min="215" max="215" width="69.6640625" style="81" customWidth="1"/>
    <col min="216" max="218" width="8.88671875" style="81"/>
    <col min="219" max="219" width="37.109375" style="81" customWidth="1"/>
    <col min="220" max="220" width="16.33203125" style="81" customWidth="1"/>
    <col min="221" max="222" width="8.88671875" style="81"/>
    <col min="223" max="223" width="10.109375" style="81" bestFit="1" customWidth="1"/>
    <col min="224" max="232" width="10.88671875" style="81" customWidth="1"/>
    <col min="233" max="234" width="30.77734375" style="81" customWidth="1"/>
    <col min="235" max="235" width="5.109375" style="81" customWidth="1"/>
    <col min="236" max="236" width="3" style="81" customWidth="1"/>
    <col min="237" max="245" width="6.77734375" style="86" customWidth="1"/>
    <col min="246" max="247" width="8.88671875" style="81"/>
    <col min="248" max="248" width="61.5546875" style="81" customWidth="1"/>
    <col min="249" max="253" width="8.88671875" style="81"/>
    <col min="254" max="254" width="9" style="81" customWidth="1"/>
    <col min="255" max="16384" width="8.88671875" style="8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837</v>
      </c>
      <c r="B2" s="40" t="e" vm="6">
        <v>#VALUE!</v>
      </c>
      <c r="C2" s="41">
        <v>1</v>
      </c>
      <c r="D2" s="42" t="s">
        <v>838</v>
      </c>
      <c r="E2" s="43" t="s">
        <v>839</v>
      </c>
      <c r="F2" s="44" t="s">
        <v>163</v>
      </c>
      <c r="G2" s="45">
        <f>COUNTIF($A$1:$A$8351,A2)</f>
        <v>1</v>
      </c>
      <c r="H2" s="46"/>
      <c r="I2" s="47" t="s">
        <v>840</v>
      </c>
      <c r="J2" s="48" t="str">
        <f>""</f>
        <v/>
      </c>
      <c r="K2" s="49">
        <v>13712828</v>
      </c>
      <c r="L2" s="50">
        <v>337000</v>
      </c>
      <c r="M2" s="50" t="s">
        <v>1106</v>
      </c>
      <c r="N2" s="51" t="s">
        <v>180</v>
      </c>
      <c r="O2" s="52" t="s">
        <v>841</v>
      </c>
      <c r="P2" s="53" t="s">
        <v>842</v>
      </c>
      <c r="Q2" s="54">
        <v>1</v>
      </c>
      <c r="R2" s="55" t="s">
        <v>180</v>
      </c>
      <c r="S2" s="56">
        <v>3</v>
      </c>
      <c r="T2" s="57" t="s">
        <v>164</v>
      </c>
      <c r="U2" s="58" t="s">
        <v>164</v>
      </c>
      <c r="V2" s="58" t="s">
        <v>167</v>
      </c>
      <c r="W2" s="58" t="s">
        <v>167</v>
      </c>
      <c r="X2" s="58" t="s">
        <v>164</v>
      </c>
      <c r="Y2" s="58" t="s">
        <v>164</v>
      </c>
      <c r="Z2" s="58" t="s">
        <v>164</v>
      </c>
      <c r="AA2" s="58" t="s">
        <v>164</v>
      </c>
      <c r="AB2" s="58" t="s">
        <v>164</v>
      </c>
      <c r="AC2" s="58" t="s">
        <v>164</v>
      </c>
      <c r="AD2" s="58" t="s">
        <v>164</v>
      </c>
      <c r="AE2" s="58" t="s">
        <v>164</v>
      </c>
      <c r="AF2" s="59" t="s">
        <v>164</v>
      </c>
      <c r="AG2" s="59" t="s">
        <v>167</v>
      </c>
      <c r="AH2" s="59" t="s">
        <v>164</v>
      </c>
      <c r="AI2" s="59" t="s">
        <v>164</v>
      </c>
      <c r="AJ2" s="59" t="s">
        <v>164</v>
      </c>
      <c r="AK2" s="59" t="s">
        <v>167</v>
      </c>
      <c r="AL2" s="59" t="s">
        <v>164</v>
      </c>
      <c r="AM2" s="59" t="s">
        <v>164</v>
      </c>
      <c r="AN2" s="59" t="s">
        <v>164</v>
      </c>
      <c r="AO2" s="59" t="s">
        <v>164</v>
      </c>
      <c r="AP2" s="59" t="s">
        <v>164</v>
      </c>
      <c r="AQ2" s="59" t="s">
        <v>164</v>
      </c>
      <c r="AR2" s="59" t="s">
        <v>164</v>
      </c>
      <c r="AS2" s="59" t="s">
        <v>164</v>
      </c>
      <c r="AT2" s="60">
        <v>0</v>
      </c>
      <c r="AU2" s="59"/>
      <c r="AV2" s="59" t="str">
        <f>IF(LEFT(A2,1)="[",LEFT(A2,5)&amp;AU2&amp;A2,"")</f>
        <v/>
      </c>
      <c r="AW2" s="59" t="str">
        <f t="shared" ref="AW2" si="0">C2&amp;H2&amp;A2</f>
        <v>1Benin</v>
      </c>
      <c r="AX2" s="61" t="str">
        <f>_xlfn.TEXTJOIN(";",TRUE,AU2:AW2)</f>
        <v>1Benin</v>
      </c>
      <c r="AY2" s="61"/>
      <c r="AZ2" s="62"/>
      <c r="BA2" s="62"/>
      <c r="BB2" s="62"/>
      <c r="BC2" s="63"/>
      <c r="BD2" s="64" t="s">
        <v>169</v>
      </c>
      <c r="BE2" s="47"/>
      <c r="BF2" s="64" t="s">
        <v>153</v>
      </c>
      <c r="BG2" s="64" t="s">
        <v>155</v>
      </c>
      <c r="BH2" s="64" t="s">
        <v>154</v>
      </c>
      <c r="BI2" s="64"/>
      <c r="BJ2" s="64"/>
      <c r="BK2" s="47"/>
      <c r="BL2" s="64" t="s">
        <v>153</v>
      </c>
      <c r="BM2" s="64" t="s">
        <v>155</v>
      </c>
      <c r="BN2" s="64" t="s">
        <v>154</v>
      </c>
      <c r="BO2" s="64"/>
      <c r="BP2" s="64"/>
      <c r="BQ2" s="64"/>
      <c r="BR2" s="64"/>
      <c r="BS2" s="64"/>
      <c r="BT2" s="64"/>
      <c r="BU2" s="65"/>
      <c r="BV2" s="66" t="s">
        <v>165</v>
      </c>
      <c r="BW2" s="66">
        <v>0</v>
      </c>
      <c r="BX2" s="47"/>
      <c r="CB2" s="6" t="s">
        <v>137</v>
      </c>
      <c r="CC2" s="6"/>
      <c r="CD2" s="67">
        <v>0</v>
      </c>
      <c r="CE2" s="67">
        <v>0</v>
      </c>
      <c r="CF2" s="67" t="e">
        <v>#REF!</v>
      </c>
      <c r="CG2" s="68" cm="1">
        <f t="array" ref="CG2">SUMPRODUCT(--(LEN(TRIM(BL2:BT2))&gt;0))</f>
        <v>3</v>
      </c>
      <c r="CH2" s="59" t="str">
        <f>IF(CG2=2,"y","n")</f>
        <v>n</v>
      </c>
      <c r="CI2" s="59" t="str">
        <f>IF(CG2=3,"y","n")</f>
        <v>y</v>
      </c>
      <c r="CJ2" s="59" t="str">
        <f>IF(CG2=4,"y","n")</f>
        <v>n</v>
      </c>
      <c r="CK2" s="59" t="str">
        <f>IF(CG2&gt;4,"y","n")</f>
        <v>n</v>
      </c>
      <c r="CL2" s="59" t="str">
        <f>IF(S2=0,"y","n")</f>
        <v>n</v>
      </c>
      <c r="CM2" s="59" t="str">
        <f>IF(S2=2,"y","n")</f>
        <v>n</v>
      </c>
      <c r="CN2" s="59" t="str">
        <f>IF(S2=3,"y","n")</f>
        <v>y</v>
      </c>
      <c r="CO2" s="59" t="str">
        <f>IF(S2&gt;=4,"y","n")</f>
        <v>n</v>
      </c>
      <c r="CP2" s="59" t="str">
        <f>IF(AT2=0,"y","n")</f>
        <v>y</v>
      </c>
      <c r="CQ2" s="59" t="str">
        <f>IF(AT2=1,"y","n")</f>
        <v>n</v>
      </c>
      <c r="CR2" s="59" t="str">
        <f>IF(AT2=2,"y","n")</f>
        <v>n</v>
      </c>
      <c r="CS2" s="59" t="str">
        <f>IF(AT2&gt;=3,"y","n")</f>
        <v>n</v>
      </c>
      <c r="CT2" s="69" t="str">
        <f>CHAR(34)&amp;A2&amp;CHAR(34)</f>
        <v>"Benin"</v>
      </c>
      <c r="CU2" s="70" t="str">
        <f>CHAR(34)&amp;"rgn_"&amp;R2&amp;CHAR(34)</f>
        <v>"rgn_Africa"</v>
      </c>
      <c r="CV2" s="48" t="str">
        <f>CHAR(34)&amp;D2&amp;CHAR(34)</f>
        <v>"https://upload.wikimedia.org/wikipedia/commons/thumb/0/0a/Flag_of_Benin.svg/640px-Flag_of_Benin.svg.png"</v>
      </c>
      <c r="CW2" s="48" t="str">
        <f>IF(CH2="y",CHAR(34)&amp;CH$1&amp;CHAR(34)&amp;",","")</f>
        <v/>
      </c>
      <c r="CX2" s="48" t="str">
        <f>IF(CI2="y",CHAR(34)&amp;CI$1&amp;CHAR(34)&amp;",","")</f>
        <v>"3Color",</v>
      </c>
      <c r="CY2" s="48" t="str">
        <f>IF(CJ2="y",CHAR(34)&amp;CJ$1&amp;CHAR(34)&amp;",","")</f>
        <v/>
      </c>
      <c r="CZ2" s="48" t="str">
        <f>IF(CK2="y",CHAR(34)&amp;CK$1&amp;CHAR(34)&amp;",","")</f>
        <v/>
      </c>
      <c r="DA2" s="48" t="str">
        <f>IF(Q2&gt;1,CHAR(34)&amp;"words2"&amp;CHAR(34)&amp;",","")</f>
        <v/>
      </c>
      <c r="DB2" s="48" t="str">
        <f>IF(Q2&gt;2,CHAR(34)&amp;"words3"&amp;CHAR(34)&amp;",","")</f>
        <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"lets05",</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"startB",</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"REEDEL",</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
      </c>
      <c r="DS2" s="6" t="str">
        <f>IF(W2="y",IF(AND(V2="n",BY2&lt;&gt;"y"),CHAR(34)&amp;"allver"&amp;CHAR(34)&amp;",",""),"")</f>
        <v/>
      </c>
      <c r="DT2" s="6" t="str">
        <f>IF(V2="y",IF(AND(W2="n",BY2&lt;&gt;"y"),CHAR(34)&amp;"allhor"&amp;CHAR(34)&amp;",",""),"")</f>
        <v/>
      </c>
      <c r="DU2" s="6" t="str">
        <f>IF(BY2="y",IF(AND(W2="n",V2="n"),CHAR(34)&amp;"alldia"&amp;CHAR(34)&amp;",",""),"")</f>
        <v/>
      </c>
      <c r="DV2" s="48" t="str">
        <f>IF(IA2&lt;&gt;"",(IF(IA2="y",CHAR(34)&amp;"largec"&amp;CHAR(34)&amp;",",CHAR(34)&amp;"smallc"&amp;CHAR(34)&amp;",")),"")</f>
        <v/>
      </c>
      <c r="DW2" s="48" t="str">
        <f>IF(CL2="y",CHAR(34)&amp;CL$1&amp;CHAR(34)&amp;",","")</f>
        <v/>
      </c>
      <c r="DX2" s="48" t="str">
        <f>IF(CM2="y",CHAR(34)&amp;CM$1&amp;CHAR(34)&amp;",","")</f>
        <v/>
      </c>
      <c r="DY2" s="48" t="str">
        <f>IF(CN2="y",CHAR(34)&amp;CN$1&amp;CHAR(34)&amp;",","")</f>
        <v>"3Bands",</v>
      </c>
      <c r="DZ2" s="48" t="str">
        <f>IF(CO2="y",CHAR(34)&amp;CO$1&amp;CHAR(34)&amp;",","")</f>
        <v/>
      </c>
      <c r="EA2" s="48" t="str">
        <f>IF(T2="y",CHAR(34)&amp;T$1&amp;CHAR(34)&amp;",","")</f>
        <v/>
      </c>
      <c r="EB2" s="48" t="str">
        <f>IF(U2="y",CHAR(34)&amp;U$1&amp;CHAR(34)&amp;",","")</f>
        <v/>
      </c>
      <c r="EC2" s="48" t="str">
        <f>IF(V2="y",CHAR(34)&amp;V$1&amp;CHAR(34)&amp;",","")</f>
        <v>"Horizo",</v>
      </c>
      <c r="ED2" s="48" t="str">
        <f>IF(W2="y",CHAR(34)&amp;W$1&amp;CHAR(34)&amp;",","")</f>
        <v>"Vertic",</v>
      </c>
      <c r="EE2" s="48" t="str">
        <f>IF(X2="y",CHAR(34)&amp;X$1&amp;CHAR(34)&amp;",","")</f>
        <v/>
      </c>
      <c r="EF2" s="48" t="str">
        <f>IF(AND(Y2&lt;&gt;"n",Y2&lt;&gt;""),CHAR(34)&amp;Y$1&amp;CHAR(34)&amp;",","")</f>
        <v/>
      </c>
      <c r="EG2" s="48" t="str">
        <f>IF(Z2="y",CHAR(34)&amp;Z$1&amp;CHAR(34)&amp;",","")</f>
        <v/>
      </c>
      <c r="EH2" s="48" t="str">
        <f>IF(AA2="y",CHAR(34)&amp;AA$1&amp;CHAR(34)&amp;",","")</f>
        <v/>
      </c>
      <c r="EI2" s="48" t="str">
        <f>IF(AB2="y",CHAR(34)&amp;AB$1&amp;CHAR(34)&amp;",","")</f>
        <v/>
      </c>
      <c r="EJ2" s="48" t="str">
        <f>IF(AC2="y",CHAR(34)&amp;AC$1&amp;CHAR(34)&amp;",","")</f>
        <v/>
      </c>
      <c r="EK2" s="48" t="str">
        <f>IF(AD2="y",CHAR(34)&amp;AD$1&amp;CHAR(34)&amp;",","")</f>
        <v/>
      </c>
      <c r="EL2" s="48" t="str">
        <f>IF(AE2="y",CHAR(34)&amp;AE$1&amp;CHAR(34)&amp;",","")</f>
        <v/>
      </c>
      <c r="EM2" s="48" t="str">
        <f>IF(AF2="y",CHAR(34)&amp;AF$1&amp;CHAR(34)&amp;",","")</f>
        <v/>
      </c>
      <c r="EN2" s="48" t="str">
        <f>IF(AG2="y",CHAR(34)&amp;AG$1&amp;CHAR(34)&amp;",","")</f>
        <v>"Unequa",</v>
      </c>
      <c r="EO2" s="48" t="str">
        <f>IF(AH2="y",CHAR(34)&amp;AH$1&amp;CHAR(34)&amp;",","")</f>
        <v/>
      </c>
      <c r="EP2" s="48" t="str">
        <f>IF(AI2="y",CHAR(34)&amp;AI$1&amp;CHAR(34)&amp;",","")</f>
        <v/>
      </c>
      <c r="EQ2" s="48" t="str">
        <f>IF(AJ2="y",CHAR(34)&amp;AJ$1&amp;CHAR(34)&amp;",","")</f>
        <v/>
      </c>
      <c r="ER2" s="48" t="str">
        <f>IF(AK2="y",CHAR(34)&amp;AK$1&amp;CHAR(34)&amp;",","")</f>
        <v>"OnlyBa",</v>
      </c>
      <c r="ES2" s="48" t="str">
        <f>IF(AL2="y",CHAR(34)&amp;AL$1&amp;CHAR(34)&amp;",","")</f>
        <v/>
      </c>
      <c r="ET2" s="48" t="str">
        <f>IF(AM2="y",CHAR(34)&amp;AM$1&amp;CHAR(34)&amp;",","")</f>
        <v/>
      </c>
      <c r="EU2" s="48" t="str">
        <f>IF(AN2="y",CHAR(34)&amp;AN$1&amp;CHAR(34)&amp;",","")</f>
        <v/>
      </c>
      <c r="EV2" s="48" t="str">
        <f>IF(AO2="y",CHAR(34)&amp;AO$1&amp;CHAR(34)&amp;",","")</f>
        <v/>
      </c>
      <c r="EW2" s="48" t="str">
        <f>IF(AP2="y",CHAR(34)&amp;AP$1&amp;CHAR(34)&amp;",","")</f>
        <v/>
      </c>
      <c r="EX2" s="48" t="str">
        <f>IF(AQ2="y",CHAR(34)&amp;AQ$1&amp;CHAR(34)&amp;",","")</f>
        <v/>
      </c>
      <c r="EY2" s="48" t="str">
        <f>IF(AR2="y",CHAR(34)&amp;AR$1&amp;CHAR(34)&amp;",","")</f>
        <v/>
      </c>
      <c r="EZ2" s="48" t="str">
        <f>IF(AS2="y",CHAR(34)&amp;AS$1&amp;CHAR(34)&amp;",","")</f>
        <v/>
      </c>
      <c r="FA2" s="48" t="str">
        <f>IF(AT2&gt;0,CHAR(34)&amp;"sta"&amp;AZ2&amp;CHAR(34)&amp;",","")</f>
        <v/>
      </c>
      <c r="FB2" s="48" t="str">
        <f>IF(AND(AT2&gt;0,BA2&lt;&gt;""),CHAR(34)&amp;"sta"&amp;BA2&amp;CHAR(34)&amp;",","")</f>
        <v/>
      </c>
      <c r="FC2" s="48" t="str">
        <f>IF(AND(AT2&gt;0,BB2&lt;&gt;""),CHAR(34)&amp;"sta"&amp;BB2&amp;CHAR(34)&amp;",","")</f>
        <v/>
      </c>
      <c r="FD2" s="48" t="str">
        <f>IF(BV2="n",CHAR(34)&amp;"tcWHYE"&amp;CHAR(34)&amp;",",IF(BV2="y",CHAR(34)&amp;FD$1&amp;CHAR(34)&amp;",",""))</f>
        <v/>
      </c>
      <c r="FE2" s="48" t="str">
        <f>IF(COUNTIF(BL2:BT2,"BLU")=0,CHAR(34)&amp;"NO_BLU"&amp;CHAR(34)&amp;",", "")</f>
        <v>"NO_BLU",</v>
      </c>
      <c r="FF2" s="48" t="str">
        <f>IF(COUNTIF(BL2:BT2,"WHI")=0,CHAR(34)&amp;"NO_WHI"&amp;CHAR(34)&amp;",", "")</f>
        <v>"NO_WHI",</v>
      </c>
      <c r="FG2" s="48" t="str">
        <f>IF(COUNTIF(BL2:BT2,"RED")=0,CHAR(34)&amp;"NO_RED"&amp;CHAR(34)&amp;",", "")</f>
        <v/>
      </c>
      <c r="FH2" s="48" t="str">
        <f>IF(COUNTIF(BL2:BS2,"GRE")=0,CHAR(34)&amp;"NO_GRE"&amp;CHAR(34)&amp;",", "")</f>
        <v/>
      </c>
      <c r="FI2" s="48" t="str">
        <f>IF(COUNTIF(BL2:BT2,"YEL")=0,CHAR(34)&amp;"NO_YEL"&amp;CHAR(34)&amp;",", "")</f>
        <v/>
      </c>
      <c r="FJ2" s="48" t="str">
        <f>IF(COUNTIF(BL2:BT2,"BLA")=0,CHAR(34)&amp;"NO_BLA"&amp;CHAR(34)&amp;",", "")</f>
        <v>"NO_BLA",</v>
      </c>
      <c r="FK2" s="48" t="str">
        <f>IF(AND(FH2&lt;&gt;"",FF2&lt;&gt;""),CHAR(34)&amp;"WHGRNO"&amp;CHAR(34)&amp;",","")</f>
        <v/>
      </c>
      <c r="FL2" s="48" t="str">
        <f>IF(AND(FI2&lt;&gt;"",FF2&lt;&gt;""),CHAR(34)&amp;"WHYENO"&amp;CHAR(34)&amp;",","")</f>
        <v/>
      </c>
      <c r="FM2" s="48" t="str">
        <f>IF(AND(FJ2&lt;&gt;"",FF2&lt;&gt;""),CHAR(34)&amp;"BAWHNO"&amp;CHAR(34)&amp;",","")</f>
        <v>"BAWHNO",</v>
      </c>
      <c r="FN2" s="48" t="str">
        <f>IF(AND(FE2&lt;&gt;"",FF2&lt;&gt;""),CHAR(34)&amp;"BLWHNO"&amp;CHAR(34)&amp;",","")</f>
        <v>"BLWHNO",</v>
      </c>
      <c r="FO2" s="48" t="str">
        <f>IF(AND(FE2&lt;&gt;"",FG2&lt;&gt;""),CHAR(34)&amp;"BLRENO"&amp;CHAR(34)&amp;",","")</f>
        <v/>
      </c>
      <c r="FP2" s="48" t="str">
        <f>IF(AND(FF2&lt;&gt;"",FF2&lt;&gt;""),CHAR(34)&amp;"WHRENO"&amp;CHAR(34)&amp;",","")</f>
        <v>"WHRENO",</v>
      </c>
      <c r="FQ2" s="48" t="str">
        <f>IF(LEN(BF2)=3,CHAR(34)&amp;"001"&amp;BF2&amp;CHAR(34)&amp;",","")</f>
        <v>"001GRE",</v>
      </c>
      <c r="FR2" s="48" t="str">
        <f>IF(LEN(BG2)=3,CHAR(34)&amp;"002"&amp;BG2&amp;CHAR(34)&amp;",","")</f>
        <v>"002YEL",</v>
      </c>
      <c r="FS2" s="48" t="str">
        <f>IF(LEN(BH2)=3,CHAR(34)&amp;"003"&amp;BH2&amp;CHAR(34)&amp;",","")</f>
        <v>"003RED",</v>
      </c>
      <c r="FT2" s="48" t="str">
        <f>CHAR(34)&amp;"myr"&amp;BD2&amp;CHAR(34)&amp;","</f>
        <v>"myrEQ",</v>
      </c>
      <c r="FU2" s="48" t="str">
        <f>IF(AY2="y",CHAR(34)&amp;"island"&amp;CHAR(34)&amp;",","")</f>
        <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
      </c>
      <c r="GA2" s="48" t="str">
        <f>IFERROR(IF(SEARCH("French",CB2)&gt;0,CHAR(34)&amp;"french"&amp;CHAR(34)&amp;",",""),"")</f>
        <v>"french",</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"NoStar",</v>
      </c>
      <c r="GK2" s="48" t="str">
        <f>IF(GJ2="",CHAR(34)&amp;"HasSta"&amp;CHAR(34)&amp;",","")</f>
        <v/>
      </c>
      <c r="GL2" s="48" t="str">
        <f>IF(CQ2="y",CHAR(34)&amp;CQ$1&amp;CHAR(34)&amp;",","")</f>
        <v/>
      </c>
      <c r="GM2" s="48" t="str">
        <f>IF(CR2="y",CHAR(34)&amp;CR$1&amp;CHAR(34)&amp;",","")</f>
        <v/>
      </c>
      <c r="GN2" s="48" t="str">
        <f>IF(CS2="y",CHAR(34)&amp;CS$1&amp;CHAR(34)&amp;",","")</f>
        <v/>
      </c>
      <c r="GP2" s="48" t="str">
        <f>CHAR(34)&amp;AU2&amp;CHAR(34)</f>
        <v>""</v>
      </c>
      <c r="GS2" s="48" t="str">
        <f>SUBSTITUTE("["&amp;_xlfn.CONCAT(CW2:GN2)&amp;"]",",]","]")</f>
        <v>["3Color","lets05","startB","REEDEL","year19","3Bands","Horizo","Vertic","Unequa","OnlyBa","NO_BLU","NO_WHI","NO_BLA","BAWHNO","BLWHNO","WHRENO","001GRE","002YEL","003RED","myrEQ","french","NoStar"]</v>
      </c>
      <c r="GT2" s="48" t="str">
        <f>IF(BL2&lt;&gt;"",CHAR(34)&amp;"cl_"&amp;BL2&amp;CHAR(34)&amp;",","")</f>
        <v>"cl_GRE",</v>
      </c>
      <c r="GU2" s="48" t="str">
        <f>IF(BM2&lt;&gt;"",CHAR(34)&amp;"cl_"&amp;BM2&amp;CHAR(34)&amp;",","")</f>
        <v>"cl_YEL",</v>
      </c>
      <c r="GV2" s="48" t="str">
        <f>IF(BN2&lt;&gt;"",CHAR(34)&amp;"cl_"&amp;BN2&amp;CHAR(34)&amp;",","")</f>
        <v>"cl_RED",</v>
      </c>
      <c r="GW2" s="48" t="str">
        <f>IF(BO2&lt;&gt;"",CHAR(34)&amp;"cl_"&amp;BO2&amp;CHAR(34)&amp;",","")</f>
        <v/>
      </c>
      <c r="GX2" s="48" t="str">
        <f>IF(BP2&lt;&gt;"",CHAR(34)&amp;"cl_"&amp;BP2&amp;CHAR(34)&amp;",","")</f>
        <v/>
      </c>
      <c r="GY2" s="48" t="str">
        <f>IF(BQ2&lt;&gt;"",CHAR(34)&amp;"cl_"&amp;BQ2&amp;CHAR(34)&amp;",","")</f>
        <v/>
      </c>
      <c r="GZ2" s="48" t="str">
        <f>IF(BR2&lt;&gt;"",CHAR(34)&amp;"cl_"&amp;BR2&amp;CHAR(34)&amp;",","")</f>
        <v/>
      </c>
      <c r="HA2" s="48" t="str">
        <f>IF(BS2&lt;&gt;"",CHAR(34)&amp;"cl_"&amp;BS2&amp;CHAR(34)&amp;",","")</f>
        <v/>
      </c>
      <c r="HB2" s="48" t="str">
        <f>IF(BT2&lt;&gt;"",CHAR(34)&amp;"cl_"&amp;BT2&amp;CHAR(34)&amp;",","")</f>
        <v/>
      </c>
      <c r="HC2" s="48" t="str">
        <f>SUBSTITUTE("["&amp;_xlfn.CONCAT(GT2:HB2)&amp;"]",",]","]")</f>
        <v>["cl_GRE","cl_YEL","cl_RED"]</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{couname:"Benin",year:"1959, 1990 ",region:"rgn_Africa",Colors:["cl_GRE","cl_YEL","cl_RED"],Items:["3Color","lets05","startB","REEDEL","year19","3Bands","Horizo","Vertic","Unequa","OnlyBa","NO_BLU","NO_WHI","NO_BLA","BAWHNO","BLWHNO","WHRENO","001GRE","002YEL","003RED","myrEQ","french","NoStar"],Flag:"https://upload.wikimedia.org/wikipedia/commons/thumb/0/0a/Flag_of_Benin.svg/640px-Flag_of_Benin.svg.png",HDFlag:"https://upload.wikimedia.org/wikipedia/commons/thumb/0/0a/Flag_of_Benin.svg/2560px-Flag_of_Benin.svg.png",type:"", describe: "\n • As stated in the national anthem, the green of the flag represent the hope of a new democracy.The red represents the courage of the ancestors, and the yellow is for the treasures of the nation. \n\n •  On a continental level, the yellow, green and red represented the Pan-Africanist movement; the three colours were utilized by the African Democratic Rally, a political party representing the interests of French West Africa in the National Assembly of France at the time of decolonization. \n\n •  Furthermore, the colours are the same as the ones utilized in the flag of Ethiopia. This honours the oldest independent country in Africa and the only nation other than Liberia to remain independent during the Scramble for Africa.", isnew:".", links: "https://en.wikipedia.org/wiki/Flag_of_Benin"},</v>
      </c>
      <c r="HG2" s="73" t="str">
        <f>"{couname:"&amp;CT2&amp;(IF(HK2&lt;&gt;"",",subtype:"&amp;CHAR(34)&amp;HK2&amp;CHAR(34),""))&amp;",year:"&amp;HJ2&amp;",region:"&amp;CU2&amp;",Colors:"&amp;HC2&amp;",Items:"&amp;GS2&amp;",Flag:"&amp;CV2&amp;",HDFlag:"&amp;CHAR(34)&amp;E2&amp;CHAR(34)&amp;",type:"&amp;GP2&amp;", describe: "&amp;HI2&amp;", links: "&amp;HL2&amp;"},"</f>
        <v>{couname:"Benin",year:"1959, 1990 ",region:"rgn_Africa",Colors:["cl_GRE","cl_YEL","cl_RED"],Items:["3Color","lets05","startB","REEDEL","year19","3Bands","Horizo","Vertic","Unequa","OnlyBa","NO_BLU","NO_WHI","NO_BLA","BAWHNO","BLWHNO","WHRENO","001GRE","002YEL","003RED","myrEQ","french","NoStar"],Flag:"https://upload.wikimedia.org/wikipedia/commons/thumb/0/0a/Flag_of_Benin.svg/640px-Flag_of_Benin.svg.png",HDFlag:"https://upload.wikimedia.org/wikipedia/commons/thumb/0/0a/Flag_of_Benin.svg/2560px-Flag_of_Benin.svg.png",type:"", describe: "\n • As stated in the national anthem, the green of the flag represent the hope of a new democracy.The red represents the courage of the ancestors, and the yellow is for the treasures of the nation. \n\n •  On a continental level, the yellow, green and red represented the Pan-Africanist movement; the three colours were utilized by the African Democratic Rally, a political party representing the interests of French West Africa in the National Assembly of France at the time of decolonization. \n\n •  Furthermore, the colours are the same as the ones utilized in the flag of Ethiopia. This honours the oldest independent country in Africa and the only nation other than Liberia to remain independent during the Scramble for Africa.", links: "https://en.wikipedia.org/wiki/Flag_of_Benin"},</v>
      </c>
      <c r="HH2" s="48" t="str">
        <f>IF(P2&lt;&gt;"",CHAR(34)&amp;"\n"&amp;P2&amp;CHAR(34),CHAR(34)&amp;CHAR(34))</f>
        <v>"\n • As stated in the national anthem, the green of the flag represent the hope of a new democracy.The red represents the courage of the ancestors, and the yellow is for the treasures of the nation. \n\n •  On a continental level, the yellow, green and red represented the Pan-Africanist movement; the three colours were utilized by the African Democratic Rally, a political party representing the interests of French West Africa in the National Assembly of France at the time of decolonization. \n\n •  Furthermore, the colours are the same as the ones utilized in the flag of Ethiopia. This honours the oldest independent country in Africa and the only nation other than Liberia to remain independent during the Scramble for Africa."</v>
      </c>
      <c r="HI2" s="48" t="str">
        <f>IF(J2=0,CHAR(34)&amp;CHAR(34),HH2)</f>
        <v>"\n • As stated in the national anthem, the green of the flag represent the hope of a new democracy.The red represents the courage of the ancestors, and the yellow is for the treasures of the nation. \n\n •  On a continental level, the yellow, green and red represented the Pan-Africanist movement; the three colours were utilized by the African Democratic Rally, a political party representing the interests of French West Africa in the National Assembly of France at the time of decolonization. \n\n •  Furthermore, the colours are the same as the ones utilized in the flag of Ethiopia. This honours the oldest independent country in Africa and the only nation other than Liberia to remain independent during the Scramble for Africa."</v>
      </c>
      <c r="HJ2" s="48" t="str">
        <f>CHAR(34)&amp;O2&amp;CHAR(34)</f>
        <v>"1959, 1990 "</v>
      </c>
      <c r="HL2" s="48" t="str">
        <f>CHAR(34)&amp;I2&amp;CHAR(34)</f>
        <v>"https://en.wikipedia.org/wiki/Flag_of_Benin"</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{"couname":"Benin","year":"1959, 1990 ","region":"rgn_Africa","Colors":["cl_GRE","cl_YEL","cl_RED"],"Items":["3Color","lets05","startB","REEDEL","year19","3Bands","Horizo","Vertic","Unequa","OnlyBa","NO_BLU","NO_WHI","NO_BLA","BAWHNO","BLWHNO","WHRENO","001GRE","002YEL","003RED","myrEQ","french","NoStar"],"Flag":"https://upload.wikimedia.org/wikipedia/commons/thumb/0/0a/Flag_of_Benin.svg/640px-Flag_of_Benin.svg.png","HDFlag":"https://upload.wikimedia.org/wikipedia/commons/thumb/0/0a/Flag_of_Benin.svg/2560px-Flag_of_Benin.svg.png","type":"", "describe": "\n • As stated in the national anthem, the green of the flag represent the hope of a new democracy.The red represents the courage of the ancestors, and the yellow is for the treasures of the nation. \n\n •  On a continental level, the yellow, green and red represented the Pan-Africanist movement; the three colours were utilized by the African Democratic Rally, a political party representing the interests of French West Africa in the National Assembly of France at the time of decolonization. \n\n •  Furthermore, the colours are the same as the ones utilized in the flag of Ethiopia. This honours the oldest independent country in Africa and the only nation other than Liberia to remain independent during the Scramble for Africa.", "isnew": ".", "links": "https://en.wikipedia.org/wiki/Flag_of_Benin"},</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{"couname":"Benin","year":"1959, 1990 ","region":"rgn_Africa","Colors":["cl_GRE","cl_YEL","cl_RED"],"Items":["3Color","lets05","startB","REEDEL","year19","3Bands","Horizo","Vertic","Unequa","OnlyBa","NO_BLU","NO_WHI","NO_BLA","BAWHNO","BLWHNO","WHRENO","001GRE","002YEL","003RED","myrEQ","french","NoStar"],"Flag":"https://upload.wikimedia.org/wikipedia/commons/thumb/0/0a/Flag_of_Benin.svg/640px-Flag_of_Benin.svg.png","HDFlag":"https://upload.wikimedia.org/wikipedia/commons/thumb/0/0a/Flag_of_Benin.svg/2560px-Flag_of_Benin.svg.png","type":"", "describe": "\n • As stated in the national anthem, the green of the flag represent the hope of a new democracy.The red represents the courage of the ancestors, and the yellow is for the treasures of the nation. \n\n •  On a continental level, the yellow, green and red represented the Pan-Africanist movement; the three colours were utilized by the African Democratic Rally, a political party representing the interests of French West Africa in the National Assembly of France at the time of decolonization. \n\n •  Furthermore, the colours are the same as the ones utilized in the flag of Ethiopia. This honours the oldest independent country in Africa and the only nation other than Liberia to remain independent during the Scramble for Africa.", "isnew": ".", "links": "https://en.wikipedia.org/wiki/Flag_of_Benin"},</v>
      </c>
      <c r="HO2" s="75"/>
      <c r="HP2" s="48" t="str" cm="1">
        <f t="array" ref="HP2">IF(_xlfn.TEXTJOIN(", ", TRUE, IF(ISNUMBER(SEARCH("BLA", BL2:BT2)), COLUMN(BL2:BT2) - COLUMN(BL2) + 1, ""))&lt;&gt;"","BLA","")</f>
        <v/>
      </c>
      <c r="HQ2" s="48" t="str" cm="1">
        <f t="array" ref="HQ2">IF(_xlfn.TEXTJOIN(", ", TRUE, IF(ISNUMBER(SEARCH("BLU", BL2:BT2)), COLUMN(BL2:BT2) - COLUMN(BL2) + 1, ""))&lt;&gt;"","BLU","")</f>
        <v/>
      </c>
      <c r="HR2" s="48" t="str" cm="1">
        <f t="array" ref="HR2">IF(_xlfn.TEXTJOIN(", ", TRUE, IF(ISNUMBER(SEARCH("GRE", BL2:BT2)), COLUMN(BL2:BT2) - COLUMN(BL2) + 1, ""))&lt;&gt;"","GRE","")</f>
        <v>GRE</v>
      </c>
      <c r="HS2" s="48" t="str" cm="1">
        <f t="array" ref="HS2">IF(_xlfn.TEXTJOIN(", ", TRUE, IF(ISNUMBER(SEARCH("RED", BL2:BT2)), COLUMN(BL2:BT2) - COLUMN(BL2) + 1, ""))&lt;&gt;"","RED","")</f>
        <v>RED</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
      </c>
      <c r="HY2" s="76"/>
      <c r="HZ2" s="76"/>
      <c r="IA2" s="6"/>
      <c r="IB2" s="6"/>
      <c r="IC2" s="77"/>
      <c r="ID2" s="77"/>
      <c r="IE2" s="77"/>
      <c r="IF2" s="77"/>
      <c r="IG2" s="77"/>
      <c r="IH2" s="77"/>
      <c r="II2" s="77"/>
      <c r="IJ2" s="77"/>
      <c r="IK2" s="77"/>
      <c r="IL2" s="48">
        <f>SUM(IC2:IK2)</f>
        <v>0</v>
      </c>
      <c r="IM2" s="45">
        <f>COUNTIF(IC2:IK2,"&gt;0")-CG2</f>
        <v>-3</v>
      </c>
      <c r="IN2" s="78" t="str">
        <f>"http://mkweb.bcgsc.ca/color-summarizer/?url="&amp;D2&amp;"&amp;precision=low&amp;num_clusters="&amp;CG2&amp;"&amp;text=1"</f>
        <v>http://mkweb.bcgsc.ca/color-summarizer/?url=https://upload.wikimedia.org/wikipedia/commons/thumb/0/0a/Flag_of_Benin.svg/640px-Flag_of_Benin.svg.png&amp;precision=low&amp;num_clusters=3&amp;text=1</v>
      </c>
      <c r="IO2" s="48" t="str">
        <f>IF(HP2&lt;&gt;"",CHAR(34)&amp;"black"&amp;CHAR(34),"")</f>
        <v/>
      </c>
      <c r="IP2" s="48" t="str">
        <f>IF(HQ2&lt;&gt;"",CHAR(34)&amp;"blue"&amp;CHAR(34),"")</f>
        <v/>
      </c>
      <c r="IQ2" s="48" t="str">
        <f>IF(HR2&lt;&gt;"",CHAR(34)&amp;"green"&amp;CHAR(34),"")</f>
        <v>"green"</v>
      </c>
      <c r="IR2" s="48" t="str">
        <f>IF(HS2&lt;&gt;"",CHAR(34)&amp;"red"&amp;CHAR(34),"")</f>
        <v>"red"</v>
      </c>
      <c r="IS2" s="48" t="str">
        <f>IF(HT2&lt;&gt;"",CHAR(34)&amp;"yellow"&amp;CHAR(34),"")</f>
        <v>"yellow"</v>
      </c>
      <c r="IT2" s="48" t="str">
        <f>IF(HU2&lt;&gt;"",CHAR(34)&amp;"orange"&amp;CHAR(34),"")</f>
        <v/>
      </c>
      <c r="IU2" s="48" t="str">
        <f>IF(HV2&lt;&gt;"",CHAR(34)&amp;"brown"&amp;CHAR(34),"")</f>
        <v/>
      </c>
      <c r="IV2" s="48" t="str">
        <f>IF(HW2&lt;&gt;"",CHAR(34)&amp;"purple"&amp;CHAR(34),"")</f>
        <v/>
      </c>
      <c r="IW2" s="48" t="str">
        <f>IF(HX2&lt;&gt;"",CHAR(34)&amp;"white"&amp;CHAR(34),"")</f>
        <v/>
      </c>
      <c r="IX2" s="48" t="str">
        <f>"{"&amp;CHAR(34)&amp;"url"&amp;CHAR(34)&amp;":"&amp;CHAR(34)&amp;IN2&amp;CHAR(34)&amp;","&amp;CHAR(34)&amp;"name"&amp;CHAR(34)&amp;":"&amp;CHAR(34)&amp;A2&amp;CHAR(34)&amp;"},"</f>
        <v>{"url":"http://mkweb.bcgsc.ca/color-summarizer/?url=https://upload.wikimedia.org/wikipedia/commons/thumb/0/0a/Flag_of_Benin.svg/640px-Flag_of_Benin.svg.png&amp;precision=low&amp;num_clusters=3&amp;text=1","name":"Benin"},</v>
      </c>
      <c r="IY2" s="48">
        <v>24</v>
      </c>
    </row>
    <row r="3" spans="1:259" s="48" customFormat="1" ht="38.4" customHeight="1" thickBot="1" x14ac:dyDescent="0.35">
      <c r="A3" s="80" t="s">
        <v>832</v>
      </c>
      <c r="B3" s="40" t="e" vm="7">
        <v>#VALUE!</v>
      </c>
      <c r="C3" s="41" t="s">
        <v>173</v>
      </c>
      <c r="D3" s="42" t="s">
        <v>833</v>
      </c>
      <c r="E3" s="43" t="s">
        <v>834</v>
      </c>
      <c r="F3" s="44" t="s">
        <v>163</v>
      </c>
      <c r="G3" s="45">
        <f>COUNTIF($A$1:$A$8355,A3)</f>
        <v>1</v>
      </c>
      <c r="H3" s="46" t="s">
        <v>843</v>
      </c>
      <c r="I3" s="47" t="s">
        <v>835</v>
      </c>
      <c r="J3" s="48" t="str">
        <f>""</f>
        <v/>
      </c>
      <c r="K3" s="49"/>
      <c r="L3" s="50"/>
      <c r="M3" s="50"/>
      <c r="N3" s="51" t="s">
        <v>180</v>
      </c>
      <c r="O3" s="52">
        <v>1818</v>
      </c>
      <c r="P3" s="53" t="s">
        <v>836</v>
      </c>
      <c r="Q3" s="54">
        <v>6</v>
      </c>
      <c r="R3" s="55" t="s">
        <v>180</v>
      </c>
      <c r="S3" s="56">
        <v>0</v>
      </c>
      <c r="T3" s="57" t="s">
        <v>164</v>
      </c>
      <c r="U3" s="58" t="s">
        <v>167</v>
      </c>
      <c r="V3" s="58" t="s">
        <v>167</v>
      </c>
      <c r="W3" s="58" t="s">
        <v>167</v>
      </c>
      <c r="X3" s="58" t="s">
        <v>167</v>
      </c>
      <c r="Y3" s="58" t="s">
        <v>167</v>
      </c>
      <c r="Z3" s="58" t="s">
        <v>167</v>
      </c>
      <c r="AA3" s="58" t="s">
        <v>164</v>
      </c>
      <c r="AB3" s="58" t="s">
        <v>164</v>
      </c>
      <c r="AC3" s="58" t="s">
        <v>164</v>
      </c>
      <c r="AD3" s="58" t="s">
        <v>164</v>
      </c>
      <c r="AE3" s="58" t="s">
        <v>164</v>
      </c>
      <c r="AF3" s="59" t="s">
        <v>164</v>
      </c>
      <c r="AG3" s="59" t="s">
        <v>167</v>
      </c>
      <c r="AH3" s="59" t="s">
        <v>167</v>
      </c>
      <c r="AI3" s="59" t="s">
        <v>164</v>
      </c>
      <c r="AJ3" s="59" t="s">
        <v>164</v>
      </c>
      <c r="AK3" s="59" t="s">
        <v>164</v>
      </c>
      <c r="AL3" s="59" t="s">
        <v>164</v>
      </c>
      <c r="AM3" s="59" t="s">
        <v>164</v>
      </c>
      <c r="AN3" s="59" t="s">
        <v>164</v>
      </c>
      <c r="AO3" s="59" t="s">
        <v>164</v>
      </c>
      <c r="AP3" s="59" t="s">
        <v>164</v>
      </c>
      <c r="AQ3" s="59" t="s">
        <v>167</v>
      </c>
      <c r="AR3" s="59" t="s">
        <v>164</v>
      </c>
      <c r="AS3" s="59" t="s">
        <v>164</v>
      </c>
      <c r="AT3" s="60">
        <v>0</v>
      </c>
      <c r="AU3" s="59" t="s">
        <v>174</v>
      </c>
      <c r="AV3" s="59" t="str">
        <f>IF(LEFT(A3,1)="[",LEFT(A3,5)&amp;AU3&amp;A3,"")</f>
        <v>[BEN]Historical[BEN] Royal Flag of King Ghezo</v>
      </c>
      <c r="AW3" s="59" t="str">
        <f t="shared" ref="AW3" si="1">C3&amp;H3&amp;A3</f>
        <v>3b[BEN] Other[BEN] Royal Flag of King Ghezo</v>
      </c>
      <c r="AX3" s="61"/>
      <c r="AY3" s="61"/>
      <c r="AZ3" s="62" t="s">
        <v>172</v>
      </c>
      <c r="BA3" s="62" t="s">
        <v>172</v>
      </c>
      <c r="BB3" s="62"/>
      <c r="BC3" s="63"/>
      <c r="BD3" s="64" t="s">
        <v>159</v>
      </c>
      <c r="BE3" s="47"/>
      <c r="BF3" s="64" t="s">
        <v>172</v>
      </c>
      <c r="BG3" s="64" t="s">
        <v>172</v>
      </c>
      <c r="BH3" s="64" t="s">
        <v>172</v>
      </c>
      <c r="BI3" s="64"/>
      <c r="BJ3" s="64"/>
      <c r="BK3" s="47"/>
      <c r="BL3" s="64" t="s">
        <v>151</v>
      </c>
      <c r="BM3" s="64" t="s">
        <v>152</v>
      </c>
      <c r="BN3" s="64" t="s">
        <v>153</v>
      </c>
      <c r="BO3" s="64" t="s">
        <v>154</v>
      </c>
      <c r="BP3" s="64" t="s">
        <v>155</v>
      </c>
      <c r="BQ3" s="64" t="s">
        <v>172</v>
      </c>
      <c r="BR3" s="64" t="s">
        <v>172</v>
      </c>
      <c r="BS3" s="64" t="s">
        <v>172</v>
      </c>
      <c r="BT3" s="64" t="s">
        <v>159</v>
      </c>
      <c r="BU3" s="65"/>
      <c r="BV3" s="66"/>
      <c r="BW3" s="66">
        <v>0</v>
      </c>
      <c r="BX3" s="47"/>
      <c r="CB3" s="6"/>
      <c r="CC3" s="6"/>
      <c r="CD3" s="67">
        <v>0</v>
      </c>
      <c r="CE3" s="67">
        <v>0</v>
      </c>
      <c r="CF3" s="67" t="e">
        <v>#REF!</v>
      </c>
      <c r="CG3" s="68" cm="1">
        <f t="array" ref="CG3">SUMPRODUCT(--(LEN(TRIM(BL3:BT3))&gt;0))</f>
        <v>6</v>
      </c>
      <c r="CH3" s="59" t="str">
        <f>IF(CG3=2,"y","n")</f>
        <v>n</v>
      </c>
      <c r="CI3" s="59" t="str">
        <f>IF(CG3=3,"y","n")</f>
        <v>n</v>
      </c>
      <c r="CJ3" s="59" t="str">
        <f>IF(CG3=4,"y","n")</f>
        <v>n</v>
      </c>
      <c r="CK3" s="59" t="str">
        <f>IF(CG3&gt;4,"y","n")</f>
        <v>y</v>
      </c>
      <c r="CL3" s="59" t="str">
        <f>IF(S3=0,"y","n")</f>
        <v>y</v>
      </c>
      <c r="CM3" s="59" t="str">
        <f>IF(S3=2,"y","n")</f>
        <v>n</v>
      </c>
      <c r="CN3" s="59" t="str">
        <f>IF(S3=3,"y","n")</f>
        <v>n</v>
      </c>
      <c r="CO3" s="59" t="str">
        <f>IF(S3&gt;=4,"y","n")</f>
        <v>n</v>
      </c>
      <c r="CP3" s="59" t="str">
        <f>IF(AT3=0,"y","n")</f>
        <v>y</v>
      </c>
      <c r="CQ3" s="59" t="str">
        <f>IF(AT3=1,"y","n")</f>
        <v>n</v>
      </c>
      <c r="CR3" s="59" t="str">
        <f>IF(AT3=2,"y","n")</f>
        <v>n</v>
      </c>
      <c r="CS3" s="59" t="str">
        <f>IF(AT3&gt;=3,"y","n")</f>
        <v>n</v>
      </c>
      <c r="CT3" s="69" t="str">
        <f>CHAR(34)&amp;A3&amp;CHAR(34)</f>
        <v>"[BEN] Royal Flag of King Ghezo"</v>
      </c>
      <c r="CU3" s="70" t="str">
        <f>CHAR(34)&amp;"rgn_"&amp;R3&amp;CHAR(34)</f>
        <v>"rgn_Africa"</v>
      </c>
      <c r="CV3" s="48" t="str">
        <f>CHAR(34)&amp;D3&amp;CHAR(34)</f>
        <v>"https://upload.wikimedia.org/wikipedia/commons/thumb/b/b1/Flag_of_Ghezo_of_Dahomey.svg/640px-Flag_of_Ghezo_of_Dahomey.svg.png"</v>
      </c>
      <c r="CW3" s="48" t="str">
        <f>IF(CH3="y",CHAR(34)&amp;CH$1&amp;CHAR(34)&amp;",","")</f>
        <v/>
      </c>
      <c r="CX3" s="48" t="str">
        <f>IF(CI3="y",CHAR(34)&amp;CI$1&amp;CHAR(34)&amp;",","")</f>
        <v/>
      </c>
      <c r="CY3" s="48" t="str">
        <f>IF(CJ3="y",CHAR(34)&amp;CJ$1&amp;CHAR(34)&amp;",","")</f>
        <v/>
      </c>
      <c r="CZ3" s="48" t="str">
        <f>IF(CK3="y",CHAR(34)&amp;CK$1&amp;CHAR(34)&amp;",","")</f>
        <v>"5+Colo",</v>
      </c>
      <c r="DA3" s="48" t="str">
        <f>IF(Q3&gt;1,CHAR(34)&amp;"words2"&amp;CHAR(34)&amp;",","")</f>
        <v>"words2",</v>
      </c>
      <c r="DB3" s="48" t="str">
        <f>IF(Q3&gt;2,CHAR(34)&amp;"words3"&amp;CHAR(34)&amp;",","")</f>
        <v>"words3",</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"lets20",</v>
      </c>
      <c r="DE3" s="48" t="str">
        <f>CHAR(34)&amp;"start"&amp;IFERROR(LEFT(SUBSTITUTE(A3,"["&amp;MID(A3,FIND("[",A3)+1,FIND("]",A3)-FIND("[",A3)-1)&amp;"] ",""),1),LEFT(A3,1))&amp;CHAR(34)&amp;","</f>
        <v>"startR",</v>
      </c>
      <c r="DF3" s="48" t="str">
        <f>IFERROR(IF(SEARCH("tan",A3)&gt;0,CHAR(34)&amp;"withtn"&amp;CHAR(34)&amp;",",""),"")</f>
        <v/>
      </c>
      <c r="DG3" s="48" t="str">
        <f>IFERROR(IF(SEARCH("q",A3)&gt;0,CHAR(34)&amp;"with_q"&amp;CHAR(34)&amp;",",""),"")</f>
        <v/>
      </c>
      <c r="DH3" s="48" t="str">
        <f>IFERROR(IF(SEARCH("v",A3)&gt;0,CHAR(34)&amp;"with_v"&amp;CHAR(34)&amp;",",""),"")</f>
        <v/>
      </c>
      <c r="DI3" s="48" t="str">
        <f>IFERROR(IF(SEARCH("w",A3)&gt;0,CHAR(34)&amp;"with_w"&amp;CHAR(34)&amp;",",""),"")</f>
        <v/>
      </c>
      <c r="DJ3" s="48" t="str">
        <f>IFERROR(IF(SEARCH("y",A3)&gt;0,CHAR(34)&amp;"with_y"&amp;CHAR(34)&amp;",",""),"")</f>
        <v>"with_y",</v>
      </c>
      <c r="DK3" s="48" t="str">
        <f>IFERROR(IF(SEARCH("z",A3)&gt;0,CHAR(34)&amp;"with_z"&amp;CHAR(34)&amp;",",""),"")</f>
        <v>"with_z",</v>
      </c>
      <c r="DL3" s="48" t="str">
        <f>IF(CG3=2, CHAR(34) &amp; _xlfn.TEXTJOIN("", TRUE, _xlfn._xlws.SORT(HP3:HX3)) &amp; CHAR(34) &amp; ",", "")</f>
        <v/>
      </c>
      <c r="DM3" s="48" t="str" cm="1">
        <f t="array" ref="DM3">IF(CG3=3,CHAR(34) &amp; _xlfn.TEXTJOIN("", TRUE, RIGHT(HP3:HX3, 2)) &amp; CHAR(34) &amp; ",", "")</f>
        <v/>
      </c>
      <c r="DN3" s="48" t="str">
        <f>IF(AND(ISNUMBER(SEARCH("18", O3)), ISERROR(SEARCH("1918", O3)), ISERROR(SEARCH("2018", O3))), CHAR(34) &amp; "year18" &amp; CHAR(34) &amp; ",", "")</f>
        <v>"year18",</v>
      </c>
      <c r="DO3" s="48" t="str">
        <f>IF(AND(ISNUMBER(SEARCH("19", O3)), ISERROR(SEARCH("1819", O3)),  ISERROR(SEARCH("1219", O3)),ISERROR(SEARCH("1119", O3)),ISERROR(SEARCH("1190", O3)),ISERROR(SEARCH("2019", O3))), CHAR(34) &amp; "year19" &amp; CHAR(34) &amp; ",", "")</f>
        <v/>
      </c>
      <c r="DP3" s="6" t="str">
        <f>IF(AND(ISNUMBER(SEARCH("20", O3)), ISERROR(SEARCH("1920", O3))), CHAR(34)&amp;"year00"&amp;CHAR(34)&amp;",", "")</f>
        <v/>
      </c>
      <c r="DQ3" s="6" t="str">
        <f>IF(CC3="y",CHAR(34)&amp;"soviet"&amp;CHAR(34)&amp;",","")</f>
        <v/>
      </c>
      <c r="DR3" s="6" t="str">
        <f>IF(BY3="y",CHAR(34)&amp;"dgband"&amp;CHAR(34)&amp;",","")</f>
        <v/>
      </c>
      <c r="DS3" s="6" t="str">
        <f>IF(W3="y",IF(AND(V3="n",BY3&lt;&gt;"y"),CHAR(34)&amp;"allver"&amp;CHAR(34)&amp;",",""),"")</f>
        <v/>
      </c>
      <c r="DT3" s="6" t="str">
        <f>IF(V3="y",IF(AND(W3="n",BY3&lt;&gt;"y"),CHAR(34)&amp;"allhor"&amp;CHAR(34)&amp;",",""),"")</f>
        <v/>
      </c>
      <c r="DU3" s="6" t="str">
        <f>IF(BY3="y",IF(AND(W3="n",V3="n"),CHAR(34)&amp;"alldia"&amp;CHAR(34)&amp;",",""),"")</f>
        <v/>
      </c>
      <c r="DW3" s="48" t="str">
        <f>IF(CL3="y",CHAR(34)&amp;CL$1&amp;CHAR(34)&amp;",","")</f>
        <v>"NoBand",</v>
      </c>
      <c r="DX3" s="48" t="str">
        <f>IF(CM3="y",CHAR(34)&amp;CM$1&amp;CHAR(34)&amp;",","")</f>
        <v/>
      </c>
      <c r="DY3" s="48" t="str">
        <f>IF(CN3="y",CHAR(34)&amp;CN$1&amp;CHAR(34)&amp;",","")</f>
        <v/>
      </c>
      <c r="DZ3" s="48" t="str">
        <f>IF(CO3="y",CHAR(34)&amp;CO$1&amp;CHAR(34)&amp;",","")</f>
        <v/>
      </c>
      <c r="EA3" s="48" t="str">
        <f>IF(T3="y",CHAR(34)&amp;T$1&amp;CHAR(34)&amp;",","")</f>
        <v/>
      </c>
      <c r="EB3" s="48" t="str">
        <f>IF(U3="y",CHAR(34)&amp;U$1&amp;CHAR(34)&amp;",","")</f>
        <v>"Crosse",</v>
      </c>
      <c r="EC3" s="48" t="str">
        <f>IF(V3="y",CHAR(34)&amp;V$1&amp;CHAR(34)&amp;",","")</f>
        <v>"Horizo",</v>
      </c>
      <c r="ED3" s="48" t="str">
        <f>IF(W3="y",CHAR(34)&amp;W$1&amp;CHAR(34)&amp;",","")</f>
        <v>"Vertic",</v>
      </c>
      <c r="EE3" s="48" t="str">
        <f>IF(X3="y",CHAR(34)&amp;X$1&amp;CHAR(34)&amp;",","")</f>
        <v>"Circle",</v>
      </c>
      <c r="EF3" s="48" t="str">
        <f>IF(AND(Y3&lt;&gt;"n",Y3&lt;&gt;""),CHAR(34)&amp;Y$1&amp;CHAR(34)&amp;",","")</f>
        <v>"Animal",</v>
      </c>
      <c r="EG3" s="48" t="str">
        <f>IF(Z3="y",CHAR(34)&amp;Z$1&amp;CHAR(34)&amp;",","")</f>
        <v>"Bird",</v>
      </c>
      <c r="EH3" s="48" t="str">
        <f>IF(AA3="y",CHAR(34)&amp;AA$1&amp;CHAR(34)&amp;",","")</f>
        <v/>
      </c>
      <c r="EI3" s="48" t="str">
        <f>IF(AB3="y",CHAR(34)&amp;AB$1&amp;CHAR(34)&amp;",","")</f>
        <v/>
      </c>
      <c r="EJ3" s="48" t="str">
        <f>IF(AC3="y",CHAR(34)&amp;AC$1&amp;CHAR(34)&amp;",","")</f>
        <v/>
      </c>
      <c r="EK3" s="48" t="str">
        <f>IF(AD3="y",CHAR(34)&amp;AD$1&amp;CHAR(34)&amp;",","")</f>
        <v/>
      </c>
      <c r="EL3" s="48" t="str">
        <f>IF(AE3="y",CHAR(34)&amp;AE$1&amp;CHAR(34)&amp;",","")</f>
        <v/>
      </c>
      <c r="EM3" s="48" t="str">
        <f>IF(AF3="y",CHAR(34)&amp;AF$1&amp;CHAR(34)&amp;",","")</f>
        <v/>
      </c>
      <c r="EN3" s="48" t="str">
        <f>IF(AG3="y",CHAR(34)&amp;AG$1&amp;CHAR(34)&amp;",","")</f>
        <v>"Unequa",</v>
      </c>
      <c r="EO3" s="48" t="str">
        <f>IF(AH3="y",CHAR(34)&amp;AH$1&amp;CHAR(34)&amp;",","")</f>
        <v>"Center",</v>
      </c>
      <c r="EP3" s="48" t="str">
        <f>IF(AI3="y",CHAR(34)&amp;AI$1&amp;CHAR(34)&amp;",","")</f>
        <v/>
      </c>
      <c r="EQ3" s="48" t="str">
        <f>IF(AJ3="y",CHAR(34)&amp;AJ$1&amp;CHAR(34)&amp;",","")</f>
        <v/>
      </c>
      <c r="ER3" s="48" t="str">
        <f>IF(AK3="y",CHAR(34)&amp;AK$1&amp;CHAR(34)&amp;",","")</f>
        <v/>
      </c>
      <c r="ES3" s="48" t="str">
        <f>IF(AL3="y",CHAR(34)&amp;AL$1&amp;CHAR(34)&amp;",","")</f>
        <v/>
      </c>
      <c r="ET3" s="48" t="str">
        <f>IF(AM3="y",CHAR(34)&amp;AM$1&amp;CHAR(34)&amp;",","")</f>
        <v/>
      </c>
      <c r="EU3" s="48" t="str">
        <f>IF(AN3="y",CHAR(34)&amp;AN$1&amp;CHAR(34)&amp;",","")</f>
        <v/>
      </c>
      <c r="EV3" s="48" t="str">
        <f>IF(AO3="y",CHAR(34)&amp;AO$1&amp;CHAR(34)&amp;",","")</f>
        <v/>
      </c>
      <c r="EW3" s="48" t="str">
        <f>IF(AP3="y",CHAR(34)&amp;AP$1&amp;CHAR(34)&amp;",","")</f>
        <v/>
      </c>
      <c r="EX3" s="48" t="str">
        <f>IF(AQ3="y",CHAR(34)&amp;AQ$1&amp;CHAR(34)&amp;",","")</f>
        <v>"Crowns",</v>
      </c>
      <c r="EY3" s="48" t="str">
        <f>IF(AR3="y",CHAR(34)&amp;AR$1&amp;CHAR(34)&amp;",","")</f>
        <v/>
      </c>
      <c r="EZ3" s="48" t="str">
        <f>IF(AS3="y",CHAR(34)&amp;AS$1&amp;CHAR(34)&amp;",","")</f>
        <v/>
      </c>
      <c r="FA3" s="48" t="str">
        <f>IF(AT3&gt;0,CHAR(34)&amp;"sta"&amp;AZ3&amp;CHAR(34)&amp;",","")</f>
        <v/>
      </c>
      <c r="FB3" s="48" t="str">
        <f>IF(AND(AT3&gt;0,BA3&lt;&gt;""),CHAR(34)&amp;"sta"&amp;BA3&amp;CHAR(34)&amp;",","")</f>
        <v/>
      </c>
      <c r="FD3" s="48" t="str">
        <f>IF(BV3="n",CHAR(34)&amp;"tcWHYE"&amp;CHAR(34)&amp;",",IF(BV3="y",CHAR(34)&amp;FD$1&amp;CHAR(34)&amp;",",""))</f>
        <v/>
      </c>
      <c r="FE3" s="48" t="str">
        <f>IF(COUNTIF(BL3:BT3,"BLU")=0,CHAR(34)&amp;"NO_BLU"&amp;CHAR(34)&amp;",", "")</f>
        <v/>
      </c>
      <c r="FF3" s="48" t="str">
        <f>IF(COUNTIF(BL3:BT3,"WHI")=0,CHAR(34)&amp;"NO_WHI"&amp;CHAR(34)&amp;",", "")</f>
        <v/>
      </c>
      <c r="FG3" s="48" t="str">
        <f>IF(COUNTIF(BL3:BT3,"RED")=0,CHAR(34)&amp;"NO_RED"&amp;CHAR(34)&amp;",", "")</f>
        <v/>
      </c>
      <c r="FH3" s="48" t="str">
        <f>IF(COUNTIF(BL3:BS3,"GRE")=0,CHAR(34)&amp;"NO_GRE"&amp;CHAR(34)&amp;",", "")</f>
        <v/>
      </c>
      <c r="FI3" s="48" t="str">
        <f>IF(COUNTIF(BL3:BT3,"YEL")=0,CHAR(34)&amp;"NO_YEL"&amp;CHAR(34)&amp;",", "")</f>
        <v/>
      </c>
      <c r="FJ3" s="48" t="str">
        <f>IF(COUNTIF(BL3:BT3,"BLA")=0,CHAR(34)&amp;"NO_BLA"&amp;CHAR(34)&amp;",", "")</f>
        <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
      </c>
      <c r="FQ3" s="48" t="str">
        <f>IF(LEN(BF3)=3,CHAR(34)&amp;"001"&amp;BF3&amp;CHAR(34)&amp;",","")</f>
        <v/>
      </c>
      <c r="FR3" s="48" t="str">
        <f>IF(LEN(BG3)=3,CHAR(34)&amp;"002"&amp;BG3&amp;CHAR(34)&amp;",","")</f>
        <v/>
      </c>
      <c r="FS3" s="48" t="str">
        <f>IF(LEN(BH3)=3,CHAR(34)&amp;"003"&amp;BH3&amp;CHAR(34)&amp;",","")</f>
        <v/>
      </c>
      <c r="FT3" s="48" t="str">
        <f>CHAR(34)&amp;"myr"&amp;BD3&amp;CHAR(34)&amp;","</f>
        <v>"myrWHI",</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"histor",</v>
      </c>
      <c r="GG3" s="48" t="str">
        <f>IF(BU3="y",CHAR(34)&amp;"unjack"&amp;CHAR(34)&amp;",","")</f>
        <v/>
      </c>
      <c r="GH3" s="48" t="str">
        <f>IF(CD3=1,CHAR(34)&amp;"southc"&amp;CHAR(34)&amp;",","")</f>
        <v/>
      </c>
      <c r="GI3" s="48" t="str">
        <f>IF(CE3=1,CHAR(34)&amp;"hasmap"&amp;CHAR(34)&amp;",","")</f>
        <v/>
      </c>
      <c r="GJ3" s="48" t="str">
        <f>IF(CP3="y",CHAR(34)&amp;CP$1&amp;CHAR(34)&amp;",","")</f>
        <v>"NoStar",</v>
      </c>
      <c r="GK3" s="48" t="str">
        <f>IF(GJ3="",CHAR(34)&amp;"HasSta"&amp;CHAR(34)&amp;",","")</f>
        <v/>
      </c>
      <c r="GL3" s="48" t="str">
        <f>IF(CQ3="y",CHAR(34)&amp;CQ$1&amp;CHAR(34)&amp;",","")</f>
        <v/>
      </c>
      <c r="GM3" s="48" t="str">
        <f>IF(CR3="y",CHAR(34)&amp;CR$1&amp;CHAR(34)&amp;",","")</f>
        <v/>
      </c>
      <c r="GN3" s="48" t="str">
        <f>IF(CS3="y",CHAR(34)&amp;CS$1&amp;CHAR(34)&amp;",","")</f>
        <v/>
      </c>
      <c r="GP3" s="48" t="str">
        <f>CHAR(34)&amp;AU3&amp;CHAR(34)</f>
        <v>"Historical"</v>
      </c>
      <c r="GS3" s="48" t="str">
        <f>SUBSTITUTE("["&amp;_xlfn.CONCAT(CW3:GN3)&amp;"]",",]","]")</f>
        <v>["5+Colo","words2","words3","lets20","startR","with_y","with_z","year18","NoBand","Crosse","Horizo","Vertic","Circle","Animal","Bird","Unequa","Center","Crowns","myrWHI","histor","NoStar"]</v>
      </c>
      <c r="GT3" s="48" t="str">
        <f>IF(BL3&lt;&gt;"",CHAR(34)&amp;"cl_"&amp;BL3&amp;CHAR(34)&amp;",","")</f>
        <v>"cl_BLA",</v>
      </c>
      <c r="GU3" s="48" t="str">
        <f>IF(BM3&lt;&gt;"",CHAR(34)&amp;"cl_"&amp;BM3&amp;CHAR(34)&amp;",","")</f>
        <v>"cl_BLU",</v>
      </c>
      <c r="GV3" s="48" t="str">
        <f>IF(BN3&lt;&gt;"",CHAR(34)&amp;"cl_"&amp;BN3&amp;CHAR(34)&amp;",","")</f>
        <v>"cl_GRE",</v>
      </c>
      <c r="GW3" s="48" t="str">
        <f>IF(BO3&lt;&gt;"",CHAR(34)&amp;"cl_"&amp;BO3&amp;CHAR(34)&amp;",","")</f>
        <v>"cl_RED",</v>
      </c>
      <c r="GX3" s="48" t="str">
        <f>IF(BP3&lt;&gt;"",CHAR(34)&amp;"cl_"&amp;BP3&amp;CHAR(34)&amp;",","")</f>
        <v>"cl_YEL",</v>
      </c>
      <c r="GY3" s="48" t="str">
        <f>IF(BQ3&lt;&gt;"",CHAR(34)&amp;"cl_"&amp;BQ3&amp;CHAR(34)&amp;",","")</f>
        <v/>
      </c>
      <c r="GZ3" s="48" t="str">
        <f>IF(BR3&lt;&gt;"",CHAR(34)&amp;"cl_"&amp;BR3&amp;CHAR(34)&amp;",","")</f>
        <v/>
      </c>
      <c r="HA3" s="48" t="str">
        <f>IF(BS3&lt;&gt;"",CHAR(34)&amp;"cl_"&amp;BS3&amp;CHAR(34)&amp;",","")</f>
        <v/>
      </c>
      <c r="HB3" s="48" t="str">
        <f>IF(BT3&lt;&gt;"",CHAR(34)&amp;"cl_"&amp;BT3&amp;CHAR(34)&amp;",","")</f>
        <v>"cl_WHI",</v>
      </c>
      <c r="HC3" s="48" t="str">
        <f>SUBSTITUTE("["&amp;_xlfn.CONCAT(GT3:HB3)&amp;"]",",]","]")</f>
        <v>["cl_BLA","cl_BLU","cl_GRE","cl_RED","cl_YEL","cl_WHI"]</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{couname:"[BEN] Royal Flag of King Ghezo",year:"1818",region:"rgn_Africa",Colors:["cl_BLA","cl_BLU","cl_GRE","cl_RED","cl_YEL","cl_WHI"],Items:["5+Colo","words2","words3","lets20","startR","with_y","with_z","year18","NoBand","Crosse","Horizo","Vertic","Circle","Animal","Bird","Unequa","Center","Crowns","myrWHI","histor","NoStar"],Flag:"https://upload.wikimedia.org/wikipedia/commons/thumb/b/b1/Flag_of_Ghezo_of_Dahomey.svg/640px-Flag_of_Ghezo_of_Dahomey.svg.png",HDFlag:"https://upload.wikimedia.org/wikipedia/commons/thumb/b/b1/Flag_of_Ghezo_of_Dahomey.svg/1280px-Flag_of_Ghezo_of_Dahomey.svg.png",type:"Historical", describe: "\nA white field with a red border and an elephant in the center.", isnew:".", links: "https://en.m.wikipedia.org/wiki/Flag_of_Benin"},</v>
      </c>
      <c r="HG3" s="73" t="str">
        <f>"{couname:"&amp;CT3&amp;(IF(HK3&lt;&gt;"",",subtype:"&amp;CHAR(34)&amp;HK3&amp;CHAR(34),""))&amp;",year:"&amp;HJ3&amp;",region:"&amp;CU3&amp;",Colors:"&amp;HC3&amp;",Items:"&amp;GS3&amp;",Flag:"&amp;CV3&amp;",HDFlag:"&amp;CHAR(34)&amp;E3&amp;CHAR(34)&amp;",type:"&amp;GP3&amp;", describe: "&amp;HI3&amp;", links: "&amp;HL3&amp;"},"</f>
        <v>{couname:"[BEN] Royal Flag of King Ghezo",year:"1818",region:"rgn_Africa",Colors:["cl_BLA","cl_BLU","cl_GRE","cl_RED","cl_YEL","cl_WHI"],Items:["5+Colo","words2","words3","lets20","startR","with_y","with_z","year18","NoBand","Crosse","Horizo","Vertic","Circle","Animal","Bird","Unequa","Center","Crowns","myrWHI","histor","NoStar"],Flag:"https://upload.wikimedia.org/wikipedia/commons/thumb/b/b1/Flag_of_Ghezo_of_Dahomey.svg/640px-Flag_of_Ghezo_of_Dahomey.svg.png",HDFlag:"https://upload.wikimedia.org/wikipedia/commons/thumb/b/b1/Flag_of_Ghezo_of_Dahomey.svg/1280px-Flag_of_Ghezo_of_Dahomey.svg.png",type:"Historical", describe: "\nA white field with a red border and an elephant in the center.", links: "https://en.m.wikipedia.org/wiki/Flag_of_Benin"},</v>
      </c>
      <c r="HH3" s="48" t="str">
        <f>IF(P3&lt;&gt;"",CHAR(34)&amp;"\n"&amp;P3&amp;CHAR(34),CHAR(34)&amp;CHAR(34))</f>
        <v>"\nA white field with a red border and an elephant in the center."</v>
      </c>
      <c r="HI3" s="48" t="str">
        <f>IF(J3=0,CHAR(34)&amp;CHAR(34),HH3)</f>
        <v>"\nA white field with a red border and an elephant in the center."</v>
      </c>
      <c r="HJ3" s="48" t="str">
        <f>CHAR(34)&amp;O3&amp;CHAR(34)</f>
        <v>"1818"</v>
      </c>
      <c r="HL3" s="48" t="str">
        <f>CHAR(34)&amp;I3&amp;CHAR(34)</f>
        <v>"https://en.m.wikipedia.org/wiki/Flag_of_Benin"</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{"couname":"[BEN] Royal Flag of King Ghezo","subtype":"[BEN] Other","year":"1818","region":"rgn_Africa","Colors":["cl_BLA","cl_BLU","cl_GRE","cl_RED","cl_YEL","cl_WHI"],"Items":["5+Colo","words2","words3","lets20","startR","with_y","with_z","year18","NoBand","Crosse","Horizo","Vertic","Circle","Animal","Bird","Unequa","Center","Crowns","myrWHI","histor","NoStar"],"Flag":"https://upload.wikimedia.org/wikipedia/commons/thumb/b/b1/Flag_of_Ghezo_of_Dahomey.svg/640px-Flag_of_Ghezo_of_Dahomey.svg.png","HDFlag":"https://upload.wikimedia.org/wikipedia/commons/thumb/b/b1/Flag_of_Ghezo_of_Dahomey.svg/1280px-Flag_of_Ghezo_of_Dahomey.svg.png","type":"Historical", "describe": "\nA white field with a red border and an elephant in the center.", "isnew": ".", "links": "https://en.m.wikipedia.org/wiki/Flag_of_Benin"},</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{"couname":"[BEN] Royal Flag of King Ghezo","subtype":"[BEN] Other","year":"1818","region":"rgn_Africa","Colors":["cl_BLA","cl_BLU","cl_GRE","cl_RED","cl_YEL","cl_WHI"],"Items":["5+Colo","words2","words3","lets20","startR","with_y","with_z","year18","NoBand","Crosse","Horizo","Vertic","Circle","Animal","Bird","Unequa","Center","Crowns","myrWHI","histor","NoStar"],"Flag":"https://upload.wikimedia.org/wikipedia/commons/thumb/b/b1/Flag_of_Ghezo_of_Dahomey.svg/640px-Flag_of_Ghezo_of_Dahomey.svg.png","HDFlag":"https://upload.wikimedia.org/wikipedia/commons/thumb/b/b1/Flag_of_Ghezo_of_Dahomey.svg/1280px-Flag_of_Ghezo_of_Dahomey.svg.png","type":"Historical", "describe": "\nA white field with a red border and an elephant in the center.", "isnew": ".", "links": "https://en.m.wikipedia.org/wiki/Flag_of_Benin"},</v>
      </c>
      <c r="HO3" s="75">
        <v>45610</v>
      </c>
      <c r="HP3" s="48" t="str" cm="1">
        <f t="array" ref="HP3">IF(_xlfn.TEXTJOIN(", ", TRUE, IF(ISNUMBER(SEARCH("BLA", BL3:BT3)), COLUMN(BL3:BT3) - COLUMN(BL3) + 1, ""))&lt;&gt;"","BLA","")</f>
        <v>BLA</v>
      </c>
      <c r="HQ3" s="48" t="str" cm="1">
        <f t="array" ref="HQ3">IF(_xlfn.TEXTJOIN(", ", TRUE, IF(ISNUMBER(SEARCH("BLU", BL3:BT3)), COLUMN(BL3:BT3) - COLUMN(BL3) + 1, ""))&lt;&gt;"","BLU","")</f>
        <v>BLU</v>
      </c>
      <c r="HR3" s="48" t="str" cm="1">
        <f t="array" ref="HR3">IF(_xlfn.TEXTJOIN(", ", TRUE, IF(ISNUMBER(SEARCH("GRE", BL3:BT3)), COLUMN(BL3:BT3) - COLUMN(BL3) + 1, ""))&lt;&gt;"","GRE","")</f>
        <v>GRE</v>
      </c>
      <c r="HS3" s="48" t="str" cm="1">
        <f t="array" ref="HS3">IF(_xlfn.TEXTJOIN(", ", TRUE, IF(ISNUMBER(SEARCH("RED", BL3:BT3)), COLUMN(BL3:BT3) - COLUMN(BL3) + 1, ""))&lt;&gt;"","RED","")</f>
        <v>RED</v>
      </c>
      <c r="HT3" s="48" t="str" cm="1">
        <f t="array" ref="HT3">IF(_xlfn.TEXTJOIN(", ", TRUE, IF(ISNUMBER(SEARCH("YEL", BL3:BT3)), COLUMN(BL3:BT3) - COLUMN(BL3) + 1, ""))&lt;&gt;"","YEL","")</f>
        <v>YEL</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M3" s="45">
        <f>COUNTIF(IC3:IK3,"&gt;0")-CG3</f>
        <v>-6</v>
      </c>
      <c r="IN3" s="78" t="str">
        <f>"http://mkweb.bcgsc.ca/color-summarizer/?url="&amp;D3&amp;"&amp;precision=low&amp;num_clusters="&amp;CG3&amp;"&amp;text=1"</f>
        <v>http://mkweb.bcgsc.ca/color-summarizer/?url=https://upload.wikimedia.org/wikipedia/commons/thumb/b/b1/Flag_of_Ghezo_of_Dahomey.svg/640px-Flag_of_Ghezo_of_Dahomey.svg.png&amp;precision=low&amp;num_clusters=6&amp;text=1</v>
      </c>
      <c r="IO3" s="48" t="str">
        <f>IF(HP3&lt;&gt;"",CHAR(34)&amp;"black"&amp;CHAR(34),"")</f>
        <v>"black"</v>
      </c>
      <c r="IP3" s="48" t="str">
        <f>IF(HQ3&lt;&gt;"",CHAR(34)&amp;"blue"&amp;CHAR(34),"")</f>
        <v>"blue"</v>
      </c>
      <c r="IQ3" s="48" t="str">
        <f>IF(HR3&lt;&gt;"",CHAR(34)&amp;"green"&amp;CHAR(34),"")</f>
        <v>"green"</v>
      </c>
      <c r="IR3" s="48" t="str">
        <f>IF(HS3&lt;&gt;"",CHAR(34)&amp;"red"&amp;CHAR(34),"")</f>
        <v>"red"</v>
      </c>
      <c r="IS3" s="48" t="str">
        <f>IF(HT3&lt;&gt;"",CHAR(34)&amp;"yellow"&amp;CHAR(34),"")</f>
        <v>"yellow"</v>
      </c>
      <c r="IT3" s="48" t="str">
        <f>IF(HU3&lt;&gt;"",CHAR(34)&amp;"orange"&amp;CHAR(34),"")</f>
        <v/>
      </c>
      <c r="IU3" s="48" t="str">
        <f>IF(HV3&lt;&gt;"",CHAR(34)&amp;"brown"&amp;CHAR(34),"")</f>
        <v/>
      </c>
      <c r="IV3" s="48" t="str">
        <f>IF(HW3&lt;&gt;"",CHAR(34)&amp;"purple"&amp;CHAR(34),"")</f>
        <v/>
      </c>
      <c r="IW3" s="48" t="str">
        <f>IF(HX3&lt;&gt;"",CHAR(34)&amp;"white"&amp;CHAR(34),"")</f>
        <v>"white"</v>
      </c>
      <c r="IX3" s="48" t="str">
        <f>"{"&amp;CHAR(34)&amp;"url"&amp;CHAR(34)&amp;":"&amp;CHAR(34)&amp;IN3&amp;CHAR(34)&amp;","&amp;CHAR(34)&amp;"name"&amp;CHAR(34)&amp;":"&amp;CHAR(34)&amp;A3&amp;CHAR(34)&amp;"},"</f>
        <v>{"url":"http://mkweb.bcgsc.ca/color-summarizer/?url=https://upload.wikimedia.org/wikipedia/commons/thumb/b/b1/Flag_of_Ghezo_of_Dahomey.svg/640px-Flag_of_Ghezo_of_Dahomey.svg.png&amp;precision=low&amp;num_clusters=6&amp;text=1","name":"[BEN] Royal Flag of King Ghezo"},</v>
      </c>
      <c r="IY3" s="48">
        <v>1247</v>
      </c>
    </row>
    <row r="4" spans="1:259" ht="38.4" customHeight="1" x14ac:dyDescent="0.3">
      <c r="F4" s="82"/>
      <c r="G4" s="82"/>
      <c r="H4" s="82"/>
      <c r="I4" s="82"/>
      <c r="J4" s="82"/>
      <c r="K4" s="82"/>
    </row>
    <row r="5" spans="1:259" ht="38.4" customHeight="1" x14ac:dyDescent="0.3">
      <c r="F5" s="82"/>
      <c r="G5" s="82"/>
      <c r="H5" s="82"/>
      <c r="I5" s="82"/>
      <c r="J5" s="82"/>
      <c r="K5" s="82"/>
    </row>
    <row r="6" spans="1:259" ht="38.4" customHeight="1" x14ac:dyDescent="0.3">
      <c r="F6" s="82"/>
      <c r="G6" s="82"/>
      <c r="H6" s="82"/>
      <c r="I6" s="82"/>
      <c r="J6" s="82"/>
      <c r="K6" s="82"/>
    </row>
  </sheetData>
  <autoFilter ref="A1:IY1" xr:uid="{A1051193-A95B-4CFB-A73C-F0184620C81F}">
    <sortState xmlns:xlrd2="http://schemas.microsoft.com/office/spreadsheetml/2017/richdata2" ref="A2:IY5">
      <sortCondition ref="AW1"/>
    </sortState>
  </autoFilter>
  <conditionalFormatting sqref="H1 CW1:GS1 IA1:IB1">
    <cfRule type="cellIs" dxfId="6345" priority="118" operator="greaterThan">
      <formula>0</formula>
    </cfRule>
  </conditionalFormatting>
  <conditionalFormatting sqref="H1 H7:H1048576">
    <cfRule type="cellIs" dxfId="6344" priority="84" stopIfTrue="1" operator="notEqual">
      <formula>""</formula>
    </cfRule>
  </conditionalFormatting>
  <conditionalFormatting sqref="T1:BK1">
    <cfRule type="cellIs" dxfId="6343" priority="121" operator="greaterThan">
      <formula>0</formula>
    </cfRule>
  </conditionalFormatting>
  <conditionalFormatting sqref="BV1:BW1 BV4:BW1048576">
    <cfRule type="cellIs" dxfId="6342" priority="120" operator="equal">
      <formula>"nc"</formula>
    </cfRule>
  </conditionalFormatting>
  <conditionalFormatting sqref="HF1:HG1">
    <cfRule type="cellIs" dxfId="6341" priority="122" operator="greaterThan">
      <formula>0</formula>
    </cfRule>
  </conditionalFormatting>
  <conditionalFormatting sqref="HK1">
    <cfRule type="cellIs" dxfId="6340" priority="119" operator="greaterThan">
      <formula>0</formula>
    </cfRule>
  </conditionalFormatting>
  <conditionalFormatting sqref="HP1:HX1">
    <cfRule type="cellIs" dxfId="6339" priority="96" operator="equal">
      <formula>"PIN"</formula>
    </cfRule>
    <cfRule type="cellIs" dxfId="6338" priority="97" operator="equal">
      <formula>"ORA"</formula>
    </cfRule>
    <cfRule type="cellIs" dxfId="6337" priority="98" operator="equal">
      <formula>"GRA"</formula>
    </cfRule>
    <cfRule type="cellIs" dxfId="6336" priority="99" operator="equal">
      <formula>"PUR"</formula>
    </cfRule>
    <cfRule type="cellIs" dxfId="6335" priority="100" operator="equal">
      <formula>"BRO"</formula>
    </cfRule>
    <cfRule type="cellIs" dxfId="6334" priority="101" operator="equal">
      <formula>"YEL"</formula>
    </cfRule>
    <cfRule type="cellIs" dxfId="6333" priority="102" operator="equal">
      <formula>"BLU"</formula>
    </cfRule>
    <cfRule type="cellIs" dxfId="6332" priority="103" operator="equal">
      <formula>"WHI"</formula>
    </cfRule>
    <cfRule type="cellIs" dxfId="6331" priority="104" operator="equal">
      <formula>"GRE"</formula>
    </cfRule>
    <cfRule type="cellIs" dxfId="6330" priority="105" operator="equal">
      <formula>"RED"</formula>
    </cfRule>
    <cfRule type="cellIs" dxfId="6329" priority="106" operator="equal">
      <formula>"BLA"</formula>
    </cfRule>
  </conditionalFormatting>
  <conditionalFormatting sqref="IC1:IK1">
    <cfRule type="cellIs" dxfId="6328" priority="107" operator="equal">
      <formula>"PIN"</formula>
    </cfRule>
    <cfRule type="cellIs" dxfId="6327" priority="108" operator="equal">
      <formula>"ORA"</formula>
    </cfRule>
    <cfRule type="cellIs" dxfId="6326" priority="109" operator="equal">
      <formula>"GRA"</formula>
    </cfRule>
    <cfRule type="cellIs" dxfId="6325" priority="110" operator="equal">
      <formula>"PUR"</formula>
    </cfRule>
    <cfRule type="cellIs" dxfId="6324" priority="111" operator="equal">
      <formula>"BRO"</formula>
    </cfRule>
    <cfRule type="cellIs" dxfId="6323" priority="112" operator="equal">
      <formula>"YEL"</formula>
    </cfRule>
    <cfRule type="cellIs" dxfId="6322" priority="113" operator="equal">
      <formula>"BLU"</formula>
    </cfRule>
    <cfRule type="cellIs" dxfId="6321" priority="114" operator="equal">
      <formula>"WHI"</formula>
    </cfRule>
    <cfRule type="cellIs" dxfId="6320" priority="115" operator="equal">
      <formula>"GRE"</formula>
    </cfRule>
    <cfRule type="cellIs" dxfId="6319" priority="116" operator="equal">
      <formula>"RED"</formula>
    </cfRule>
    <cfRule type="cellIs" dxfId="6318" priority="117" operator="equal">
      <formula>"BLA"</formula>
    </cfRule>
  </conditionalFormatting>
  <conditionalFormatting sqref="IO1:IW1">
    <cfRule type="cellIs" dxfId="6317" priority="85" operator="equal">
      <formula>"PIN"</formula>
    </cfRule>
    <cfRule type="cellIs" dxfId="6316" priority="86" operator="equal">
      <formula>"ORA"</formula>
    </cfRule>
    <cfRule type="cellIs" dxfId="6315" priority="87" operator="equal">
      <formula>"GRA"</formula>
    </cfRule>
    <cfRule type="cellIs" dxfId="6314" priority="88" operator="equal">
      <formula>"PUR"</formula>
    </cfRule>
    <cfRule type="cellIs" dxfId="6313" priority="89" operator="equal">
      <formula>"BRO"</formula>
    </cfRule>
    <cfRule type="cellIs" dxfId="6312" priority="90" operator="equal">
      <formula>"YEL"</formula>
    </cfRule>
    <cfRule type="cellIs" dxfId="6311" priority="91" operator="equal">
      <formula>"BLU"</formula>
    </cfRule>
    <cfRule type="cellIs" dxfId="6310" priority="92" operator="equal">
      <formula>"WHI"</formula>
    </cfRule>
    <cfRule type="cellIs" dxfId="6309" priority="93" operator="equal">
      <formula>"GRE"</formula>
    </cfRule>
    <cfRule type="cellIs" dxfId="6308" priority="94" operator="equal">
      <formula>"RED"</formula>
    </cfRule>
    <cfRule type="cellIs" dxfId="6307" priority="95" operator="equal">
      <formula>"BLA"</formula>
    </cfRule>
  </conditionalFormatting>
  <conditionalFormatting sqref="H3">
    <cfRule type="cellIs" dxfId="6306" priority="76" stopIfTrue="1" operator="notEqual">
      <formula>""</formula>
    </cfRule>
  </conditionalFormatting>
  <conditionalFormatting sqref="R3 CU3">
    <cfRule type="cellIs" dxfId="6305" priority="79" operator="greaterThan">
      <formula>0</formula>
    </cfRule>
  </conditionalFormatting>
  <conditionalFormatting sqref="T3:AS3 CH3:CS3">
    <cfRule type="cellIs" dxfId="6304" priority="73" stopIfTrue="1" operator="equal">
      <formula>"n"</formula>
    </cfRule>
    <cfRule type="cellIs" dxfId="6303" priority="74" stopIfTrue="1" operator="equal">
      <formula>"y"</formula>
    </cfRule>
    <cfRule type="cellIs" dxfId="6302" priority="75" operator="greaterThan">
      <formula>0</formula>
    </cfRule>
  </conditionalFormatting>
  <conditionalFormatting sqref="AZ3:BB3">
    <cfRule type="expression" dxfId="6301" priority="60">
      <formula>$AT3=0</formula>
    </cfRule>
  </conditionalFormatting>
  <conditionalFormatting sqref="CD3:CF3 BX3:CA3 AZ3:BU3">
    <cfRule type="cellIs" dxfId="6300" priority="61" operator="equal">
      <formula>"PIN"</formula>
    </cfRule>
    <cfRule type="cellIs" dxfId="6299" priority="62" operator="equal">
      <formula>"ORA"</formula>
    </cfRule>
    <cfRule type="cellIs" dxfId="6298" priority="63" operator="equal">
      <formula>"GRA"</formula>
    </cfRule>
    <cfRule type="cellIs" dxfId="6297" priority="64" operator="equal">
      <formula>"PUR"</formula>
    </cfRule>
    <cfRule type="cellIs" dxfId="6296" priority="65" operator="equal">
      <formula>"BRO"</formula>
    </cfRule>
    <cfRule type="cellIs" dxfId="6295" priority="66" operator="equal">
      <formula>"YEL"</formula>
    </cfRule>
    <cfRule type="cellIs" dxfId="6294" priority="67" operator="equal">
      <formula>"BLU"</formula>
    </cfRule>
    <cfRule type="cellIs" dxfId="6293" priority="68" operator="equal">
      <formula>"WHI"</formula>
    </cfRule>
    <cfRule type="cellIs" dxfId="6292" priority="69" operator="equal">
      <formula>"GRE"</formula>
    </cfRule>
    <cfRule type="cellIs" dxfId="6291" priority="70" operator="equal">
      <formula>"RED"</formula>
    </cfRule>
    <cfRule type="cellIs" dxfId="6290" priority="71" operator="equal">
      <formula>"BLA"</formula>
    </cfRule>
  </conditionalFormatting>
  <conditionalFormatting sqref="BV3">
    <cfRule type="cellIs" dxfId="6289" priority="78" operator="equal">
      <formula>"nc"</formula>
    </cfRule>
  </conditionalFormatting>
  <conditionalFormatting sqref="CD3:CF3 BX3:CA3">
    <cfRule type="cellIs" dxfId="6288" priority="77" operator="equal">
      <formula>"y"</formula>
    </cfRule>
  </conditionalFormatting>
  <conditionalFormatting sqref="CD3:CF3 BZ3:CA3">
    <cfRule type="cellIs" dxfId="6287" priority="72" operator="greaterThan">
      <formula>0</formula>
    </cfRule>
  </conditionalFormatting>
  <conditionalFormatting sqref="IC3:IK3">
    <cfRule type="expression" dxfId="6286" priority="59">
      <formula>$IL3&gt;0</formula>
    </cfRule>
  </conditionalFormatting>
  <conditionalFormatting sqref="IC3">
    <cfRule type="cellIs" dxfId="6285" priority="53" stopIfTrue="1" operator="greaterThan">
      <formula>0</formula>
    </cfRule>
  </conditionalFormatting>
  <conditionalFormatting sqref="ID3">
    <cfRule type="cellIs" dxfId="6284" priority="51" stopIfTrue="1" operator="greaterThan">
      <formula>0</formula>
    </cfRule>
  </conditionalFormatting>
  <conditionalFormatting sqref="II3 IE3:IF3">
    <cfRule type="cellIs" dxfId="6283" priority="58" operator="greaterThan">
      <formula>0</formula>
    </cfRule>
  </conditionalFormatting>
  <conditionalFormatting sqref="II3 IF3">
    <cfRule type="cellIs" dxfId="6282" priority="52" stopIfTrue="1" operator="greaterThan">
      <formula>0</formula>
    </cfRule>
  </conditionalFormatting>
  <conditionalFormatting sqref="IG3">
    <cfRule type="cellIs" dxfId="6281" priority="57" operator="greaterThan">
      <formula>0</formula>
    </cfRule>
  </conditionalFormatting>
  <conditionalFormatting sqref="IH3:II3">
    <cfRule type="cellIs" dxfId="6280" priority="56" operator="greaterThan">
      <formula>0</formula>
    </cfRule>
  </conditionalFormatting>
  <conditionalFormatting sqref="IJ3">
    <cfRule type="cellIs" dxfId="6279" priority="55" operator="greaterThan">
      <formula>0</formula>
    </cfRule>
  </conditionalFormatting>
  <conditionalFormatting sqref="IK3">
    <cfRule type="cellIs" dxfId="6278" priority="54" operator="greaterThan">
      <formula>0</formula>
    </cfRule>
  </conditionalFormatting>
  <conditionalFormatting sqref="IF3">
    <cfRule type="cellIs" dxfId="6277" priority="50" stopIfTrue="1" operator="greaterThan">
      <formula>0</formula>
    </cfRule>
  </conditionalFormatting>
  <conditionalFormatting sqref="IM3">
    <cfRule type="cellIs" dxfId="6276" priority="49" operator="equal">
      <formula>0</formula>
    </cfRule>
  </conditionalFormatting>
  <conditionalFormatting sqref="BX3:CA3 CD3:CF3">
    <cfRule type="cellIs" dxfId="6275" priority="37" operator="equal">
      <formula>"y"</formula>
    </cfRule>
    <cfRule type="cellIs" dxfId="6274" priority="38" operator="equal">
      <formula>"PIN"</formula>
    </cfRule>
    <cfRule type="cellIs" dxfId="6273" priority="39" operator="equal">
      <formula>"ORA"</formula>
    </cfRule>
    <cfRule type="cellIs" dxfId="6272" priority="40" operator="equal">
      <formula>"GRA"</formula>
    </cfRule>
    <cfRule type="cellIs" dxfId="6271" priority="41" operator="equal">
      <formula>"PUR"</formula>
    </cfRule>
    <cfRule type="cellIs" dxfId="6270" priority="42" operator="equal">
      <formula>"BRO"</formula>
    </cfRule>
    <cfRule type="cellIs" dxfId="6269" priority="43" operator="equal">
      <formula>"YEL"</formula>
    </cfRule>
    <cfRule type="cellIs" dxfId="6268" priority="44" operator="equal">
      <formula>"BLU"</formula>
    </cfRule>
    <cfRule type="cellIs" dxfId="6267" priority="45" operator="equal">
      <formula>"WHI"</formula>
    </cfRule>
    <cfRule type="cellIs" dxfId="6266" priority="46" operator="equal">
      <formula>"GRE"</formula>
    </cfRule>
    <cfRule type="cellIs" dxfId="6265" priority="47" operator="equal">
      <formula>"RED"</formula>
    </cfRule>
    <cfRule type="cellIs" dxfId="6264" priority="48" operator="equal">
      <formula>"BLA"</formula>
    </cfRule>
  </conditionalFormatting>
  <conditionalFormatting sqref="AT3">
    <cfRule type="colorScale" priority="80">
      <colorScale>
        <cfvo type="min"/>
        <cfvo type="max"/>
        <color rgb="FFFCFCFF"/>
        <color theme="8" tint="0.39997558519241921"/>
      </colorScale>
    </cfRule>
  </conditionalFormatting>
  <conditionalFormatting sqref="S3">
    <cfRule type="colorScale" priority="81">
      <colorScale>
        <cfvo type="min"/>
        <cfvo type="max"/>
        <color rgb="FFFCFCFF"/>
        <color rgb="FF754BFB"/>
      </colorScale>
    </cfRule>
  </conditionalFormatting>
  <conditionalFormatting sqref="J3">
    <cfRule type="colorScale" priority="82">
      <colorScale>
        <cfvo type="min"/>
        <cfvo type="percentile" val="50"/>
        <cfvo type="max"/>
        <color rgb="FFF8696B"/>
        <color rgb="FFFFEB84"/>
        <color rgb="FF63BE7B"/>
      </colorScale>
    </cfRule>
  </conditionalFormatting>
  <conditionalFormatting sqref="CG3">
    <cfRule type="colorScale" priority="83">
      <colorScale>
        <cfvo type="min"/>
        <cfvo type="max"/>
        <color rgb="FFFCFCFF"/>
        <color rgb="FF63BE7B"/>
      </colorScale>
    </cfRule>
  </conditionalFormatting>
  <conditionalFormatting sqref="H2">
    <cfRule type="cellIs" dxfId="6263" priority="30" stopIfTrue="1" operator="notEqual">
      <formula>""</formula>
    </cfRule>
  </conditionalFormatting>
  <conditionalFormatting sqref="R2 CU2">
    <cfRule type="cellIs" dxfId="6262" priority="32" operator="greaterThan">
      <formula>0</formula>
    </cfRule>
  </conditionalFormatting>
  <conditionalFormatting sqref="T2:AS2 CH2:CS2">
    <cfRule type="cellIs" dxfId="6261" priority="27" stopIfTrue="1" operator="equal">
      <formula>"n"</formula>
    </cfRule>
    <cfRule type="cellIs" dxfId="6260" priority="28" stopIfTrue="1" operator="equal">
      <formula>"y"</formula>
    </cfRule>
    <cfRule type="cellIs" dxfId="6259" priority="29" operator="greaterThan">
      <formula>0</formula>
    </cfRule>
  </conditionalFormatting>
  <conditionalFormatting sqref="AZ2:BB2">
    <cfRule type="expression" dxfId="6258" priority="14">
      <formula>$AT2=0</formula>
    </cfRule>
  </conditionalFormatting>
  <conditionalFormatting sqref="AZ2:BU2">
    <cfRule type="cellIs" dxfId="6257" priority="15" operator="equal">
      <formula>"PIN"</formula>
    </cfRule>
    <cfRule type="cellIs" dxfId="6256" priority="16" operator="equal">
      <formula>"ORA"</formula>
    </cfRule>
    <cfRule type="cellIs" dxfId="6255" priority="17" operator="equal">
      <formula>"GRA"</formula>
    </cfRule>
    <cfRule type="cellIs" dxfId="6254" priority="18" operator="equal">
      <formula>"PUR"</formula>
    </cfRule>
    <cfRule type="cellIs" dxfId="6253" priority="19" operator="equal">
      <formula>"BRO"</formula>
    </cfRule>
    <cfRule type="cellIs" dxfId="6252" priority="20" operator="equal">
      <formula>"YEL"</formula>
    </cfRule>
    <cfRule type="cellIs" dxfId="6251" priority="21" operator="equal">
      <formula>"BLU"</formula>
    </cfRule>
    <cfRule type="cellIs" dxfId="6250" priority="22" operator="equal">
      <formula>"WHI"</formula>
    </cfRule>
    <cfRule type="cellIs" dxfId="6249" priority="23" operator="equal">
      <formula>"GRE"</formula>
    </cfRule>
    <cfRule type="cellIs" dxfId="6248" priority="24" operator="equal">
      <formula>"RED"</formula>
    </cfRule>
    <cfRule type="cellIs" dxfId="6247" priority="25" operator="equal">
      <formula>"BLA"</formula>
    </cfRule>
  </conditionalFormatting>
  <conditionalFormatting sqref="BV2">
    <cfRule type="cellIs" dxfId="6246" priority="31" operator="equal">
      <formula>"nc"</formula>
    </cfRule>
  </conditionalFormatting>
  <conditionalFormatting sqref="CD2:CF2 BZ2:CA2">
    <cfRule type="cellIs" dxfId="6245" priority="26" operator="greaterThan">
      <formula>0</formula>
    </cfRule>
  </conditionalFormatting>
  <conditionalFormatting sqref="IC2:IK2">
    <cfRule type="expression" dxfId="6244" priority="13">
      <formula>$IL2&gt;0</formula>
    </cfRule>
  </conditionalFormatting>
  <conditionalFormatting sqref="BX2:CA2 CD2:CF2">
    <cfRule type="cellIs" dxfId="6243" priority="1" operator="equal">
      <formula>"y"</formula>
    </cfRule>
    <cfRule type="cellIs" dxfId="6242" priority="2" operator="equal">
      <formula>"PIN"</formula>
    </cfRule>
    <cfRule type="cellIs" dxfId="6241" priority="3" operator="equal">
      <formula>"ORA"</formula>
    </cfRule>
    <cfRule type="cellIs" dxfId="6240" priority="4" operator="equal">
      <formula>"GRA"</formula>
    </cfRule>
    <cfRule type="cellIs" dxfId="6239" priority="5" operator="equal">
      <formula>"PUR"</formula>
    </cfRule>
    <cfRule type="cellIs" dxfId="6238" priority="6" operator="equal">
      <formula>"BRO"</formula>
    </cfRule>
    <cfRule type="cellIs" dxfId="6237" priority="7" operator="equal">
      <formula>"YEL"</formula>
    </cfRule>
    <cfRule type="cellIs" dxfId="6236" priority="8" operator="equal">
      <formula>"BLU"</formula>
    </cfRule>
    <cfRule type="cellIs" dxfId="6235" priority="9" operator="equal">
      <formula>"WHI"</formula>
    </cfRule>
    <cfRule type="cellIs" dxfId="6234" priority="10" operator="equal">
      <formula>"GRE"</formula>
    </cfRule>
    <cfRule type="cellIs" dxfId="6233" priority="11" operator="equal">
      <formula>"RED"</formula>
    </cfRule>
    <cfRule type="cellIs" dxfId="6232" priority="12" operator="equal">
      <formula>"BLA"</formula>
    </cfRule>
  </conditionalFormatting>
  <conditionalFormatting sqref="J2">
    <cfRule type="colorScale" priority="33">
      <colorScale>
        <cfvo type="min"/>
        <cfvo type="percentile" val="50"/>
        <cfvo type="max"/>
        <color rgb="FFF8696B"/>
        <color rgb="FFFFEB84"/>
        <color rgb="FF63BE7B"/>
      </colorScale>
    </cfRule>
  </conditionalFormatting>
  <conditionalFormatting sqref="S2">
    <cfRule type="colorScale" priority="34">
      <colorScale>
        <cfvo type="min"/>
        <cfvo type="max"/>
        <color rgb="FFFCFCFF"/>
        <color rgb="FF754BFB"/>
      </colorScale>
    </cfRule>
  </conditionalFormatting>
  <conditionalFormatting sqref="AT2">
    <cfRule type="colorScale" priority="35">
      <colorScale>
        <cfvo type="min"/>
        <cfvo type="max"/>
        <color rgb="FFFCFCFF"/>
        <color theme="8" tint="0.39997558519241921"/>
      </colorScale>
    </cfRule>
  </conditionalFormatting>
  <conditionalFormatting sqref="CG2">
    <cfRule type="colorScale" priority="36">
      <colorScale>
        <cfvo type="min"/>
        <cfvo type="max"/>
        <color rgb="FFFCFCFF"/>
        <color rgb="FF63BE7B"/>
      </colorScale>
    </cfRule>
  </conditionalFormatting>
  <hyperlinks>
    <hyperlink ref="E2" r:id="rId1" xr:uid="{86E3CD54-8845-4700-9527-7F5AF2D32700}"/>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8673" r:id="rId5"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28674" r:id="rId6"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28675" r:id="rId7"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DCBDEA-B522-4779-8535-0221919B6626}">
  <sheetPr codeName="Sheet42"/>
  <dimension ref="A1:IY6"/>
  <sheetViews>
    <sheetView zoomScale="70" zoomScaleNormal="70" workbookViewId="0">
      <pane xSplit="5" ySplit="1" topLeftCell="F2" activePane="bottomRight" state="frozen"/>
      <selection pane="topRight" activeCell="F1" sqref="F1"/>
      <selection pane="bottomLeft" activeCell="A2" sqref="A2"/>
      <selection pane="bottomRight" activeCell="O5" sqref="O5"/>
    </sheetView>
  </sheetViews>
  <sheetFormatPr defaultRowHeight="38.4" customHeight="1" x14ac:dyDescent="0.3"/>
  <cols>
    <col min="1" max="1" width="52.44140625" style="81" bestFit="1" customWidth="1"/>
    <col min="2" max="2" width="10.109375" style="81" customWidth="1"/>
    <col min="3" max="3" width="7.44140625" style="82" customWidth="1"/>
    <col min="4" max="4" width="4.77734375" style="83" customWidth="1"/>
    <col min="5" max="5" width="4.5546875" style="83" customWidth="1"/>
    <col min="6" max="6" width="5.77734375" style="83" customWidth="1"/>
    <col min="7" max="7" width="7.44140625" style="81" customWidth="1"/>
    <col min="8" max="8" width="11.44140625" style="81" customWidth="1"/>
    <col min="9" max="9" width="10" style="81" customWidth="1"/>
    <col min="10" max="10" width="4.21875" style="81" customWidth="1"/>
    <col min="11" max="11" width="5.6640625" style="83" customWidth="1"/>
    <col min="12" max="12" width="2.88671875" style="83" customWidth="1"/>
    <col min="13" max="13" width="6.44140625" style="83" customWidth="1"/>
    <col min="14" max="14" width="4.5546875" style="83" customWidth="1"/>
    <col min="15" max="15" width="10.5546875" style="84" customWidth="1"/>
    <col min="16" max="16" width="6.88671875" style="83" customWidth="1"/>
    <col min="17" max="17" width="4.77734375" style="83" customWidth="1"/>
    <col min="18" max="18" width="13.109375" style="82" customWidth="1"/>
    <col min="19" max="19" width="6.77734375" style="82" customWidth="1"/>
    <col min="20" max="46" width="8.44140625" style="81" customWidth="1"/>
    <col min="47" max="47" width="24.5546875" style="81" customWidth="1"/>
    <col min="48" max="51" width="16.6640625" style="81" customWidth="1"/>
    <col min="52" max="52" width="6.5546875" style="81" customWidth="1"/>
    <col min="53" max="54" width="5.88671875" style="81" customWidth="1"/>
    <col min="55" max="55" width="1.33203125" style="81" customWidth="1"/>
    <col min="56" max="56" width="7.44140625" style="81" customWidth="1"/>
    <col min="57" max="57" width="2.33203125" style="81" customWidth="1"/>
    <col min="58" max="62" width="6.109375" style="81" customWidth="1"/>
    <col min="63" max="63" width="2.33203125" style="81" customWidth="1"/>
    <col min="64" max="64" width="7" style="81" bestFit="1" customWidth="1"/>
    <col min="65" max="65" width="6.44140625" style="81" bestFit="1" customWidth="1"/>
    <col min="66" max="66" width="7.109375" style="81" bestFit="1" customWidth="1"/>
    <col min="67" max="71" width="6.44140625" style="81" bestFit="1" customWidth="1"/>
    <col min="72" max="73" width="6.44140625" style="81" customWidth="1"/>
    <col min="74" max="75" width="13.44140625" style="81" customWidth="1"/>
    <col min="76" max="84" width="14.6640625" style="81" customWidth="1"/>
    <col min="85" max="85" width="6.44140625" style="81" customWidth="1"/>
    <col min="86" max="87" width="11.6640625" style="81" bestFit="1" customWidth="1"/>
    <col min="88" max="88" width="11.6640625" style="81" customWidth="1"/>
    <col min="89" max="89" width="12.77734375" style="81" bestFit="1" customWidth="1"/>
    <col min="90" max="90" width="16.44140625" style="82" bestFit="1" customWidth="1"/>
    <col min="91" max="92" width="14.88671875" style="82" bestFit="1" customWidth="1"/>
    <col min="93" max="93" width="16" style="82" bestFit="1" customWidth="1"/>
    <col min="94" max="97" width="7.77734375" style="81" customWidth="1"/>
    <col min="98" max="98" width="33.21875" style="81" customWidth="1"/>
    <col min="99" max="99" width="18" style="81" customWidth="1"/>
    <col min="100" max="100" width="75.6640625" style="81" customWidth="1"/>
    <col min="101" max="125" width="33" style="81" customWidth="1"/>
    <col min="126" max="126" width="8.88671875" style="81"/>
    <col min="127" max="128" width="9.44140625" style="81" bestFit="1" customWidth="1"/>
    <col min="129" max="129" width="10.77734375" style="81" bestFit="1" customWidth="1"/>
    <col min="130" max="134" width="10.77734375" style="81" customWidth="1"/>
    <col min="135" max="135" width="10.109375" style="81" bestFit="1" customWidth="1"/>
    <col min="136" max="136" width="7.77734375" style="81" bestFit="1" customWidth="1"/>
    <col min="137" max="137" width="7.77734375" style="81" customWidth="1"/>
    <col min="138" max="138" width="9" style="81" bestFit="1" customWidth="1"/>
    <col min="139" max="139" width="11.33203125" style="81" bestFit="1" customWidth="1"/>
    <col min="140" max="140" width="9.109375" style="81" bestFit="1" customWidth="1"/>
    <col min="141" max="141" width="9" style="81" bestFit="1" customWidth="1"/>
    <col min="142" max="142" width="12" style="81" bestFit="1" customWidth="1"/>
    <col min="143" max="166" width="12" style="81" customWidth="1"/>
    <col min="167" max="167" width="17.21875" style="81" customWidth="1"/>
    <col min="168" max="191" width="12" style="81" customWidth="1"/>
    <col min="192" max="192" width="8.5546875" style="81" bestFit="1" customWidth="1"/>
    <col min="193" max="193" width="8.5546875" style="81" customWidth="1"/>
    <col min="194" max="194" width="7.109375" style="81" bestFit="1" customWidth="1"/>
    <col min="195" max="195" width="7.5546875" style="81" bestFit="1" customWidth="1"/>
    <col min="196" max="196" width="8.5546875" style="81" bestFit="1" customWidth="1"/>
    <col min="197" max="200" width="8.5546875" style="81" customWidth="1"/>
    <col min="201" max="201" width="188.88671875" style="81" customWidth="1"/>
    <col min="202" max="202" width="9.5546875" style="81" bestFit="1" customWidth="1"/>
    <col min="203" max="203" width="10.44140625" style="81" bestFit="1" customWidth="1"/>
    <col min="204" max="204" width="11.109375" style="81" bestFit="1" customWidth="1"/>
    <col min="205" max="205" width="10.44140625" style="81" bestFit="1" customWidth="1"/>
    <col min="206" max="210" width="10.44140625" style="81" customWidth="1"/>
    <col min="211" max="211" width="45.44140625" style="81" customWidth="1"/>
    <col min="212" max="212" width="47.5546875" style="81" bestFit="1" customWidth="1"/>
    <col min="213" max="213" width="9.33203125" style="85" customWidth="1"/>
    <col min="214" max="214" width="119.5546875" style="81" customWidth="1"/>
    <col min="215" max="215" width="69.6640625" style="81" customWidth="1"/>
    <col min="216" max="218" width="8.88671875" style="81"/>
    <col min="219" max="219" width="37.109375" style="81" customWidth="1"/>
    <col min="220" max="220" width="16.33203125" style="81" customWidth="1"/>
    <col min="221" max="222" width="8.88671875" style="81"/>
    <col min="223" max="223" width="10.109375" style="81" bestFit="1" customWidth="1"/>
    <col min="224" max="232" width="10.88671875" style="81" customWidth="1"/>
    <col min="233" max="234" width="30.77734375" style="81" customWidth="1"/>
    <col min="235" max="235" width="5.109375" style="81" customWidth="1"/>
    <col min="236" max="236" width="3" style="81" customWidth="1"/>
    <col min="237" max="245" width="6.77734375" style="86" customWidth="1"/>
    <col min="246" max="247" width="8.88671875" style="81"/>
    <col min="248" max="248" width="61.5546875" style="81" customWidth="1"/>
    <col min="249" max="253" width="8.88671875" style="81"/>
    <col min="254" max="254" width="9" style="81" customWidth="1"/>
    <col min="255" max="16384" width="8.88671875" style="8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796</v>
      </c>
      <c r="B2" s="40" t="e" vm="8">
        <v>#VALUE!</v>
      </c>
      <c r="C2" s="41">
        <v>1</v>
      </c>
      <c r="D2" s="42" t="s">
        <v>797</v>
      </c>
      <c r="E2" s="43" t="s">
        <v>798</v>
      </c>
      <c r="F2" s="44" t="s">
        <v>163</v>
      </c>
      <c r="G2" s="45">
        <f>COUNTIF($A$1:$A$8354,A2)</f>
        <v>1</v>
      </c>
      <c r="H2" s="46"/>
      <c r="I2" s="47" t="s">
        <v>799</v>
      </c>
      <c r="J2" s="48" t="str">
        <f>""</f>
        <v/>
      </c>
      <c r="K2" s="49">
        <v>23251485</v>
      </c>
      <c r="L2" s="50">
        <v>87000</v>
      </c>
      <c r="M2" s="50" t="s">
        <v>809</v>
      </c>
      <c r="N2" s="51" t="s">
        <v>180</v>
      </c>
      <c r="O2" s="52" t="s">
        <v>416</v>
      </c>
      <c r="P2" s="53" t="s">
        <v>800</v>
      </c>
      <c r="Q2" s="54">
        <v>2</v>
      </c>
      <c r="R2" s="55" t="s">
        <v>180</v>
      </c>
      <c r="S2" s="56">
        <v>2</v>
      </c>
      <c r="T2" s="57" t="s">
        <v>164</v>
      </c>
      <c r="U2" s="58" t="s">
        <v>164</v>
      </c>
      <c r="V2" s="58" t="s">
        <v>167</v>
      </c>
      <c r="W2" s="58" t="s">
        <v>164</v>
      </c>
      <c r="X2" s="58" t="s">
        <v>164</v>
      </c>
      <c r="Y2" s="58" t="s">
        <v>164</v>
      </c>
      <c r="Z2" s="58" t="s">
        <v>164</v>
      </c>
      <c r="AA2" s="58" t="s">
        <v>164</v>
      </c>
      <c r="AB2" s="58" t="s">
        <v>164</v>
      </c>
      <c r="AC2" s="58" t="s">
        <v>164</v>
      </c>
      <c r="AD2" s="58" t="s">
        <v>164</v>
      </c>
      <c r="AE2" s="58" t="s">
        <v>164</v>
      </c>
      <c r="AF2" s="59" t="s">
        <v>164</v>
      </c>
      <c r="AG2" s="59" t="s">
        <v>164</v>
      </c>
      <c r="AH2" s="59" t="s">
        <v>167</v>
      </c>
      <c r="AI2" s="59" t="s">
        <v>164</v>
      </c>
      <c r="AJ2" s="59" t="s">
        <v>164</v>
      </c>
      <c r="AK2" s="59" t="s">
        <v>164</v>
      </c>
      <c r="AL2" s="59" t="s">
        <v>164</v>
      </c>
      <c r="AM2" s="59" t="s">
        <v>164</v>
      </c>
      <c r="AN2" s="59" t="s">
        <v>164</v>
      </c>
      <c r="AO2" s="59" t="s">
        <v>164</v>
      </c>
      <c r="AP2" s="59" t="s">
        <v>164</v>
      </c>
      <c r="AQ2" s="59" t="s">
        <v>164</v>
      </c>
      <c r="AR2" s="59" t="s">
        <v>164</v>
      </c>
      <c r="AS2" s="59" t="s">
        <v>164</v>
      </c>
      <c r="AT2" s="60">
        <v>1</v>
      </c>
      <c r="AU2" s="59"/>
      <c r="AV2" s="59" t="str">
        <f>IF(LEFT(A2,1)="[",LEFT(A2,5)&amp;AU2&amp;A2,"")</f>
        <v/>
      </c>
      <c r="AW2" s="59" t="str">
        <f t="shared" ref="AW2:AW3" si="0">C2&amp;H2&amp;A2</f>
        <v>1Burkina Faso</v>
      </c>
      <c r="AX2" s="61" t="str">
        <f>_xlfn.TEXTJOIN(";",TRUE,AU2:AW2)</f>
        <v>1Burkina Faso</v>
      </c>
      <c r="AY2" s="61"/>
      <c r="AZ2" s="62" t="s">
        <v>155</v>
      </c>
      <c r="BA2" s="62"/>
      <c r="BB2" s="62"/>
      <c r="BC2" s="63"/>
      <c r="BD2" s="64" t="s">
        <v>169</v>
      </c>
      <c r="BE2" s="47"/>
      <c r="BF2" s="64" t="s">
        <v>154</v>
      </c>
      <c r="BG2" s="64"/>
      <c r="BH2" s="64" t="s">
        <v>153</v>
      </c>
      <c r="BI2" s="64"/>
      <c r="BJ2" s="64"/>
      <c r="BK2" s="47"/>
      <c r="BL2" s="64" t="s">
        <v>154</v>
      </c>
      <c r="BM2" s="64" t="s">
        <v>153</v>
      </c>
      <c r="BN2" s="64" t="s">
        <v>155</v>
      </c>
      <c r="BO2" s="64"/>
      <c r="BP2" s="64"/>
      <c r="BQ2" s="64"/>
      <c r="BR2" s="64"/>
      <c r="BS2" s="64"/>
      <c r="BT2" s="64"/>
      <c r="BU2" s="65"/>
      <c r="BV2" s="66" t="s">
        <v>165</v>
      </c>
      <c r="BW2" s="66">
        <v>0</v>
      </c>
      <c r="BX2" s="47"/>
      <c r="BZ2" s="48" t="s">
        <v>167</v>
      </c>
      <c r="CB2" s="6" t="s">
        <v>801</v>
      </c>
      <c r="CC2" s="6"/>
      <c r="CD2" s="67">
        <v>0</v>
      </c>
      <c r="CE2" s="67">
        <v>0</v>
      </c>
      <c r="CF2" s="67" t="e">
        <v>#REF!</v>
      </c>
      <c r="CG2" s="68" cm="1">
        <f t="array" ref="CG2">SUMPRODUCT(--(LEN(TRIM(BL2:BT2))&gt;0))</f>
        <v>3</v>
      </c>
      <c r="CH2" s="59" t="str">
        <f>IF(CG2=2,"y","n")</f>
        <v>n</v>
      </c>
      <c r="CI2" s="59" t="str">
        <f>IF(CG2=3,"y","n")</f>
        <v>y</v>
      </c>
      <c r="CJ2" s="59" t="str">
        <f>IF(CG2=4,"y","n")</f>
        <v>n</v>
      </c>
      <c r="CK2" s="59" t="str">
        <f>IF(CG2&gt;4,"y","n")</f>
        <v>n</v>
      </c>
      <c r="CL2" s="59" t="str">
        <f>IF(S2=0,"y","n")</f>
        <v>n</v>
      </c>
      <c r="CM2" s="59" t="str">
        <f>IF(S2=2,"y","n")</f>
        <v>y</v>
      </c>
      <c r="CN2" s="59" t="str">
        <f>IF(S2=3,"y","n")</f>
        <v>n</v>
      </c>
      <c r="CO2" s="59" t="str">
        <f>IF(S2&gt;=4,"y","n")</f>
        <v>n</v>
      </c>
      <c r="CP2" s="59" t="str">
        <f>IF(AT2=0,"y","n")</f>
        <v>n</v>
      </c>
      <c r="CQ2" s="59" t="str">
        <f>IF(AT2=1,"y","n")</f>
        <v>y</v>
      </c>
      <c r="CR2" s="59" t="str">
        <f>IF(AT2=2,"y","n")</f>
        <v>n</v>
      </c>
      <c r="CS2" s="59" t="str">
        <f>IF(AT2&gt;=3,"y","n")</f>
        <v>n</v>
      </c>
      <c r="CT2" s="69" t="str">
        <f>CHAR(34)&amp;A2&amp;CHAR(34)</f>
        <v>"Burkina Faso"</v>
      </c>
      <c r="CU2" s="70" t="str">
        <f>CHAR(34)&amp;"rgn_"&amp;R2&amp;CHAR(34)</f>
        <v>"rgn_Africa"</v>
      </c>
      <c r="CV2" s="48" t="str">
        <f>CHAR(34)&amp;D2&amp;CHAR(34)</f>
        <v>"https://i.ibb.co/cw4wN6n/Burkina-Faso-Flag.png"</v>
      </c>
      <c r="CW2" s="48" t="str">
        <f>IF(CH2="y",CHAR(34)&amp;CH$1&amp;CHAR(34)&amp;",","")</f>
        <v/>
      </c>
      <c r="CX2" s="48" t="str">
        <f>IF(CI2="y",CHAR(34)&amp;CI$1&amp;CHAR(34)&amp;",","")</f>
        <v>"3Color",</v>
      </c>
      <c r="CY2" s="48" t="str">
        <f>IF(CJ2="y",CHAR(34)&amp;CJ$1&amp;CHAR(34)&amp;",","")</f>
        <v/>
      </c>
      <c r="CZ2" s="48" t="str">
        <f>IF(CK2="y",CHAR(34)&amp;CK$1&amp;CHAR(34)&amp;",","")</f>
        <v/>
      </c>
      <c r="DA2" s="48" t="str">
        <f>IF(Q2&gt;1,CHAR(34)&amp;"words2"&amp;CHAR(34)&amp;",","")</f>
        <v>"words2",</v>
      </c>
      <c r="DB2" s="48" t="str">
        <f>IF(Q2&gt;2,CHAR(34)&amp;"words3"&amp;CHAR(34)&amp;",","")</f>
        <v/>
      </c>
      <c r="DC2" s="48" t="str">
        <f>IF(Q2=2,CHAR(34)&amp;"exact2"&amp;CHAR(34)&amp;",","")</f>
        <v>"exact2",</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"lets11",</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"startB",</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"REEDEL",</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
      </c>
      <c r="DS2" s="6" t="str">
        <f>IF(W2="y",IF(AND(V2="n",BY2&lt;&gt;"y"),CHAR(34)&amp;"allver"&amp;CHAR(34)&amp;",",""),"")</f>
        <v/>
      </c>
      <c r="DT2" s="6" t="str">
        <f>IF(V2="y",IF(AND(W2="n",BY2&lt;&gt;"y"),CHAR(34)&amp;"allhor"&amp;CHAR(34)&amp;",",""),"")</f>
        <v>"allhor",</v>
      </c>
      <c r="DU2" s="6" t="str">
        <f>IF(BY2="y",IF(AND(W2="n",V2="n"),CHAR(34)&amp;"alldia"&amp;CHAR(34)&amp;",",""),"")</f>
        <v/>
      </c>
      <c r="DV2" s="48" t="str">
        <f>IF(IA2&lt;&gt;"",(IF(IA2="y",CHAR(34)&amp;"largec"&amp;CHAR(34)&amp;",",CHAR(34)&amp;"smallc"&amp;CHAR(34)&amp;",")),"")</f>
        <v/>
      </c>
      <c r="DW2" s="48" t="str">
        <f>IF(CL2="y",CHAR(34)&amp;CL$1&amp;CHAR(34)&amp;",","")</f>
        <v/>
      </c>
      <c r="DX2" s="48" t="str">
        <f>IF(CM2="y",CHAR(34)&amp;CM$1&amp;CHAR(34)&amp;",","")</f>
        <v>"2Bands",</v>
      </c>
      <c r="DY2" s="48" t="str">
        <f>IF(CN2="y",CHAR(34)&amp;CN$1&amp;CHAR(34)&amp;",","")</f>
        <v/>
      </c>
      <c r="DZ2" s="48" t="str">
        <f>IF(CO2="y",CHAR(34)&amp;CO$1&amp;CHAR(34)&amp;",","")</f>
        <v/>
      </c>
      <c r="EA2" s="48" t="str">
        <f>IF(T2="y",CHAR(34)&amp;T$1&amp;CHAR(34)&amp;",","")</f>
        <v/>
      </c>
      <c r="EB2" s="48" t="str">
        <f>IF(U2="y",CHAR(34)&amp;U$1&amp;CHAR(34)&amp;",","")</f>
        <v/>
      </c>
      <c r="EC2" s="48" t="str">
        <f>IF(V2="y",CHAR(34)&amp;V$1&amp;CHAR(34)&amp;",","")</f>
        <v>"Horizo",</v>
      </c>
      <c r="ED2" s="48" t="str">
        <f>IF(W2="y",CHAR(34)&amp;W$1&amp;CHAR(34)&amp;",","")</f>
        <v/>
      </c>
      <c r="EE2" s="48" t="str">
        <f>IF(X2="y",CHAR(34)&amp;X$1&amp;CHAR(34)&amp;",","")</f>
        <v/>
      </c>
      <c r="EF2" s="48" t="str">
        <f>IF(AND(Y2&lt;&gt;"n",Y2&lt;&gt;""),CHAR(34)&amp;Y$1&amp;CHAR(34)&amp;",","")</f>
        <v/>
      </c>
      <c r="EG2" s="48" t="str">
        <f>IF(Z2="y",CHAR(34)&amp;Z$1&amp;CHAR(34)&amp;",","")</f>
        <v/>
      </c>
      <c r="EH2" s="48" t="str">
        <f>IF(AA2="y",CHAR(34)&amp;AA$1&amp;CHAR(34)&amp;",","")</f>
        <v/>
      </c>
      <c r="EI2" s="48" t="str">
        <f>IF(AB2="y",CHAR(34)&amp;AB$1&amp;CHAR(34)&amp;",","")</f>
        <v/>
      </c>
      <c r="EJ2" s="48" t="str">
        <f>IF(AC2="y",CHAR(34)&amp;AC$1&amp;CHAR(34)&amp;",","")</f>
        <v/>
      </c>
      <c r="EK2" s="48" t="str">
        <f>IF(AD2="y",CHAR(34)&amp;AD$1&amp;CHAR(34)&amp;",","")</f>
        <v/>
      </c>
      <c r="EL2" s="48" t="str">
        <f>IF(AE2="y",CHAR(34)&amp;AE$1&amp;CHAR(34)&amp;",","")</f>
        <v/>
      </c>
      <c r="EM2" s="48" t="str">
        <f>IF(AF2="y",CHAR(34)&amp;AF$1&amp;CHAR(34)&amp;",","")</f>
        <v/>
      </c>
      <c r="EN2" s="48" t="str">
        <f>IF(AG2="y",CHAR(34)&amp;AG$1&amp;CHAR(34)&amp;",","")</f>
        <v/>
      </c>
      <c r="EO2" s="48" t="str">
        <f>IF(AH2="y",CHAR(34)&amp;AH$1&amp;CHAR(34)&amp;",","")</f>
        <v>"Center",</v>
      </c>
      <c r="EP2" s="48" t="str">
        <f>IF(AI2="y",CHAR(34)&amp;AI$1&amp;CHAR(34)&amp;",","")</f>
        <v/>
      </c>
      <c r="EQ2" s="48" t="str">
        <f>IF(AJ2="y",CHAR(34)&amp;AJ$1&amp;CHAR(34)&amp;",","")</f>
        <v/>
      </c>
      <c r="ER2" s="48" t="str">
        <f>IF(AK2="y",CHAR(34)&amp;AK$1&amp;CHAR(34)&amp;",","")</f>
        <v/>
      </c>
      <c r="ES2" s="48" t="str">
        <f>IF(AL2="y",CHAR(34)&amp;AL$1&amp;CHAR(34)&amp;",","")</f>
        <v/>
      </c>
      <c r="ET2" s="48" t="str">
        <f>IF(AM2="y",CHAR(34)&amp;AM$1&amp;CHAR(34)&amp;",","")</f>
        <v/>
      </c>
      <c r="EU2" s="48" t="str">
        <f>IF(AN2="y",CHAR(34)&amp;AN$1&amp;CHAR(34)&amp;",","")</f>
        <v/>
      </c>
      <c r="EV2" s="48" t="str">
        <f>IF(AO2="y",CHAR(34)&amp;AO$1&amp;CHAR(34)&amp;",","")</f>
        <v/>
      </c>
      <c r="EW2" s="48" t="str">
        <f>IF(AP2="y",CHAR(34)&amp;AP$1&amp;CHAR(34)&amp;",","")</f>
        <v/>
      </c>
      <c r="EX2" s="48" t="str">
        <f>IF(AQ2="y",CHAR(34)&amp;AQ$1&amp;CHAR(34)&amp;",","")</f>
        <v/>
      </c>
      <c r="EY2" s="48" t="str">
        <f>IF(AR2="y",CHAR(34)&amp;AR$1&amp;CHAR(34)&amp;",","")</f>
        <v/>
      </c>
      <c r="EZ2" s="48" t="str">
        <f>IF(AS2="y",CHAR(34)&amp;AS$1&amp;CHAR(34)&amp;",","")</f>
        <v/>
      </c>
      <c r="FA2" s="48" t="str">
        <f>IF(AT2&gt;0,CHAR(34)&amp;"sta"&amp;AZ2&amp;CHAR(34)&amp;",","")</f>
        <v>"staYEL",</v>
      </c>
      <c r="FB2" s="48" t="str">
        <f>IF(AND(AT2&gt;0,BA2&lt;&gt;""),CHAR(34)&amp;"sta"&amp;BA2&amp;CHAR(34)&amp;",","")</f>
        <v/>
      </c>
      <c r="FC2" s="48" t="str">
        <f>IF(AND(AT2&gt;0,BB2&lt;&gt;""),CHAR(34)&amp;"sta"&amp;BB2&amp;CHAR(34)&amp;",","")</f>
        <v/>
      </c>
      <c r="FD2" s="48" t="str">
        <f>IF(BV2="n",CHAR(34)&amp;"tcWHYE"&amp;CHAR(34)&amp;",",IF(BV2="y",CHAR(34)&amp;FD$1&amp;CHAR(34)&amp;",",""))</f>
        <v/>
      </c>
      <c r="FE2" s="48" t="str">
        <f>IF(COUNTIF(BL2:BT2,"BLU")=0,CHAR(34)&amp;"NO_BLU"&amp;CHAR(34)&amp;",", "")</f>
        <v>"NO_BLU",</v>
      </c>
      <c r="FF2" s="48" t="str">
        <f>IF(COUNTIF(BL2:BT2,"WHI")=0,CHAR(34)&amp;"NO_WHI"&amp;CHAR(34)&amp;",", "")</f>
        <v>"NO_WHI",</v>
      </c>
      <c r="FG2" s="48" t="str">
        <f>IF(COUNTIF(BL2:BT2,"RED")=0,CHAR(34)&amp;"NO_RED"&amp;CHAR(34)&amp;",", "")</f>
        <v/>
      </c>
      <c r="FH2" s="48" t="str">
        <f>IF(COUNTIF(BL2:BS2,"GRE")=0,CHAR(34)&amp;"NO_GRE"&amp;CHAR(34)&amp;",", "")</f>
        <v/>
      </c>
      <c r="FI2" s="48" t="str">
        <f>IF(COUNTIF(BL2:BT2,"YEL")=0,CHAR(34)&amp;"NO_YEL"&amp;CHAR(34)&amp;",", "")</f>
        <v/>
      </c>
      <c r="FJ2" s="48" t="str">
        <f>IF(COUNTIF(BL2:BT2,"BLA")=0,CHAR(34)&amp;"NO_BLA"&amp;CHAR(34)&amp;",", "")</f>
        <v>"NO_BLA",</v>
      </c>
      <c r="FK2" s="48" t="str">
        <f>IF(AND(FH2&lt;&gt;"",FF2&lt;&gt;""),CHAR(34)&amp;"WHGRNO"&amp;CHAR(34)&amp;",","")</f>
        <v/>
      </c>
      <c r="FL2" s="48" t="str">
        <f>IF(AND(FI2&lt;&gt;"",FF2&lt;&gt;""),CHAR(34)&amp;"WHYENO"&amp;CHAR(34)&amp;",","")</f>
        <v/>
      </c>
      <c r="FM2" s="48" t="str">
        <f>IF(AND(FJ2&lt;&gt;"",FF2&lt;&gt;""),CHAR(34)&amp;"BAWHNO"&amp;CHAR(34)&amp;",","")</f>
        <v>"BAWHNO",</v>
      </c>
      <c r="FN2" s="48" t="str">
        <f>IF(AND(FE2&lt;&gt;"",FF2&lt;&gt;""),CHAR(34)&amp;"BLWHNO"&amp;CHAR(34)&amp;",","")</f>
        <v>"BLWHNO",</v>
      </c>
      <c r="FO2" s="48" t="str">
        <f>IF(AND(FE2&lt;&gt;"",FG2&lt;&gt;""),CHAR(34)&amp;"BLRENO"&amp;CHAR(34)&amp;",","")</f>
        <v/>
      </c>
      <c r="FP2" s="48" t="str">
        <f>IF(AND(FF2&lt;&gt;"",FF2&lt;&gt;""),CHAR(34)&amp;"WHRENO"&amp;CHAR(34)&amp;",","")</f>
        <v>"WHRENO",</v>
      </c>
      <c r="FQ2" s="48" t="str">
        <f>IF(LEN(BF2)=3,CHAR(34)&amp;"001"&amp;BF2&amp;CHAR(34)&amp;",","")</f>
        <v>"001RED",</v>
      </c>
      <c r="FR2" s="48" t="str">
        <f>IF(LEN(BG2)=3,CHAR(34)&amp;"002"&amp;BG2&amp;CHAR(34)&amp;",","")</f>
        <v/>
      </c>
      <c r="FS2" s="48" t="str">
        <f>IF(LEN(BH2)=3,CHAR(34)&amp;"003"&amp;BH2&amp;CHAR(34)&amp;",","")</f>
        <v>"003GRE",</v>
      </c>
      <c r="FT2" s="48" t="str">
        <f>CHAR(34)&amp;"myr"&amp;BD2&amp;CHAR(34)&amp;","</f>
        <v>"myrEQ",</v>
      </c>
      <c r="FU2" s="48" t="str">
        <f>IF(AY2="y",CHAR(34)&amp;"island"&amp;CHAR(34)&amp;",","")</f>
        <v/>
      </c>
      <c r="FV2" s="48" t="str">
        <f>IF(BZ2="y",CHAR(34)&amp;"landlo"&amp;CHAR(34)&amp;",","")</f>
        <v>"landlo",</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
      </c>
      <c r="GA2" s="48" t="str">
        <f>IFERROR(IF(SEARCH("French",CB2)&gt;0,CHAR(34)&amp;"french"&amp;CHAR(34)&amp;",",""),"")</f>
        <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
      </c>
      <c r="GK2" s="48" t="str">
        <f>IF(GJ2="",CHAR(34)&amp;"HasSta"&amp;CHAR(34)&amp;",","")</f>
        <v>"HasSta",</v>
      </c>
      <c r="GL2" s="48" t="str">
        <f>IF(CQ2="y",CHAR(34)&amp;CQ$1&amp;CHAR(34)&amp;",","")</f>
        <v>"1Stars",</v>
      </c>
      <c r="GM2" s="48" t="str">
        <f>IF(CR2="y",CHAR(34)&amp;CR$1&amp;CHAR(34)&amp;",","")</f>
        <v/>
      </c>
      <c r="GN2" s="48" t="str">
        <f>IF(CS2="y",CHAR(34)&amp;CS$1&amp;CHAR(34)&amp;",","")</f>
        <v/>
      </c>
      <c r="GP2" s="48" t="str">
        <f>CHAR(34)&amp;AU2&amp;CHAR(34)</f>
        <v>""</v>
      </c>
      <c r="GS2" s="48" t="str">
        <f>SUBSTITUTE("["&amp;_xlfn.CONCAT(CW2:GN2)&amp;"]",",]","]")</f>
        <v>["3Color","words2","exact2","lets11","startB","REEDEL","year19","allhor","2Bands","Horizo","Center","staYEL","NO_BLU","NO_WHI","NO_BLA","BAWHNO","BLWHNO","WHRENO","001RED","003GRE","myrEQ","landlo","HasSta","1Stars"]</v>
      </c>
      <c r="GT2" s="48" t="str">
        <f>IF(BL2&lt;&gt;"",CHAR(34)&amp;"cl_"&amp;BL2&amp;CHAR(34)&amp;",","")</f>
        <v>"cl_RED",</v>
      </c>
      <c r="GU2" s="48" t="str">
        <f>IF(BM2&lt;&gt;"",CHAR(34)&amp;"cl_"&amp;BM2&amp;CHAR(34)&amp;",","")</f>
        <v>"cl_GRE",</v>
      </c>
      <c r="GV2" s="48" t="str">
        <f>IF(BN2&lt;&gt;"",CHAR(34)&amp;"cl_"&amp;BN2&amp;CHAR(34)&amp;",","")</f>
        <v>"cl_YEL",</v>
      </c>
      <c r="GW2" s="48" t="str">
        <f>IF(BO2&lt;&gt;"",CHAR(34)&amp;"cl_"&amp;BO2&amp;CHAR(34)&amp;",","")</f>
        <v/>
      </c>
      <c r="GX2" s="48" t="str">
        <f>IF(BP2&lt;&gt;"",CHAR(34)&amp;"cl_"&amp;BP2&amp;CHAR(34)&amp;",","")</f>
        <v/>
      </c>
      <c r="GY2" s="48" t="str">
        <f>IF(BQ2&lt;&gt;"",CHAR(34)&amp;"cl_"&amp;BQ2&amp;CHAR(34)&amp;",","")</f>
        <v/>
      </c>
      <c r="GZ2" s="48" t="str">
        <f>IF(BR2&lt;&gt;"",CHAR(34)&amp;"cl_"&amp;BR2&amp;CHAR(34)&amp;",","")</f>
        <v/>
      </c>
      <c r="HA2" s="48" t="str">
        <f>IF(BS2&lt;&gt;"",CHAR(34)&amp;"cl_"&amp;BS2&amp;CHAR(34)&amp;",","")</f>
        <v/>
      </c>
      <c r="HB2" s="48" t="str">
        <f>IF(BT2&lt;&gt;"",CHAR(34)&amp;"cl_"&amp;BT2&amp;CHAR(34)&amp;",","")</f>
        <v/>
      </c>
      <c r="HC2" s="48" t="str">
        <f>SUBSTITUTE("["&amp;_xlfn.CONCAT(GT2:HB2)&amp;"]",",]","]")</f>
        <v>["cl_RED","cl_GRE","cl_YEL"]</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{couname:"Burkina Faso",year:"1984 ",region:"rgn_Africa",Colors:["cl_RED","cl_GRE","cl_YEL"],Items:["3Color","words2","exact2","lets11","startB","REEDEL","year19","allhor","2Bands","Horizo","Center","staYEL","NO_BLU","NO_WHI","NO_BLA","BAWHNO","BLWHNO","WHRENO","001RED","003GRE","myrEQ","landlo","HasSta","1Stars"],Flag:"https://i.ibb.co/cw4wN6n/Burkina-Faso-Flag.png",HDFlag:"https://upload.wikimedia.org/wikipedia/commons/thumb/3/31/Flag_of_Burkina_Faso.svg/2560px-Flag_of_Burkina_Faso.svg.png",type:"", describe: "\nThe flag uses the Pan-African colours of Ethiopia, reflecting both a break with the country's colonial past and its unity with other African ex-colonies. The red is also said to symbolize the revolution and the green the abundance of agricultural and natural riches. The yellow star placed over the red and green stripes represents the guiding light of the revolution. The flag was adopted following the coup of 1983 which brought Thomas Sankara to power.", isnew:".", links: "https://en.wikipedia.org/wiki/Flag_of_Burkina_Faso"},</v>
      </c>
      <c r="HG2" s="73" t="str">
        <f>"{couname:"&amp;CT2&amp;(IF(HK2&lt;&gt;"",",subtype:"&amp;CHAR(34)&amp;HK2&amp;CHAR(34),""))&amp;",year:"&amp;HJ2&amp;",region:"&amp;CU2&amp;",Colors:"&amp;HC2&amp;",Items:"&amp;GS2&amp;",Flag:"&amp;CV2&amp;",HDFlag:"&amp;CHAR(34)&amp;E2&amp;CHAR(34)&amp;",type:"&amp;GP2&amp;", describe: "&amp;HI2&amp;", links: "&amp;HL2&amp;"},"</f>
        <v>{couname:"Burkina Faso",year:"1984 ",region:"rgn_Africa",Colors:["cl_RED","cl_GRE","cl_YEL"],Items:["3Color","words2","exact2","lets11","startB","REEDEL","year19","allhor","2Bands","Horizo","Center","staYEL","NO_BLU","NO_WHI","NO_BLA","BAWHNO","BLWHNO","WHRENO","001RED","003GRE","myrEQ","landlo","HasSta","1Stars"],Flag:"https://i.ibb.co/cw4wN6n/Burkina-Faso-Flag.png",HDFlag:"https://upload.wikimedia.org/wikipedia/commons/thumb/3/31/Flag_of_Burkina_Faso.svg/2560px-Flag_of_Burkina_Faso.svg.png",type:"", describe: "\nThe flag uses the Pan-African colours of Ethiopia, reflecting both a break with the country's colonial past and its unity with other African ex-colonies. The red is also said to symbolize the revolution and the green the abundance of agricultural and natural riches. The yellow star placed over the red and green stripes represents the guiding light of the revolution. The flag was adopted following the coup of 1983 which brought Thomas Sankara to power.", links: "https://en.wikipedia.org/wiki/Flag_of_Burkina_Faso"},</v>
      </c>
      <c r="HH2" s="48" t="str">
        <f>IF(P2&lt;&gt;"",CHAR(34)&amp;"\n"&amp;P2&amp;CHAR(34),CHAR(34)&amp;CHAR(34))</f>
        <v>"\nThe flag uses the Pan-African colours of Ethiopia, reflecting both a break with the country's colonial past and its unity with other African ex-colonies. The red is also said to symbolize the revolution and the green the abundance of agricultural and natural riches. The yellow star placed over the red and green stripes represents the guiding light of the revolution. The flag was adopted following the coup of 1983 which brought Thomas Sankara to power."</v>
      </c>
      <c r="HI2" s="48" t="str">
        <f>IF(J2=0,CHAR(34)&amp;CHAR(34),HH2)</f>
        <v>"\nThe flag uses the Pan-African colours of Ethiopia, reflecting both a break with the country's colonial past and its unity with other African ex-colonies. The red is also said to symbolize the revolution and the green the abundance of agricultural and natural riches. The yellow star placed over the red and green stripes represents the guiding light of the revolution. The flag was adopted following the coup of 1983 which brought Thomas Sankara to power."</v>
      </c>
      <c r="HJ2" s="48" t="str">
        <f>CHAR(34)&amp;O2&amp;CHAR(34)</f>
        <v>"1984 "</v>
      </c>
      <c r="HL2" s="48" t="str">
        <f>CHAR(34)&amp;I2&amp;CHAR(34)</f>
        <v>"https://en.wikipedia.org/wiki/Flag_of_Burkina_Faso"</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{"couname":"Burkina Faso","year":"1984 ","region":"rgn_Africa","Colors":["cl_RED","cl_GRE","cl_YEL"],"Items":["3Color","words2","exact2","lets11","startB","REEDEL","year19","allhor","2Bands","Horizo","Center","staYEL","NO_BLU","NO_WHI","NO_BLA","BAWHNO","BLWHNO","WHRENO","001RED","003GRE","myrEQ","landlo","HasSta","1Stars"],"Flag":"https://i.ibb.co/cw4wN6n/Burkina-Faso-Flag.png","HDFlag":"https://upload.wikimedia.org/wikipedia/commons/thumb/3/31/Flag_of_Burkina_Faso.svg/2560px-Flag_of_Burkina_Faso.svg.png","type":"", "describe": "\nThe flag uses the Pan-African colours of Ethiopia, reflecting both a break with the country's colonial past and its unity with other African ex-colonies. The red is also said to symbolize the revolution and the green the abundance of agricultural and natural riches. The yellow star placed over the red and green stripes represents the guiding light of the revolution. The flag was adopted following the coup of 1983 which brought Thomas Sankara to power.", "isnew": ".", "links": "https://en.wikipedia.org/wiki/Flag_of_Burkina_Faso"},</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{"couname":"Burkina Faso","year":"1984 ","region":"rgn_Africa","Colors":["cl_RED","cl_GRE","cl_YEL"],"Items":["3Color","words2","exact2","lets11","startB","REEDEL","year19","allhor","2Bands","Horizo","Center","staYEL","NO_BLU","NO_WHI","NO_BLA","BAWHNO","BLWHNO","WHRENO","001RED","003GRE","myrEQ","landlo","HasSta","1Stars"],"Flag":"https://i.ibb.co/cw4wN6n/Burkina-Faso-Flag.png","HDFlag":"https://upload.wikimedia.org/wikipedia/commons/thumb/3/31/Flag_of_Burkina_Faso.svg/2560px-Flag_of_Burkina_Faso.svg.png","type":"", "describe": "\nThe flag uses the Pan-African colours of Ethiopia, reflecting both a break with the country's colonial past and its unity with other African ex-colonies. The red is also said to symbolize the revolution and the green the abundance of agricultural and natural riches. The yellow star placed over the red and green stripes represents the guiding light of the revolution. The flag was adopted following the coup of 1983 which brought Thomas Sankara to power.", "isnew": ".", "links": "https://en.wikipedia.org/wiki/Flag_of_Burkina_Faso"},</v>
      </c>
      <c r="HO2" s="75"/>
      <c r="HP2" s="48" t="str" cm="1">
        <f t="array" ref="HP2">IF(_xlfn.TEXTJOIN(", ", TRUE, IF(ISNUMBER(SEARCH("BLA", BL2:BT2)), COLUMN(BL2:BT2) - COLUMN(BL2) + 1, ""))&lt;&gt;"","BLA","")</f>
        <v/>
      </c>
      <c r="HQ2" s="48" t="str" cm="1">
        <f t="array" ref="HQ2">IF(_xlfn.TEXTJOIN(", ", TRUE, IF(ISNUMBER(SEARCH("BLU", BL2:BT2)), COLUMN(BL2:BT2) - COLUMN(BL2) + 1, ""))&lt;&gt;"","BLU","")</f>
        <v/>
      </c>
      <c r="HR2" s="48" t="str" cm="1">
        <f t="array" ref="HR2">IF(_xlfn.TEXTJOIN(", ", TRUE, IF(ISNUMBER(SEARCH("GRE", BL2:BT2)), COLUMN(BL2:BT2) - COLUMN(BL2) + 1, ""))&lt;&gt;"","GRE","")</f>
        <v>GRE</v>
      </c>
      <c r="HS2" s="48" t="str" cm="1">
        <f t="array" ref="HS2">IF(_xlfn.TEXTJOIN(", ", TRUE, IF(ISNUMBER(SEARCH("RED", BL2:BT2)), COLUMN(BL2:BT2) - COLUMN(BL2) + 1, ""))&lt;&gt;"","RED","")</f>
        <v>RED</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
      </c>
      <c r="HY2" s="76"/>
      <c r="HZ2" s="76"/>
      <c r="IA2" s="6"/>
      <c r="IB2" s="6"/>
      <c r="IC2" s="77"/>
      <c r="ID2" s="77"/>
      <c r="IE2" s="77"/>
      <c r="IF2" s="77"/>
      <c r="IG2" s="77"/>
      <c r="IH2" s="77"/>
      <c r="II2" s="77"/>
      <c r="IJ2" s="77"/>
      <c r="IK2" s="77"/>
      <c r="IL2" s="48">
        <f>SUM(IC2:IK2)</f>
        <v>0</v>
      </c>
      <c r="IM2" s="45">
        <f>COUNTIF(IC2:IK2,"&gt;0")-CG2</f>
        <v>-3</v>
      </c>
      <c r="IN2" s="78" t="str">
        <f>"http://mkweb.bcgsc.ca/color-summarizer/?url="&amp;D2&amp;"&amp;precision=low&amp;num_clusters="&amp;CG2&amp;"&amp;text=1"</f>
        <v>http://mkweb.bcgsc.ca/color-summarizer/?url=https://i.ibb.co/cw4wN6n/Burkina-Faso-Flag.png&amp;precision=low&amp;num_clusters=3&amp;text=1</v>
      </c>
      <c r="IO2" s="48" t="str">
        <f>IF(HP2&lt;&gt;"",CHAR(34)&amp;"black"&amp;CHAR(34),"")</f>
        <v/>
      </c>
      <c r="IP2" s="48" t="str">
        <f>IF(HQ2&lt;&gt;"",CHAR(34)&amp;"blue"&amp;CHAR(34),"")</f>
        <v/>
      </c>
      <c r="IQ2" s="48" t="str">
        <f>IF(HR2&lt;&gt;"",CHAR(34)&amp;"green"&amp;CHAR(34),"")</f>
        <v>"green"</v>
      </c>
      <c r="IR2" s="48" t="str">
        <f>IF(HS2&lt;&gt;"",CHAR(34)&amp;"red"&amp;CHAR(34),"")</f>
        <v>"red"</v>
      </c>
      <c r="IS2" s="48" t="str">
        <f>IF(HT2&lt;&gt;"",CHAR(34)&amp;"yellow"&amp;CHAR(34),"")</f>
        <v>"yellow"</v>
      </c>
      <c r="IT2" s="48" t="str">
        <f>IF(HU2&lt;&gt;"",CHAR(34)&amp;"orange"&amp;CHAR(34),"")</f>
        <v/>
      </c>
      <c r="IU2" s="48" t="str">
        <f>IF(HV2&lt;&gt;"",CHAR(34)&amp;"brown"&amp;CHAR(34),"")</f>
        <v/>
      </c>
      <c r="IV2" s="48" t="str">
        <f>IF(HW2&lt;&gt;"",CHAR(34)&amp;"purple"&amp;CHAR(34),"")</f>
        <v/>
      </c>
      <c r="IW2" s="48" t="str">
        <f>IF(HX2&lt;&gt;"",CHAR(34)&amp;"white"&amp;CHAR(34),"")</f>
        <v/>
      </c>
      <c r="IX2" s="48" t="str">
        <f>"{"&amp;CHAR(34)&amp;"url"&amp;CHAR(34)&amp;":"&amp;CHAR(34)&amp;IN2&amp;CHAR(34)&amp;","&amp;CHAR(34)&amp;"name"&amp;CHAR(34)&amp;":"&amp;CHAR(34)&amp;A2&amp;CHAR(34)&amp;"},"</f>
        <v>{"url":"http://mkweb.bcgsc.ca/color-summarizer/?url=https://i.ibb.co/cw4wN6n/Burkina-Faso-Flag.png&amp;precision=low&amp;num_clusters=3&amp;text=1","name":"Burkina Faso"},</v>
      </c>
      <c r="IY2" s="48">
        <v>36</v>
      </c>
    </row>
    <row r="3" spans="1:259" s="48" customFormat="1" ht="38.4" customHeight="1" thickBot="1" x14ac:dyDescent="0.35">
      <c r="A3" s="80" t="s">
        <v>802</v>
      </c>
      <c r="B3" s="40" t="e" vm="9">
        <v>#VALUE!</v>
      </c>
      <c r="C3" s="41" t="s">
        <v>173</v>
      </c>
      <c r="D3" s="42" t="s">
        <v>803</v>
      </c>
      <c r="E3" s="43" t="s">
        <v>804</v>
      </c>
      <c r="F3" s="44" t="s">
        <v>163</v>
      </c>
      <c r="G3" s="45">
        <f>COUNTIF($A$1:$A$8358,A3)</f>
        <v>1</v>
      </c>
      <c r="H3" s="46" t="s">
        <v>808</v>
      </c>
      <c r="I3" s="47" t="s">
        <v>805</v>
      </c>
      <c r="J3" s="48" t="str">
        <f>""</f>
        <v/>
      </c>
      <c r="K3" s="49"/>
      <c r="L3" s="50"/>
      <c r="M3" s="50"/>
      <c r="N3" s="51" t="s">
        <v>180</v>
      </c>
      <c r="O3" s="52" t="s">
        <v>806</v>
      </c>
      <c r="P3" s="53" t="s">
        <v>807</v>
      </c>
      <c r="Q3" s="54">
        <v>4</v>
      </c>
      <c r="R3" s="55" t="s">
        <v>180</v>
      </c>
      <c r="S3" s="56">
        <v>3</v>
      </c>
      <c r="T3" s="57" t="s">
        <v>164</v>
      </c>
      <c r="U3" s="58" t="s">
        <v>164</v>
      </c>
      <c r="V3" s="58" t="s">
        <v>167</v>
      </c>
      <c r="W3" s="58" t="s">
        <v>164</v>
      </c>
      <c r="X3" s="58" t="s">
        <v>164</v>
      </c>
      <c r="Y3" s="58" t="s">
        <v>164</v>
      </c>
      <c r="Z3" s="58" t="s">
        <v>164</v>
      </c>
      <c r="AA3" s="58" t="s">
        <v>164</v>
      </c>
      <c r="AB3" s="58" t="s">
        <v>164</v>
      </c>
      <c r="AC3" s="58" t="s">
        <v>164</v>
      </c>
      <c r="AD3" s="58" t="s">
        <v>164</v>
      </c>
      <c r="AE3" s="58" t="s">
        <v>164</v>
      </c>
      <c r="AF3" s="59" t="s">
        <v>164</v>
      </c>
      <c r="AG3" s="59" t="s">
        <v>164</v>
      </c>
      <c r="AH3" s="59" t="s">
        <v>164</v>
      </c>
      <c r="AI3" s="59" t="s">
        <v>164</v>
      </c>
      <c r="AJ3" s="59" t="s">
        <v>164</v>
      </c>
      <c r="AK3" s="59" t="s">
        <v>167</v>
      </c>
      <c r="AL3" s="59" t="s">
        <v>164</v>
      </c>
      <c r="AM3" s="59" t="s">
        <v>164</v>
      </c>
      <c r="AN3" s="59" t="s">
        <v>164</v>
      </c>
      <c r="AO3" s="59" t="s">
        <v>164</v>
      </c>
      <c r="AP3" s="59" t="s">
        <v>164</v>
      </c>
      <c r="AQ3" s="59" t="s">
        <v>164</v>
      </c>
      <c r="AR3" s="59" t="s">
        <v>164</v>
      </c>
      <c r="AS3" s="59" t="s">
        <v>164</v>
      </c>
      <c r="AT3" s="60">
        <v>0</v>
      </c>
      <c r="AU3" s="59" t="s">
        <v>174</v>
      </c>
      <c r="AV3" s="59" t="str">
        <f>IF(LEFT(A3,1)="[",LEFT(A3,5)&amp;AU3&amp;A3,"")</f>
        <v>[BFA]Historical[BFA] Republic of Upper Volta</v>
      </c>
      <c r="AW3" s="59" t="str">
        <f t="shared" si="0"/>
        <v>3b[BFA] Other[BFA] Republic of Upper Volta</v>
      </c>
      <c r="AX3" s="61"/>
      <c r="AY3" s="61"/>
      <c r="AZ3" s="62"/>
      <c r="BA3" s="62"/>
      <c r="BB3" s="62"/>
      <c r="BC3" s="63"/>
      <c r="BD3" s="64" t="s">
        <v>169</v>
      </c>
      <c r="BE3" s="47"/>
      <c r="BF3" s="64" t="s">
        <v>151</v>
      </c>
      <c r="BG3" s="64" t="s">
        <v>159</v>
      </c>
      <c r="BH3" s="64" t="s">
        <v>154</v>
      </c>
      <c r="BI3" s="64"/>
      <c r="BJ3" s="64"/>
      <c r="BK3" s="47"/>
      <c r="BL3" s="64" t="s">
        <v>151</v>
      </c>
      <c r="BM3" s="64" t="s">
        <v>159</v>
      </c>
      <c r="BN3" s="64" t="s">
        <v>154</v>
      </c>
      <c r="BO3" s="64"/>
      <c r="BP3" s="64"/>
      <c r="BQ3" s="64"/>
      <c r="BR3" s="64"/>
      <c r="BS3" s="64"/>
      <c r="BT3" s="64"/>
      <c r="BU3" s="65"/>
      <c r="BV3" s="66"/>
      <c r="BW3" s="66">
        <v>0</v>
      </c>
      <c r="BX3" s="47"/>
      <c r="CB3" s="6"/>
      <c r="CC3" s="6"/>
      <c r="CD3" s="67">
        <v>0</v>
      </c>
      <c r="CE3" s="67">
        <v>0</v>
      </c>
      <c r="CF3" s="67" t="e">
        <v>#REF!</v>
      </c>
      <c r="CG3" s="68" cm="1">
        <f t="array" ref="CG3">SUMPRODUCT(--(LEN(TRIM(BL3:BT3))&gt;0))</f>
        <v>3</v>
      </c>
      <c r="CH3" s="59" t="str">
        <f>IF(CG3=2,"y","n")</f>
        <v>n</v>
      </c>
      <c r="CI3" s="59" t="str">
        <f>IF(CG3=3,"y","n")</f>
        <v>y</v>
      </c>
      <c r="CJ3" s="59" t="str">
        <f>IF(CG3=4,"y","n")</f>
        <v>n</v>
      </c>
      <c r="CK3" s="59" t="str">
        <f>IF(CG3&gt;4,"y","n")</f>
        <v>n</v>
      </c>
      <c r="CL3" s="59" t="str">
        <f>IF(S3=0,"y","n")</f>
        <v>n</v>
      </c>
      <c r="CM3" s="59" t="str">
        <f>IF(S3=2,"y","n")</f>
        <v>n</v>
      </c>
      <c r="CN3" s="59" t="str">
        <f>IF(S3=3,"y","n")</f>
        <v>y</v>
      </c>
      <c r="CO3" s="59" t="str">
        <f>IF(S3&gt;=4,"y","n")</f>
        <v>n</v>
      </c>
      <c r="CP3" s="59" t="str">
        <f>IF(AT3=0,"y","n")</f>
        <v>y</v>
      </c>
      <c r="CQ3" s="59" t="str">
        <f>IF(AT3=1,"y","n")</f>
        <v>n</v>
      </c>
      <c r="CR3" s="59" t="str">
        <f>IF(AT3=2,"y","n")</f>
        <v>n</v>
      </c>
      <c r="CS3" s="59" t="str">
        <f>IF(AT3&gt;=3,"y","n")</f>
        <v>n</v>
      </c>
      <c r="CT3" s="69" t="str">
        <f>CHAR(34)&amp;A3&amp;CHAR(34)</f>
        <v>"[BFA] Republic of Upper Volta"</v>
      </c>
      <c r="CU3" s="70" t="str">
        <f>CHAR(34)&amp;"rgn_"&amp;R3&amp;CHAR(34)</f>
        <v>"rgn_Africa"</v>
      </c>
      <c r="CV3" s="48" t="str">
        <f>CHAR(34)&amp;D3&amp;CHAR(34)</f>
        <v>"https://upload.wikimedia.org/wikipedia/commons/thumb/4/4a/Flag_of_Upper_Volta.svg/640px-Flag_of_Upper_Volta.svg.png"</v>
      </c>
      <c r="CW3" s="48" t="str">
        <f>IF(CH3="y",CHAR(34)&amp;CH$1&amp;CHAR(34)&amp;",","")</f>
        <v/>
      </c>
      <c r="CX3" s="48" t="str">
        <f>IF(CI3="y",CHAR(34)&amp;CI$1&amp;CHAR(34)&amp;",","")</f>
        <v>"3Color",</v>
      </c>
      <c r="CY3" s="48" t="str">
        <f>IF(CJ3="y",CHAR(34)&amp;CJ$1&amp;CHAR(34)&amp;",","")</f>
        <v/>
      </c>
      <c r="CZ3" s="48" t="str">
        <f>IF(CK3="y",CHAR(34)&amp;CK$1&amp;CHAR(34)&amp;",","")</f>
        <v/>
      </c>
      <c r="DA3" s="48" t="str">
        <f>IF(Q3&gt;1,CHAR(34)&amp;"words2"&amp;CHAR(34)&amp;",","")</f>
        <v>"words2",</v>
      </c>
      <c r="DB3" s="48" t="str">
        <f>IF(Q3&gt;2,CHAR(34)&amp;"words3"&amp;CHAR(34)&amp;",","")</f>
        <v>"words3",</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"lets20",</v>
      </c>
      <c r="DE3" s="48" t="str">
        <f>CHAR(34)&amp;"start"&amp;IFERROR(LEFT(SUBSTITUTE(A3,"["&amp;MID(A3,FIND("[",A3)+1,FIND("]",A3)-FIND("[",A3)-1)&amp;"] ",""),1),LEFT(A3,1))&amp;CHAR(34)&amp;","</f>
        <v>"startR",</v>
      </c>
      <c r="DF3" s="48" t="str">
        <f>IFERROR(IF(SEARCH("tan",A3)&gt;0,CHAR(34)&amp;"withtn"&amp;CHAR(34)&amp;",",""),"")</f>
        <v/>
      </c>
      <c r="DG3" s="48" t="str">
        <f>IFERROR(IF(SEARCH("q",A3)&gt;0,CHAR(34)&amp;"with_q"&amp;CHAR(34)&amp;",",""),"")</f>
        <v/>
      </c>
      <c r="DH3" s="48" t="str">
        <f>IFERROR(IF(SEARCH("v",A3)&gt;0,CHAR(34)&amp;"with_v"&amp;CHAR(34)&amp;",",""),"")</f>
        <v>"with_v",</v>
      </c>
      <c r="DI3" s="48" t="str">
        <f>IFERROR(IF(SEARCH("w",A3)&gt;0,CHAR(34)&amp;"with_w"&amp;CHAR(34)&amp;",",""),"")</f>
        <v/>
      </c>
      <c r="DJ3" s="48" t="str">
        <f>IFERROR(IF(SEARCH("y",A3)&gt;0,CHAR(34)&amp;"with_y"&amp;CHAR(34)&amp;",",""),"")</f>
        <v/>
      </c>
      <c r="DK3" s="48" t="str">
        <f>IFERROR(IF(SEARCH("z",A3)&gt;0,CHAR(34)&amp;"with_z"&amp;CHAR(34)&amp;",",""),"")</f>
        <v/>
      </c>
      <c r="DL3" s="48" t="str">
        <f>IF(CG3=2, CHAR(34) &amp; _xlfn.TEXTJOIN("", TRUE, _xlfn._xlws.SORT(HP3:HX3)) &amp; CHAR(34) &amp; ",", "")</f>
        <v/>
      </c>
      <c r="DM3" s="48" t="str" cm="1">
        <f t="array" ref="DM3">IF(CG3=3,CHAR(34) &amp; _xlfn.TEXTJOIN("", TRUE, RIGHT(HP3:HX3, 2)) &amp; CHAR(34) &amp; ",", "")</f>
        <v>"LAEDHI",</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"year19",</v>
      </c>
      <c r="DP3" s="6" t="str">
        <f>IF(AND(ISNUMBER(SEARCH("20", O3)), ISERROR(SEARCH("1920", O3))), CHAR(34)&amp;"year00"&amp;CHAR(34)&amp;",", "")</f>
        <v/>
      </c>
      <c r="DQ3" s="6" t="str">
        <f>IF(CC3="y",CHAR(34)&amp;"soviet"&amp;CHAR(34)&amp;",","")</f>
        <v/>
      </c>
      <c r="DR3" s="6" t="str">
        <f>IF(BY3="y",CHAR(34)&amp;"dgband"&amp;CHAR(34)&amp;",","")</f>
        <v/>
      </c>
      <c r="DS3" s="6" t="str">
        <f>IF(W3="y",IF(AND(V3="n",BY3&lt;&gt;"y"),CHAR(34)&amp;"allver"&amp;CHAR(34)&amp;",",""),"")</f>
        <v/>
      </c>
      <c r="DT3" s="6" t="str">
        <f>IF(V3="y",IF(AND(W3="n",BY3&lt;&gt;"y"),CHAR(34)&amp;"allhor"&amp;CHAR(34)&amp;",",""),"")</f>
        <v>"allhor",</v>
      </c>
      <c r="DU3" s="6" t="str">
        <f>IF(BY3="y",IF(AND(W3="n",V3="n"),CHAR(34)&amp;"alldia"&amp;CHAR(34)&amp;",",""),"")</f>
        <v/>
      </c>
      <c r="DW3" s="48" t="str">
        <f>IF(CL3="y",CHAR(34)&amp;CL$1&amp;CHAR(34)&amp;",","")</f>
        <v/>
      </c>
      <c r="DX3" s="48" t="str">
        <f>IF(CM3="y",CHAR(34)&amp;CM$1&amp;CHAR(34)&amp;",","")</f>
        <v/>
      </c>
      <c r="DY3" s="48" t="str">
        <f>IF(CN3="y",CHAR(34)&amp;CN$1&amp;CHAR(34)&amp;",","")</f>
        <v>"3Bands",</v>
      </c>
      <c r="DZ3" s="48" t="str">
        <f>IF(CO3="y",CHAR(34)&amp;CO$1&amp;CHAR(34)&amp;",","")</f>
        <v/>
      </c>
      <c r="EA3" s="48" t="str">
        <f>IF(T3="y",CHAR(34)&amp;T$1&amp;CHAR(34)&amp;",","")</f>
        <v/>
      </c>
      <c r="EB3" s="48" t="str">
        <f>IF(U3="y",CHAR(34)&amp;U$1&amp;CHAR(34)&amp;",","")</f>
        <v/>
      </c>
      <c r="EC3" s="48" t="str">
        <f>IF(V3="y",CHAR(34)&amp;V$1&amp;CHAR(34)&amp;",","")</f>
        <v>"Horizo",</v>
      </c>
      <c r="ED3" s="48" t="str">
        <f>IF(W3="y",CHAR(34)&amp;W$1&amp;CHAR(34)&amp;",","")</f>
        <v/>
      </c>
      <c r="EE3" s="48" t="str">
        <f>IF(X3="y",CHAR(34)&amp;X$1&amp;CHAR(34)&amp;",","")</f>
        <v/>
      </c>
      <c r="EF3" s="48" t="str">
        <f>IF(AND(Y3&lt;&gt;"n",Y3&lt;&gt;""),CHAR(34)&amp;Y$1&amp;CHAR(34)&amp;",","")</f>
        <v/>
      </c>
      <c r="EG3" s="48" t="str">
        <f>IF(Z3="y",CHAR(34)&amp;Z$1&amp;CHAR(34)&amp;",","")</f>
        <v/>
      </c>
      <c r="EH3" s="48" t="str">
        <f>IF(AA3="y",CHAR(34)&amp;AA$1&amp;CHAR(34)&amp;",","")</f>
        <v/>
      </c>
      <c r="EI3" s="48" t="str">
        <f>IF(AB3="y",CHAR(34)&amp;AB$1&amp;CHAR(34)&amp;",","")</f>
        <v/>
      </c>
      <c r="EJ3" s="48" t="str">
        <f>IF(AC3="y",CHAR(34)&amp;AC$1&amp;CHAR(34)&amp;",","")</f>
        <v/>
      </c>
      <c r="EK3" s="48" t="str">
        <f>IF(AD3="y",CHAR(34)&amp;AD$1&amp;CHAR(34)&amp;",","")</f>
        <v/>
      </c>
      <c r="EL3" s="48" t="str">
        <f>IF(AE3="y",CHAR(34)&amp;AE$1&amp;CHAR(34)&amp;",","")</f>
        <v/>
      </c>
      <c r="EM3" s="48" t="str">
        <f>IF(AF3="y",CHAR(34)&amp;AF$1&amp;CHAR(34)&amp;",","")</f>
        <v/>
      </c>
      <c r="EN3" s="48" t="str">
        <f>IF(AG3="y",CHAR(34)&amp;AG$1&amp;CHAR(34)&amp;",","")</f>
        <v/>
      </c>
      <c r="EO3" s="48" t="str">
        <f>IF(AH3="y",CHAR(34)&amp;AH$1&amp;CHAR(34)&amp;",","")</f>
        <v/>
      </c>
      <c r="EP3" s="48" t="str">
        <f>IF(AI3="y",CHAR(34)&amp;AI$1&amp;CHAR(34)&amp;",","")</f>
        <v/>
      </c>
      <c r="EQ3" s="48" t="str">
        <f>IF(AJ3="y",CHAR(34)&amp;AJ$1&amp;CHAR(34)&amp;",","")</f>
        <v/>
      </c>
      <c r="ER3" s="48" t="str">
        <f>IF(AK3="y",CHAR(34)&amp;AK$1&amp;CHAR(34)&amp;",","")</f>
        <v>"OnlyBa",</v>
      </c>
      <c r="ES3" s="48" t="str">
        <f>IF(AL3="y",CHAR(34)&amp;AL$1&amp;CHAR(34)&amp;",","")</f>
        <v/>
      </c>
      <c r="ET3" s="48" t="str">
        <f>IF(AM3="y",CHAR(34)&amp;AM$1&amp;CHAR(34)&amp;",","")</f>
        <v/>
      </c>
      <c r="EU3" s="48" t="str">
        <f>IF(AN3="y",CHAR(34)&amp;AN$1&amp;CHAR(34)&amp;",","")</f>
        <v/>
      </c>
      <c r="EV3" s="48" t="str">
        <f>IF(AO3="y",CHAR(34)&amp;AO$1&amp;CHAR(34)&amp;",","")</f>
        <v/>
      </c>
      <c r="EW3" s="48" t="str">
        <f>IF(AP3="y",CHAR(34)&amp;AP$1&amp;CHAR(34)&amp;",","")</f>
        <v/>
      </c>
      <c r="EX3" s="48" t="str">
        <f>IF(AQ3="y",CHAR(34)&amp;AQ$1&amp;CHAR(34)&amp;",","")</f>
        <v/>
      </c>
      <c r="EY3" s="48" t="str">
        <f>IF(AR3="y",CHAR(34)&amp;AR$1&amp;CHAR(34)&amp;",","")</f>
        <v/>
      </c>
      <c r="EZ3" s="48" t="str">
        <f>IF(AS3="y",CHAR(34)&amp;AS$1&amp;CHAR(34)&amp;",","")</f>
        <v/>
      </c>
      <c r="FA3" s="48" t="str">
        <f>IF(AT3&gt;0,CHAR(34)&amp;"sta"&amp;AZ3&amp;CHAR(34)&amp;",","")</f>
        <v/>
      </c>
      <c r="FB3" s="48" t="str">
        <f>IF(AND(AT3&gt;0,BA3&lt;&gt;""),CHAR(34)&amp;"sta"&amp;BA3&amp;CHAR(34)&amp;",","")</f>
        <v/>
      </c>
      <c r="FD3" s="48" t="str">
        <f>IF(BV3="n",CHAR(34)&amp;"tcWHYE"&amp;CHAR(34)&amp;",",IF(BV3="y",CHAR(34)&amp;FD$1&amp;CHAR(34)&amp;",",""))</f>
        <v/>
      </c>
      <c r="FE3" s="48" t="str">
        <f>IF(COUNTIF(BL3:BT3,"BLU")=0,CHAR(34)&amp;"NO_BLU"&amp;CHAR(34)&amp;",", "")</f>
        <v>"NO_BLU",</v>
      </c>
      <c r="FF3" s="48" t="str">
        <f>IF(COUNTIF(BL3:BT3,"WHI")=0,CHAR(34)&amp;"NO_WHI"&amp;CHAR(34)&amp;",", "")</f>
        <v/>
      </c>
      <c r="FG3" s="48" t="str">
        <f>IF(COUNTIF(BL3:BT3,"RED")=0,CHAR(34)&amp;"NO_RED"&amp;CHAR(34)&amp;",", "")</f>
        <v/>
      </c>
      <c r="FH3" s="48" t="str">
        <f>IF(COUNTIF(BL3:BS3,"GRE")=0,CHAR(34)&amp;"NO_GRE"&amp;CHAR(34)&amp;",", "")</f>
        <v>"NO_GRE",</v>
      </c>
      <c r="FI3" s="48" t="str">
        <f>IF(COUNTIF(BL3:BT3,"YEL")=0,CHAR(34)&amp;"NO_YEL"&amp;CHAR(34)&amp;",", "")</f>
        <v>"NO_YEL",</v>
      </c>
      <c r="FJ3" s="48" t="str">
        <f>IF(COUNTIF(BL3:BT3,"BLA")=0,CHAR(34)&amp;"NO_BLA"&amp;CHAR(34)&amp;",", "")</f>
        <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
      </c>
      <c r="FQ3" s="48" t="str">
        <f>IF(LEN(BF3)=3,CHAR(34)&amp;"001"&amp;BF3&amp;CHAR(34)&amp;",","")</f>
        <v>"001BLA",</v>
      </c>
      <c r="FR3" s="48" t="str">
        <f>IF(LEN(BG3)=3,CHAR(34)&amp;"002"&amp;BG3&amp;CHAR(34)&amp;",","")</f>
        <v>"002WHI",</v>
      </c>
      <c r="FS3" s="48" t="str">
        <f>IF(LEN(BH3)=3,CHAR(34)&amp;"003"&amp;BH3&amp;CHAR(34)&amp;",","")</f>
        <v>"003RED",</v>
      </c>
      <c r="FT3" s="48" t="str">
        <f>CHAR(34)&amp;"myr"&amp;BD3&amp;CHAR(34)&amp;","</f>
        <v>"myrEQ",</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"histor",</v>
      </c>
      <c r="GG3" s="48" t="str">
        <f>IF(BU3="y",CHAR(34)&amp;"unjack"&amp;CHAR(34)&amp;",","")</f>
        <v/>
      </c>
      <c r="GH3" s="48" t="str">
        <f>IF(CD3=1,CHAR(34)&amp;"southc"&amp;CHAR(34)&amp;",","")</f>
        <v/>
      </c>
      <c r="GI3" s="48" t="str">
        <f>IF(CE3=1,CHAR(34)&amp;"hasmap"&amp;CHAR(34)&amp;",","")</f>
        <v/>
      </c>
      <c r="GJ3" s="48" t="str">
        <f>IF(CP3="y",CHAR(34)&amp;CP$1&amp;CHAR(34)&amp;",","")</f>
        <v>"NoStar",</v>
      </c>
      <c r="GK3" s="48" t="str">
        <f>IF(GJ3="",CHAR(34)&amp;"HasSta"&amp;CHAR(34)&amp;",","")</f>
        <v/>
      </c>
      <c r="GL3" s="48" t="str">
        <f>IF(CQ3="y",CHAR(34)&amp;CQ$1&amp;CHAR(34)&amp;",","")</f>
        <v/>
      </c>
      <c r="GM3" s="48" t="str">
        <f>IF(CR3="y",CHAR(34)&amp;CR$1&amp;CHAR(34)&amp;",","")</f>
        <v/>
      </c>
      <c r="GN3" s="48" t="str">
        <f>IF(CS3="y",CHAR(34)&amp;CS$1&amp;CHAR(34)&amp;",","")</f>
        <v/>
      </c>
      <c r="GP3" s="48" t="str">
        <f>CHAR(34)&amp;AU3&amp;CHAR(34)</f>
        <v>"Historical"</v>
      </c>
      <c r="GS3" s="48" t="str">
        <f>SUBSTITUTE("["&amp;_xlfn.CONCAT(CW3:GN3)&amp;"]",",]","]")</f>
        <v>["3Color","words2","words3","lets20","startR","with_v","LAEDHI","year19","allhor","3Bands","Horizo","OnlyBa","NO_BLU","NO_GRE","NO_YEL","001BLA","002WHI","003RED","myrEQ","histor","NoStar"]</v>
      </c>
      <c r="GT3" s="48" t="str">
        <f>IF(BL3&lt;&gt;"",CHAR(34)&amp;"cl_"&amp;BL3&amp;CHAR(34)&amp;",","")</f>
        <v>"cl_BLA",</v>
      </c>
      <c r="GU3" s="48" t="str">
        <f>IF(BM3&lt;&gt;"",CHAR(34)&amp;"cl_"&amp;BM3&amp;CHAR(34)&amp;",","")</f>
        <v>"cl_WHI",</v>
      </c>
      <c r="GV3" s="48" t="str">
        <f>IF(BN3&lt;&gt;"",CHAR(34)&amp;"cl_"&amp;BN3&amp;CHAR(34)&amp;",","")</f>
        <v>"cl_RED",</v>
      </c>
      <c r="GW3" s="48" t="str">
        <f>IF(BO3&lt;&gt;"",CHAR(34)&amp;"cl_"&amp;BO3&amp;CHAR(34)&amp;",","")</f>
        <v/>
      </c>
      <c r="GX3" s="48" t="str">
        <f>IF(BP3&lt;&gt;"",CHAR(34)&amp;"cl_"&amp;BP3&amp;CHAR(34)&amp;",","")</f>
        <v/>
      </c>
      <c r="GY3" s="48" t="str">
        <f>IF(BQ3&lt;&gt;"",CHAR(34)&amp;"cl_"&amp;BQ3&amp;CHAR(34)&amp;",","")</f>
        <v/>
      </c>
      <c r="GZ3" s="48" t="str">
        <f>IF(BR3&lt;&gt;"",CHAR(34)&amp;"cl_"&amp;BR3&amp;CHAR(34)&amp;",","")</f>
        <v/>
      </c>
      <c r="HA3" s="48" t="str">
        <f>IF(BS3&lt;&gt;"",CHAR(34)&amp;"cl_"&amp;BS3&amp;CHAR(34)&amp;",","")</f>
        <v/>
      </c>
      <c r="HB3" s="48" t="str">
        <f>IF(BT3&lt;&gt;"",CHAR(34)&amp;"cl_"&amp;BT3&amp;CHAR(34)&amp;",","")</f>
        <v/>
      </c>
      <c r="HC3" s="48" t="str">
        <f>SUBSTITUTE("["&amp;_xlfn.CONCAT(GT3:HB3)&amp;"]",",]","]")</f>
        <v>["cl_BLA","cl_WHI","cl_RED"]</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{couname:"[BFA] Republic of Upper Volta",year:"1960",region:"rgn_Africa",Colors:["cl_BLA","cl_WHI","cl_RED"],Items:["3Color","words2","words3","lets20","startR","with_v","LAEDHI","year19","allhor","3Bands","Horizo","OnlyBa","NO_BLU","NO_GRE","NO_YEL","001BLA","002WHI","003RED","myrEQ","histor","NoStar"],Flag:"https://upload.wikimedia.org/wikipedia/commons/thumb/4/4a/Flag_of_Upper_Volta.svg/640px-Flag_of_Upper_Volta.svg.png",HDFlag:"https://upload.wikimedia.org/wikipedia/commons/thumb/4/4a/Flag_of_Upper_Volta.svg/2560px-Flag_of_Upper_Volta.svg.png",type:"Historical", describe: "\nThe national flag of the Republic of Upper Volta was introduced upon gaining independence from France on 5 August 1960. It consisted of three equal horizontal bands of black, white, and red. It was almost identical to the flag of the German Empire, with the only difference being a slightly duller shade of red.", isnew:".", links: "https://en.wikipedia.org/wiki/Republic_of_Upper_Volta"},</v>
      </c>
      <c r="HG3" s="73" t="str">
        <f>"{couname:"&amp;CT3&amp;(IF(HK3&lt;&gt;"",",subtype:"&amp;CHAR(34)&amp;HK3&amp;CHAR(34),""))&amp;",year:"&amp;HJ3&amp;",region:"&amp;CU3&amp;",Colors:"&amp;HC3&amp;",Items:"&amp;GS3&amp;",Flag:"&amp;CV3&amp;",HDFlag:"&amp;CHAR(34)&amp;E3&amp;CHAR(34)&amp;",type:"&amp;GP3&amp;", describe: "&amp;HI3&amp;", links: "&amp;HL3&amp;"},"</f>
        <v>{couname:"[BFA] Republic of Upper Volta",year:"1960",region:"rgn_Africa",Colors:["cl_BLA","cl_WHI","cl_RED"],Items:["3Color","words2","words3","lets20","startR","with_v","LAEDHI","year19","allhor","3Bands","Horizo","OnlyBa","NO_BLU","NO_GRE","NO_YEL","001BLA","002WHI","003RED","myrEQ","histor","NoStar"],Flag:"https://upload.wikimedia.org/wikipedia/commons/thumb/4/4a/Flag_of_Upper_Volta.svg/640px-Flag_of_Upper_Volta.svg.png",HDFlag:"https://upload.wikimedia.org/wikipedia/commons/thumb/4/4a/Flag_of_Upper_Volta.svg/2560px-Flag_of_Upper_Volta.svg.png",type:"Historical", describe: "\nThe national flag of the Republic of Upper Volta was introduced upon gaining independence from France on 5 August 1960. It consisted of three equal horizontal bands of black, white, and red. It was almost identical to the flag of the German Empire, with the only difference being a slightly duller shade of red.", links: "https://en.wikipedia.org/wiki/Republic_of_Upper_Volta"},</v>
      </c>
      <c r="HH3" s="48" t="str">
        <f>IF(P3&lt;&gt;"",CHAR(34)&amp;"\n"&amp;P3&amp;CHAR(34),CHAR(34)&amp;CHAR(34))</f>
        <v>"\nThe national flag of the Republic of Upper Volta was introduced upon gaining independence from France on 5 August 1960. It consisted of three equal horizontal bands of black, white, and red. It was almost identical to the flag of the German Empire, with the only difference being a slightly duller shade of red."</v>
      </c>
      <c r="HI3" s="48" t="str">
        <f>IF(J3=0,CHAR(34)&amp;CHAR(34),HH3)</f>
        <v>"\nThe national flag of the Republic of Upper Volta was introduced upon gaining independence from France on 5 August 1960. It consisted of three equal horizontal bands of black, white, and red. It was almost identical to the flag of the German Empire, with the only difference being a slightly duller shade of red."</v>
      </c>
      <c r="HJ3" s="48" t="str">
        <f>CHAR(34)&amp;O3&amp;CHAR(34)</f>
        <v>"1960"</v>
      </c>
      <c r="HL3" s="48" t="str">
        <f>CHAR(34)&amp;I3&amp;CHAR(34)</f>
        <v>"https://en.wikipedia.org/wiki/Republic_of_Upper_Volta"</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{"couname":"[BFA] Republic of Upper Volta","subtype":"[BFA] Other","year":"1960","region":"rgn_Africa","Colors":["cl_BLA","cl_WHI","cl_RED"],"Items":["3Color","words2","words3","lets20","startR","with_v","LAEDHI","year19","allhor","3Bands","Horizo","OnlyBa","NO_BLU","NO_GRE","NO_YEL","001BLA","002WHI","003RED","myrEQ","histor","NoStar"],"Flag":"https://upload.wikimedia.org/wikipedia/commons/thumb/4/4a/Flag_of_Upper_Volta.svg/640px-Flag_of_Upper_Volta.svg.png","HDFlag":"https://upload.wikimedia.org/wikipedia/commons/thumb/4/4a/Flag_of_Upper_Volta.svg/2560px-Flag_of_Upper_Volta.svg.png","type":"Historical", "describe": "\nThe national flag of the Republic of Upper Volta was introduced upon gaining independence from France on 5 August 1960. It consisted of three equal horizontal bands of black, white, and red. It was almost identical to the flag of the German Empire, with the only difference being a slightly duller shade of red.", "isnew": ".", "links": "https://en.wikipedia.org/wiki/Republic_of_Upper_Volta"},</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{"couname":"[BFA] Republic of Upper Volta","subtype":"[BFA] Other","year":"1960","region":"rgn_Africa","Colors":["cl_BLA","cl_WHI","cl_RED"],"Items":["3Color","words2","words3","lets20","startR","with_v","LAEDHI","year19","allhor","3Bands","Horizo","OnlyBa","NO_BLU","NO_GRE","NO_YEL","001BLA","002WHI","003RED","myrEQ","histor","NoStar"],"Flag":"https://upload.wikimedia.org/wikipedia/commons/thumb/4/4a/Flag_of_Upper_Volta.svg/640px-Flag_of_Upper_Volta.svg.png","HDFlag":"https://upload.wikimedia.org/wikipedia/commons/thumb/4/4a/Flag_of_Upper_Volta.svg/2560px-Flag_of_Upper_Volta.svg.png","type":"Historical", "describe": "\nThe national flag of the Republic of Upper Volta was introduced upon gaining independence from France on 5 August 1960. It consisted of three equal horizontal bands of black, white, and red. It was almost identical to the flag of the German Empire, with the only difference being a slightly duller shade of red.", "isnew": ".", "links": "https://en.wikipedia.org/wiki/Republic_of_Upper_Volta"},</v>
      </c>
      <c r="HO3" s="75">
        <v>45644</v>
      </c>
      <c r="HP3" s="48" t="str" cm="1">
        <f t="array" ref="HP3">IF(_xlfn.TEXTJOIN(", ", TRUE, IF(ISNUMBER(SEARCH("BLA", BL3:BT3)), COLUMN(BL3:BT3) - COLUMN(BL3) + 1, ""))&lt;&gt;"","BLA","")</f>
        <v>BLA</v>
      </c>
      <c r="HQ3" s="48" t="str" cm="1">
        <f t="array" ref="HQ3">IF(_xlfn.TEXTJOIN(", ", TRUE, IF(ISNUMBER(SEARCH("BLU", BL3:BT3)), COLUMN(BL3:BT3) - COLUMN(BL3) + 1, ""))&lt;&gt;"","BLU","")</f>
        <v/>
      </c>
      <c r="HR3" s="48" t="str" cm="1">
        <f t="array" ref="HR3">IF(_xlfn.TEXTJOIN(", ", TRUE, IF(ISNUMBER(SEARCH("GRE", BL3:BT3)), COLUMN(BL3:BT3) - COLUMN(BL3) + 1, ""))&lt;&gt;"","GRE","")</f>
        <v/>
      </c>
      <c r="HS3" s="48" t="str" cm="1">
        <f t="array" ref="HS3">IF(_xlfn.TEXTJOIN(", ", TRUE, IF(ISNUMBER(SEARCH("RED", BL3:BT3)), COLUMN(BL3:BT3) - COLUMN(BL3) + 1, ""))&lt;&gt;"","RED","")</f>
        <v>RED</v>
      </c>
      <c r="HT3" s="48" t="str" cm="1">
        <f t="array" ref="HT3">IF(_xlfn.TEXTJOIN(", ", TRUE, IF(ISNUMBER(SEARCH("YEL", BL3:BT3)), COLUMN(BL3:BT3) - COLUMN(BL3) + 1, ""))&lt;&gt;"","YEL","")</f>
        <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M3" s="45">
        <f>COUNTIF(IC3:IK3,"&gt;0")-CG3</f>
        <v>-3</v>
      </c>
      <c r="IN3" s="78" t="str">
        <f>"http://mkweb.bcgsc.ca/color-summarizer/?url="&amp;D3&amp;"&amp;precision=low&amp;num_clusters="&amp;CG3&amp;"&amp;text=1"</f>
        <v>http://mkweb.bcgsc.ca/color-summarizer/?url=https://upload.wikimedia.org/wikipedia/commons/thumb/4/4a/Flag_of_Upper_Volta.svg/640px-Flag_of_Upper_Volta.svg.png&amp;precision=low&amp;num_clusters=3&amp;text=1</v>
      </c>
      <c r="IO3" s="48" t="str">
        <f>IF(HP3&lt;&gt;"",CHAR(34)&amp;"black"&amp;CHAR(34),"")</f>
        <v>"black"</v>
      </c>
      <c r="IP3" s="48" t="str">
        <f>IF(HQ3&lt;&gt;"",CHAR(34)&amp;"blue"&amp;CHAR(34),"")</f>
        <v/>
      </c>
      <c r="IQ3" s="48" t="str">
        <f>IF(HR3&lt;&gt;"",CHAR(34)&amp;"green"&amp;CHAR(34),"")</f>
        <v/>
      </c>
      <c r="IR3" s="48" t="str">
        <f>IF(HS3&lt;&gt;"",CHAR(34)&amp;"red"&amp;CHAR(34),"")</f>
        <v>"red"</v>
      </c>
      <c r="IS3" s="48" t="str">
        <f>IF(HT3&lt;&gt;"",CHAR(34)&amp;"yellow"&amp;CHAR(34),"")</f>
        <v/>
      </c>
      <c r="IT3" s="48" t="str">
        <f>IF(HU3&lt;&gt;"",CHAR(34)&amp;"orange"&amp;CHAR(34),"")</f>
        <v/>
      </c>
      <c r="IU3" s="48" t="str">
        <f>IF(HV3&lt;&gt;"",CHAR(34)&amp;"brown"&amp;CHAR(34),"")</f>
        <v/>
      </c>
      <c r="IV3" s="48" t="str">
        <f>IF(HW3&lt;&gt;"",CHAR(34)&amp;"purple"&amp;CHAR(34),"")</f>
        <v/>
      </c>
      <c r="IW3" s="48" t="str">
        <f>IF(HX3&lt;&gt;"",CHAR(34)&amp;"white"&amp;CHAR(34),"")</f>
        <v>"white"</v>
      </c>
      <c r="IX3" s="48" t="str">
        <f>"{"&amp;CHAR(34)&amp;"url"&amp;CHAR(34)&amp;":"&amp;CHAR(34)&amp;IN3&amp;CHAR(34)&amp;","&amp;CHAR(34)&amp;"name"&amp;CHAR(34)&amp;":"&amp;CHAR(34)&amp;A3&amp;CHAR(34)&amp;"},"</f>
        <v>{"url":"http://mkweb.bcgsc.ca/color-summarizer/?url=https://upload.wikimedia.org/wikipedia/commons/thumb/4/4a/Flag_of_Upper_Volta.svg/640px-Flag_of_Upper_Volta.svg.png&amp;precision=low&amp;num_clusters=3&amp;text=1","name":"[BFA] Republic of Upper Volta"},</v>
      </c>
      <c r="IY3" s="48">
        <v>1503</v>
      </c>
    </row>
    <row r="4" spans="1:259" ht="38.4" customHeight="1" x14ac:dyDescent="0.3">
      <c r="F4" s="82"/>
      <c r="G4" s="82"/>
      <c r="H4" s="82"/>
      <c r="I4" s="82"/>
      <c r="J4" s="82"/>
      <c r="K4" s="82"/>
    </row>
    <row r="5" spans="1:259" ht="38.4" customHeight="1" x14ac:dyDescent="0.3">
      <c r="F5" s="82"/>
      <c r="G5" s="82"/>
      <c r="H5" s="82"/>
      <c r="I5" s="82"/>
      <c r="J5" s="82"/>
      <c r="K5" s="82"/>
    </row>
    <row r="6" spans="1:259" ht="38.4" customHeight="1" x14ac:dyDescent="0.3">
      <c r="F6" s="82"/>
      <c r="G6" s="82"/>
      <c r="H6" s="82"/>
      <c r="I6" s="82"/>
      <c r="J6" s="82"/>
      <c r="K6" s="82"/>
    </row>
  </sheetData>
  <autoFilter ref="A1:IY1" xr:uid="{A1051193-A95B-4CFB-A73C-F0184620C81F}">
    <sortState xmlns:xlrd2="http://schemas.microsoft.com/office/spreadsheetml/2017/richdata2" ref="A2:IY5">
      <sortCondition ref="AW1"/>
    </sortState>
  </autoFilter>
  <conditionalFormatting sqref="H1 CW1:GS1 IA1:IB1">
    <cfRule type="cellIs" dxfId="6231" priority="118" operator="greaterThan">
      <formula>0</formula>
    </cfRule>
  </conditionalFormatting>
  <conditionalFormatting sqref="H1 H7:H1048576">
    <cfRule type="cellIs" dxfId="6230" priority="84" stopIfTrue="1" operator="notEqual">
      <formula>""</formula>
    </cfRule>
  </conditionalFormatting>
  <conditionalFormatting sqref="T1:BK1">
    <cfRule type="cellIs" dxfId="6229" priority="121" operator="greaterThan">
      <formula>0</formula>
    </cfRule>
  </conditionalFormatting>
  <conditionalFormatting sqref="BV1:BW1 BV4:BW1048576">
    <cfRule type="cellIs" dxfId="6228" priority="120" operator="equal">
      <formula>"nc"</formula>
    </cfRule>
  </conditionalFormatting>
  <conditionalFormatting sqref="HF1:HG1">
    <cfRule type="cellIs" dxfId="6227" priority="122" operator="greaterThan">
      <formula>0</formula>
    </cfRule>
  </conditionalFormatting>
  <conditionalFormatting sqref="HK1">
    <cfRule type="cellIs" dxfId="6226" priority="119" operator="greaterThan">
      <formula>0</formula>
    </cfRule>
  </conditionalFormatting>
  <conditionalFormatting sqref="HP1:HX1">
    <cfRule type="cellIs" dxfId="6225" priority="96" operator="equal">
      <formula>"PIN"</formula>
    </cfRule>
    <cfRule type="cellIs" dxfId="6224" priority="97" operator="equal">
      <formula>"ORA"</formula>
    </cfRule>
    <cfRule type="cellIs" dxfId="6223" priority="98" operator="equal">
      <formula>"GRA"</formula>
    </cfRule>
    <cfRule type="cellIs" dxfId="6222" priority="99" operator="equal">
      <formula>"PUR"</formula>
    </cfRule>
    <cfRule type="cellIs" dxfId="6221" priority="100" operator="equal">
      <formula>"BRO"</formula>
    </cfRule>
    <cfRule type="cellIs" dxfId="6220" priority="101" operator="equal">
      <formula>"YEL"</formula>
    </cfRule>
    <cfRule type="cellIs" dxfId="6219" priority="102" operator="equal">
      <formula>"BLU"</formula>
    </cfRule>
    <cfRule type="cellIs" dxfId="6218" priority="103" operator="equal">
      <formula>"WHI"</formula>
    </cfRule>
    <cfRule type="cellIs" dxfId="6217" priority="104" operator="equal">
      <formula>"GRE"</formula>
    </cfRule>
    <cfRule type="cellIs" dxfId="6216" priority="105" operator="equal">
      <formula>"RED"</formula>
    </cfRule>
    <cfRule type="cellIs" dxfId="6215" priority="106" operator="equal">
      <formula>"BLA"</formula>
    </cfRule>
  </conditionalFormatting>
  <conditionalFormatting sqref="IC1:IK1">
    <cfRule type="cellIs" dxfId="6214" priority="107" operator="equal">
      <formula>"PIN"</formula>
    </cfRule>
    <cfRule type="cellIs" dxfId="6213" priority="108" operator="equal">
      <formula>"ORA"</formula>
    </cfRule>
    <cfRule type="cellIs" dxfId="6212" priority="109" operator="equal">
      <formula>"GRA"</formula>
    </cfRule>
    <cfRule type="cellIs" dxfId="6211" priority="110" operator="equal">
      <formula>"PUR"</formula>
    </cfRule>
    <cfRule type="cellIs" dxfId="6210" priority="111" operator="equal">
      <formula>"BRO"</formula>
    </cfRule>
    <cfRule type="cellIs" dxfId="6209" priority="112" operator="equal">
      <formula>"YEL"</formula>
    </cfRule>
    <cfRule type="cellIs" dxfId="6208" priority="113" operator="equal">
      <formula>"BLU"</formula>
    </cfRule>
    <cfRule type="cellIs" dxfId="6207" priority="114" operator="equal">
      <formula>"WHI"</formula>
    </cfRule>
    <cfRule type="cellIs" dxfId="6206" priority="115" operator="equal">
      <formula>"GRE"</formula>
    </cfRule>
    <cfRule type="cellIs" dxfId="6205" priority="116" operator="equal">
      <formula>"RED"</formula>
    </cfRule>
    <cfRule type="cellIs" dxfId="6204" priority="117" operator="equal">
      <formula>"BLA"</formula>
    </cfRule>
  </conditionalFormatting>
  <conditionalFormatting sqref="IO1:IW1">
    <cfRule type="cellIs" dxfId="6203" priority="85" operator="equal">
      <formula>"PIN"</formula>
    </cfRule>
    <cfRule type="cellIs" dxfId="6202" priority="86" operator="equal">
      <formula>"ORA"</formula>
    </cfRule>
    <cfRule type="cellIs" dxfId="6201" priority="87" operator="equal">
      <formula>"GRA"</formula>
    </cfRule>
    <cfRule type="cellIs" dxfId="6200" priority="88" operator="equal">
      <formula>"PUR"</formula>
    </cfRule>
    <cfRule type="cellIs" dxfId="6199" priority="89" operator="equal">
      <formula>"BRO"</formula>
    </cfRule>
    <cfRule type="cellIs" dxfId="6198" priority="90" operator="equal">
      <formula>"YEL"</formula>
    </cfRule>
    <cfRule type="cellIs" dxfId="6197" priority="91" operator="equal">
      <formula>"BLU"</formula>
    </cfRule>
    <cfRule type="cellIs" dxfId="6196" priority="92" operator="equal">
      <formula>"WHI"</formula>
    </cfRule>
    <cfRule type="cellIs" dxfId="6195" priority="93" operator="equal">
      <formula>"GRE"</formula>
    </cfRule>
    <cfRule type="cellIs" dxfId="6194" priority="94" operator="equal">
      <formula>"RED"</formula>
    </cfRule>
    <cfRule type="cellIs" dxfId="6193" priority="95" operator="equal">
      <formula>"BLA"</formula>
    </cfRule>
  </conditionalFormatting>
  <conditionalFormatting sqref="H2">
    <cfRule type="cellIs" dxfId="6192" priority="77" stopIfTrue="1" operator="notEqual">
      <formula>""</formula>
    </cfRule>
  </conditionalFormatting>
  <conditionalFormatting sqref="R2 CU2">
    <cfRule type="cellIs" dxfId="6191" priority="79" operator="greaterThan">
      <formula>0</formula>
    </cfRule>
  </conditionalFormatting>
  <conditionalFormatting sqref="T2:AS2 CH2:CS2">
    <cfRule type="cellIs" dxfId="6190" priority="74" stopIfTrue="1" operator="equal">
      <formula>"n"</formula>
    </cfRule>
    <cfRule type="cellIs" dxfId="6189" priority="75" stopIfTrue="1" operator="equal">
      <formula>"y"</formula>
    </cfRule>
    <cfRule type="cellIs" dxfId="6188" priority="76" operator="greaterThan">
      <formula>0</formula>
    </cfRule>
  </conditionalFormatting>
  <conditionalFormatting sqref="AZ2:BB2">
    <cfRule type="expression" dxfId="6187" priority="61">
      <formula>$AT2=0</formula>
    </cfRule>
  </conditionalFormatting>
  <conditionalFormatting sqref="AZ2:BU2">
    <cfRule type="cellIs" dxfId="6186" priority="62" operator="equal">
      <formula>"PIN"</formula>
    </cfRule>
    <cfRule type="cellIs" dxfId="6185" priority="63" operator="equal">
      <formula>"ORA"</formula>
    </cfRule>
    <cfRule type="cellIs" dxfId="6184" priority="64" operator="equal">
      <formula>"GRA"</formula>
    </cfRule>
    <cfRule type="cellIs" dxfId="6183" priority="65" operator="equal">
      <formula>"PUR"</formula>
    </cfRule>
    <cfRule type="cellIs" dxfId="6182" priority="66" operator="equal">
      <formula>"BRO"</formula>
    </cfRule>
    <cfRule type="cellIs" dxfId="6181" priority="67" operator="equal">
      <formula>"YEL"</formula>
    </cfRule>
    <cfRule type="cellIs" dxfId="6180" priority="68" operator="equal">
      <formula>"BLU"</formula>
    </cfRule>
    <cfRule type="cellIs" dxfId="6179" priority="69" operator="equal">
      <formula>"WHI"</formula>
    </cfRule>
    <cfRule type="cellIs" dxfId="6178" priority="70" operator="equal">
      <formula>"GRE"</formula>
    </cfRule>
    <cfRule type="cellIs" dxfId="6177" priority="71" operator="equal">
      <formula>"RED"</formula>
    </cfRule>
    <cfRule type="cellIs" dxfId="6176" priority="72" operator="equal">
      <formula>"BLA"</formula>
    </cfRule>
  </conditionalFormatting>
  <conditionalFormatting sqref="BV2">
    <cfRule type="cellIs" dxfId="6175" priority="78" operator="equal">
      <formula>"nc"</formula>
    </cfRule>
  </conditionalFormatting>
  <conditionalFormatting sqref="CD2:CF2 BZ2:CA2">
    <cfRule type="cellIs" dxfId="6174" priority="73" operator="greaterThan">
      <formula>0</formula>
    </cfRule>
  </conditionalFormatting>
  <conditionalFormatting sqref="IC2:IK2">
    <cfRule type="expression" dxfId="6173" priority="60">
      <formula>$IL2&gt;0</formula>
    </cfRule>
  </conditionalFormatting>
  <conditionalFormatting sqref="BX2:CA2 CD2:CF2">
    <cfRule type="cellIs" dxfId="6172" priority="48" operator="equal">
      <formula>"y"</formula>
    </cfRule>
    <cfRule type="cellIs" dxfId="6171" priority="49" operator="equal">
      <formula>"PIN"</formula>
    </cfRule>
    <cfRule type="cellIs" dxfId="6170" priority="50" operator="equal">
      <formula>"ORA"</formula>
    </cfRule>
    <cfRule type="cellIs" dxfId="6169" priority="51" operator="equal">
      <formula>"GRA"</formula>
    </cfRule>
    <cfRule type="cellIs" dxfId="6168" priority="52" operator="equal">
      <formula>"PUR"</formula>
    </cfRule>
    <cfRule type="cellIs" dxfId="6167" priority="53" operator="equal">
      <formula>"BRO"</formula>
    </cfRule>
    <cfRule type="cellIs" dxfId="6166" priority="54" operator="equal">
      <formula>"YEL"</formula>
    </cfRule>
    <cfRule type="cellIs" dxfId="6165" priority="55" operator="equal">
      <formula>"BLU"</formula>
    </cfRule>
    <cfRule type="cellIs" dxfId="6164" priority="56" operator="equal">
      <formula>"WHI"</formula>
    </cfRule>
    <cfRule type="cellIs" dxfId="6163" priority="57" operator="equal">
      <formula>"GRE"</formula>
    </cfRule>
    <cfRule type="cellIs" dxfId="6162" priority="58" operator="equal">
      <formula>"RED"</formula>
    </cfRule>
    <cfRule type="cellIs" dxfId="6161" priority="59" operator="equal">
      <formula>"BLA"</formula>
    </cfRule>
  </conditionalFormatting>
  <conditionalFormatting sqref="J2">
    <cfRule type="colorScale" priority="80">
      <colorScale>
        <cfvo type="min"/>
        <cfvo type="percentile" val="50"/>
        <cfvo type="max"/>
        <color rgb="FFF8696B"/>
        <color rgb="FFFFEB84"/>
        <color rgb="FF63BE7B"/>
      </colorScale>
    </cfRule>
  </conditionalFormatting>
  <conditionalFormatting sqref="S2">
    <cfRule type="colorScale" priority="81">
      <colorScale>
        <cfvo type="min"/>
        <cfvo type="max"/>
        <color rgb="FFFCFCFF"/>
        <color rgb="FF754BFB"/>
      </colorScale>
    </cfRule>
  </conditionalFormatting>
  <conditionalFormatting sqref="AT2">
    <cfRule type="colorScale" priority="82">
      <colorScale>
        <cfvo type="min"/>
        <cfvo type="max"/>
        <color rgb="FFFCFCFF"/>
        <color theme="8" tint="0.39997558519241921"/>
      </colorScale>
    </cfRule>
  </conditionalFormatting>
  <conditionalFormatting sqref="CG2">
    <cfRule type="colorScale" priority="83">
      <colorScale>
        <cfvo type="min"/>
        <cfvo type="max"/>
        <color rgb="FFFCFCFF"/>
        <color rgb="FF63BE7B"/>
      </colorScale>
    </cfRule>
  </conditionalFormatting>
  <conditionalFormatting sqref="H3">
    <cfRule type="cellIs" dxfId="6160" priority="40" stopIfTrue="1" operator="notEqual">
      <formula>""</formula>
    </cfRule>
  </conditionalFormatting>
  <conditionalFormatting sqref="R3 CU3">
    <cfRule type="cellIs" dxfId="6159" priority="43" operator="greaterThan">
      <formula>0</formula>
    </cfRule>
  </conditionalFormatting>
  <conditionalFormatting sqref="T3:AS3 CH3:CS3">
    <cfRule type="cellIs" dxfId="6158" priority="37" stopIfTrue="1" operator="equal">
      <formula>"n"</formula>
    </cfRule>
    <cfRule type="cellIs" dxfId="6157" priority="38" stopIfTrue="1" operator="equal">
      <formula>"y"</formula>
    </cfRule>
    <cfRule type="cellIs" dxfId="6156" priority="39" operator="greaterThan">
      <formula>0</formula>
    </cfRule>
  </conditionalFormatting>
  <conditionalFormatting sqref="AZ3:BB3">
    <cfRule type="expression" dxfId="6155" priority="24">
      <formula>$AT3=0</formula>
    </cfRule>
  </conditionalFormatting>
  <conditionalFormatting sqref="CD3:CF3 BX3:CA3 AZ3:BU3">
    <cfRule type="cellIs" dxfId="6154" priority="25" operator="equal">
      <formula>"PIN"</formula>
    </cfRule>
    <cfRule type="cellIs" dxfId="6153" priority="26" operator="equal">
      <formula>"ORA"</formula>
    </cfRule>
    <cfRule type="cellIs" dxfId="6152" priority="27" operator="equal">
      <formula>"GRA"</formula>
    </cfRule>
    <cfRule type="cellIs" dxfId="6151" priority="28" operator="equal">
      <formula>"PUR"</formula>
    </cfRule>
    <cfRule type="cellIs" dxfId="6150" priority="29" operator="equal">
      <formula>"BRO"</formula>
    </cfRule>
    <cfRule type="cellIs" dxfId="6149" priority="30" operator="equal">
      <formula>"YEL"</formula>
    </cfRule>
    <cfRule type="cellIs" dxfId="6148" priority="31" operator="equal">
      <formula>"BLU"</formula>
    </cfRule>
    <cfRule type="cellIs" dxfId="6147" priority="32" operator="equal">
      <formula>"WHI"</formula>
    </cfRule>
    <cfRule type="cellIs" dxfId="6146" priority="33" operator="equal">
      <formula>"GRE"</formula>
    </cfRule>
    <cfRule type="cellIs" dxfId="6145" priority="34" operator="equal">
      <formula>"RED"</formula>
    </cfRule>
    <cfRule type="cellIs" dxfId="6144" priority="35" operator="equal">
      <formula>"BLA"</formula>
    </cfRule>
  </conditionalFormatting>
  <conditionalFormatting sqref="BV3">
    <cfRule type="cellIs" dxfId="6143" priority="42" operator="equal">
      <formula>"nc"</formula>
    </cfRule>
  </conditionalFormatting>
  <conditionalFormatting sqref="CD3:CF3 BX3:CA3">
    <cfRule type="cellIs" dxfId="6142" priority="41" operator="equal">
      <formula>"y"</formula>
    </cfRule>
  </conditionalFormatting>
  <conditionalFormatting sqref="CD3:CF3 BZ3:CA3">
    <cfRule type="cellIs" dxfId="6141" priority="36" operator="greaterThan">
      <formula>0</formula>
    </cfRule>
  </conditionalFormatting>
  <conditionalFormatting sqref="IC3:IK3">
    <cfRule type="expression" dxfId="6140" priority="23">
      <formula>$IL3&gt;0</formula>
    </cfRule>
  </conditionalFormatting>
  <conditionalFormatting sqref="IC3">
    <cfRule type="cellIs" dxfId="6139" priority="17" stopIfTrue="1" operator="greaterThan">
      <formula>0</formula>
    </cfRule>
  </conditionalFormatting>
  <conditionalFormatting sqref="ID3">
    <cfRule type="cellIs" dxfId="6138" priority="15" stopIfTrue="1" operator="greaterThan">
      <formula>0</formula>
    </cfRule>
  </conditionalFormatting>
  <conditionalFormatting sqref="II3 IE3:IF3">
    <cfRule type="cellIs" dxfId="6137" priority="22" operator="greaterThan">
      <formula>0</formula>
    </cfRule>
  </conditionalFormatting>
  <conditionalFormatting sqref="II3 IF3">
    <cfRule type="cellIs" dxfId="6136" priority="16" stopIfTrue="1" operator="greaterThan">
      <formula>0</formula>
    </cfRule>
  </conditionalFormatting>
  <conditionalFormatting sqref="IG3">
    <cfRule type="cellIs" dxfId="6135" priority="21" operator="greaterThan">
      <formula>0</formula>
    </cfRule>
  </conditionalFormatting>
  <conditionalFormatting sqref="IH3:II3">
    <cfRule type="cellIs" dxfId="6134" priority="20" operator="greaterThan">
      <formula>0</formula>
    </cfRule>
  </conditionalFormatting>
  <conditionalFormatting sqref="IJ3">
    <cfRule type="cellIs" dxfId="6133" priority="19" operator="greaterThan">
      <formula>0</formula>
    </cfRule>
  </conditionalFormatting>
  <conditionalFormatting sqref="IK3">
    <cfRule type="cellIs" dxfId="6132" priority="18" operator="greaterThan">
      <formula>0</formula>
    </cfRule>
  </conditionalFormatting>
  <conditionalFormatting sqref="IF3">
    <cfRule type="cellIs" dxfId="6131" priority="14" stopIfTrue="1" operator="greaterThan">
      <formula>0</formula>
    </cfRule>
  </conditionalFormatting>
  <conditionalFormatting sqref="IM3">
    <cfRule type="cellIs" dxfId="6130" priority="13" operator="equal">
      <formula>0</formula>
    </cfRule>
  </conditionalFormatting>
  <conditionalFormatting sqref="BX3:CA3 CD3:CF3">
    <cfRule type="cellIs" dxfId="6129" priority="1" operator="equal">
      <formula>"y"</formula>
    </cfRule>
    <cfRule type="cellIs" dxfId="6128" priority="2" operator="equal">
      <formula>"PIN"</formula>
    </cfRule>
    <cfRule type="cellIs" dxfId="6127" priority="3" operator="equal">
      <formula>"ORA"</formula>
    </cfRule>
    <cfRule type="cellIs" dxfId="6126" priority="4" operator="equal">
      <formula>"GRA"</formula>
    </cfRule>
    <cfRule type="cellIs" dxfId="6125" priority="5" operator="equal">
      <formula>"PUR"</formula>
    </cfRule>
    <cfRule type="cellIs" dxfId="6124" priority="6" operator="equal">
      <formula>"BRO"</formula>
    </cfRule>
    <cfRule type="cellIs" dxfId="6123" priority="7" operator="equal">
      <formula>"YEL"</formula>
    </cfRule>
    <cfRule type="cellIs" dxfId="6122" priority="8" operator="equal">
      <formula>"BLU"</formula>
    </cfRule>
    <cfRule type="cellIs" dxfId="6121" priority="9" operator="equal">
      <formula>"WHI"</formula>
    </cfRule>
    <cfRule type="cellIs" dxfId="6120" priority="10" operator="equal">
      <formula>"GRE"</formula>
    </cfRule>
    <cfRule type="cellIs" dxfId="6119" priority="11" operator="equal">
      <formula>"RED"</formula>
    </cfRule>
    <cfRule type="cellIs" dxfId="6118" priority="12" operator="equal">
      <formula>"BLA"</formula>
    </cfRule>
  </conditionalFormatting>
  <conditionalFormatting sqref="AT3">
    <cfRule type="colorScale" priority="44">
      <colorScale>
        <cfvo type="min"/>
        <cfvo type="max"/>
        <color rgb="FFFCFCFF"/>
        <color theme="8" tint="0.39997558519241921"/>
      </colorScale>
    </cfRule>
  </conditionalFormatting>
  <conditionalFormatting sqref="S3">
    <cfRule type="colorScale" priority="45">
      <colorScale>
        <cfvo type="min"/>
        <cfvo type="max"/>
        <color rgb="FFFCFCFF"/>
        <color rgb="FF754BFB"/>
      </colorScale>
    </cfRule>
  </conditionalFormatting>
  <conditionalFormatting sqref="J3">
    <cfRule type="colorScale" priority="46">
      <colorScale>
        <cfvo type="min"/>
        <cfvo type="percentile" val="50"/>
        <cfvo type="max"/>
        <color rgb="FFF8696B"/>
        <color rgb="FFFFEB84"/>
        <color rgb="FF63BE7B"/>
      </colorScale>
    </cfRule>
  </conditionalFormatting>
  <conditionalFormatting sqref="CG3">
    <cfRule type="colorScale" priority="47">
      <colorScale>
        <cfvo type="min"/>
        <cfvo type="max"/>
        <color rgb="FFFCFCFF"/>
        <color rgb="FF63BE7B"/>
      </colorScale>
    </cfRule>
  </conditionalFormatting>
  <hyperlinks>
    <hyperlink ref="A2" r:id="rId1" display="https://fbref.com/en/country/BFA/Burkina-Faso-Football" xr:uid="{29F893D2-2D6D-4803-BCD0-BCEF6F91A922}"/>
    <hyperlink ref="E2" r:id="rId2" xr:uid="{926A4ACB-5358-42FE-B970-5B46E6FFA07B}"/>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29697" r:id="rId6"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29698" r:id="rId7"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29699" r:id="rId8"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F907F0-B99F-4805-BEC9-FA98DEE8B384}">
  <sheetPr codeName="Sheet40"/>
  <dimension ref="A1:IY11"/>
  <sheetViews>
    <sheetView zoomScale="70" zoomScaleNormal="70" workbookViewId="0">
      <pane xSplit="5" ySplit="1" topLeftCell="F2" activePane="bottomRight" state="frozen"/>
      <selection pane="topRight" activeCell="F1" sqref="F1"/>
      <selection pane="bottomLeft" activeCell="A2" sqref="A2"/>
      <selection pane="bottomRight" activeCell="M3" sqref="M3"/>
    </sheetView>
  </sheetViews>
  <sheetFormatPr defaultRowHeight="38.4" customHeight="1" x14ac:dyDescent="0.3"/>
  <cols>
    <col min="1" max="1" width="52.44140625" style="81" bestFit="1" customWidth="1"/>
    <col min="2" max="2" width="10.109375" style="81" customWidth="1"/>
    <col min="3" max="3" width="7.44140625" style="82" customWidth="1"/>
    <col min="4" max="4" width="4.77734375" style="83" customWidth="1"/>
    <col min="5" max="5" width="4.5546875" style="83" customWidth="1"/>
    <col min="6" max="6" width="5.77734375" style="83" customWidth="1"/>
    <col min="7" max="7" width="7.44140625" style="81" customWidth="1"/>
    <col min="8" max="8" width="11.44140625" style="81" customWidth="1"/>
    <col min="9" max="9" width="10" style="81" customWidth="1"/>
    <col min="10" max="10" width="4.21875" style="81" customWidth="1"/>
    <col min="11" max="11" width="5.6640625" style="83" customWidth="1"/>
    <col min="12" max="12" width="2.88671875" style="83" customWidth="1"/>
    <col min="13" max="13" width="6.44140625" style="83" customWidth="1"/>
    <col min="14" max="14" width="4.5546875" style="83" customWidth="1"/>
    <col min="15" max="15" width="10.5546875" style="84" customWidth="1"/>
    <col min="16" max="16" width="6.88671875" style="83" customWidth="1"/>
    <col min="17" max="17" width="4.77734375" style="83" customWidth="1"/>
    <col min="18" max="18" width="13.109375" style="82" customWidth="1"/>
    <col min="19" max="19" width="6.77734375" style="82" customWidth="1"/>
    <col min="20" max="46" width="8.44140625" style="81" customWidth="1"/>
    <col min="47" max="47" width="24.5546875" style="81" customWidth="1"/>
    <col min="48" max="51" width="16.6640625" style="81" customWidth="1"/>
    <col min="52" max="52" width="6.5546875" style="81" customWidth="1"/>
    <col min="53" max="54" width="5.88671875" style="81" customWidth="1"/>
    <col min="55" max="55" width="1.33203125" style="81" customWidth="1"/>
    <col min="56" max="56" width="7.44140625" style="81" customWidth="1"/>
    <col min="57" max="57" width="2.33203125" style="81" customWidth="1"/>
    <col min="58" max="62" width="6.109375" style="81" customWidth="1"/>
    <col min="63" max="63" width="2.33203125" style="81" customWidth="1"/>
    <col min="64" max="64" width="7" style="81" bestFit="1" customWidth="1"/>
    <col min="65" max="65" width="6.44140625" style="81" bestFit="1" customWidth="1"/>
    <col min="66" max="66" width="7.109375" style="81" bestFit="1" customWidth="1"/>
    <col min="67" max="71" width="6.44140625" style="81" bestFit="1" customWidth="1"/>
    <col min="72" max="73" width="6.44140625" style="81" customWidth="1"/>
    <col min="74" max="75" width="13.44140625" style="81" customWidth="1"/>
    <col min="76" max="84" width="14.6640625" style="81" customWidth="1"/>
    <col min="85" max="85" width="6.44140625" style="81" customWidth="1"/>
    <col min="86" max="87" width="11.6640625" style="81" bestFit="1" customWidth="1"/>
    <col min="88" max="88" width="11.6640625" style="81" customWidth="1"/>
    <col min="89" max="89" width="12.77734375" style="81" bestFit="1" customWidth="1"/>
    <col min="90" max="90" width="16.44140625" style="82" bestFit="1" customWidth="1"/>
    <col min="91" max="92" width="14.88671875" style="82" bestFit="1" customWidth="1"/>
    <col min="93" max="93" width="16" style="82" bestFit="1" customWidth="1"/>
    <col min="94" max="97" width="7.77734375" style="81" customWidth="1"/>
    <col min="98" max="98" width="33.21875" style="81" customWidth="1"/>
    <col min="99" max="99" width="18" style="81" customWidth="1"/>
    <col min="100" max="100" width="75.6640625" style="81" customWidth="1"/>
    <col min="101" max="125" width="33" style="81" customWidth="1"/>
    <col min="126" max="126" width="8.88671875" style="81"/>
    <col min="127" max="128" width="9.44140625" style="81" bestFit="1" customWidth="1"/>
    <col min="129" max="129" width="10.77734375" style="81" bestFit="1" customWidth="1"/>
    <col min="130" max="134" width="10.77734375" style="81" customWidth="1"/>
    <col min="135" max="135" width="10.109375" style="81" bestFit="1" customWidth="1"/>
    <col min="136" max="136" width="7.77734375" style="81" bestFit="1" customWidth="1"/>
    <col min="137" max="137" width="7.77734375" style="81" customWidth="1"/>
    <col min="138" max="138" width="9" style="81" bestFit="1" customWidth="1"/>
    <col min="139" max="139" width="11.33203125" style="81" bestFit="1" customWidth="1"/>
    <col min="140" max="140" width="9.109375" style="81" bestFit="1" customWidth="1"/>
    <col min="141" max="141" width="9" style="81" bestFit="1" customWidth="1"/>
    <col min="142" max="142" width="12" style="81" bestFit="1" customWidth="1"/>
    <col min="143" max="166" width="12" style="81" customWidth="1"/>
    <col min="167" max="167" width="17.21875" style="81" customWidth="1"/>
    <col min="168" max="191" width="12" style="81" customWidth="1"/>
    <col min="192" max="192" width="8.5546875" style="81" bestFit="1" customWidth="1"/>
    <col min="193" max="193" width="8.5546875" style="81" customWidth="1"/>
    <col min="194" max="194" width="7.109375" style="81" bestFit="1" customWidth="1"/>
    <col min="195" max="195" width="7.5546875" style="81" bestFit="1" customWidth="1"/>
    <col min="196" max="196" width="8.5546875" style="81" bestFit="1" customWidth="1"/>
    <col min="197" max="200" width="8.5546875" style="81" customWidth="1"/>
    <col min="201" max="201" width="188.88671875" style="81" customWidth="1"/>
    <col min="202" max="202" width="9.5546875" style="81" bestFit="1" customWidth="1"/>
    <col min="203" max="203" width="10.44140625" style="81" bestFit="1" customWidth="1"/>
    <col min="204" max="204" width="11.109375" style="81" bestFit="1" customWidth="1"/>
    <col min="205" max="205" width="10.44140625" style="81" bestFit="1" customWidth="1"/>
    <col min="206" max="210" width="10.44140625" style="81" customWidth="1"/>
    <col min="211" max="211" width="45.44140625" style="81" customWidth="1"/>
    <col min="212" max="212" width="47.5546875" style="81" bestFit="1" customWidth="1"/>
    <col min="213" max="213" width="9.33203125" style="85" customWidth="1"/>
    <col min="214" max="214" width="119.5546875" style="81" customWidth="1"/>
    <col min="215" max="215" width="69.6640625" style="81" customWidth="1"/>
    <col min="216" max="218" width="8.88671875" style="81"/>
    <col min="219" max="219" width="37.109375" style="81" customWidth="1"/>
    <col min="220" max="220" width="16.33203125" style="81" customWidth="1"/>
    <col min="221" max="222" width="8.88671875" style="81"/>
    <col min="223" max="223" width="10.109375" style="81" bestFit="1" customWidth="1"/>
    <col min="224" max="232" width="10.88671875" style="81" customWidth="1"/>
    <col min="233" max="234" width="30.77734375" style="81" customWidth="1"/>
    <col min="235" max="235" width="5.109375" style="81" customWidth="1"/>
    <col min="236" max="236" width="3" style="81" customWidth="1"/>
    <col min="237" max="245" width="6.77734375" style="86" customWidth="1"/>
    <col min="246" max="247" width="8.88671875" style="81"/>
    <col min="248" max="248" width="61.5546875" style="81" customWidth="1"/>
    <col min="249" max="253" width="8.88671875" style="81"/>
    <col min="254" max="254" width="9" style="81" customWidth="1"/>
    <col min="255" max="16384" width="8.88671875" style="8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787</v>
      </c>
      <c r="B2" s="40" t="e" vm="10">
        <v>#VALUE!</v>
      </c>
      <c r="C2" s="41">
        <v>1</v>
      </c>
      <c r="D2" s="42" t="s">
        <v>788</v>
      </c>
      <c r="E2" s="43" t="s">
        <v>789</v>
      </c>
      <c r="F2" s="44" t="s">
        <v>163</v>
      </c>
      <c r="G2" s="45">
        <f>COUNTIF($A$1:$A$8355,A2)</f>
        <v>1</v>
      </c>
      <c r="H2" s="46"/>
      <c r="I2" s="47" t="s">
        <v>790</v>
      </c>
      <c r="J2" s="48" t="str">
        <f>""</f>
        <v/>
      </c>
      <c r="K2" s="49">
        <v>13200000</v>
      </c>
      <c r="L2" s="50">
        <v>472000</v>
      </c>
      <c r="M2" s="50" t="s">
        <v>795</v>
      </c>
      <c r="N2" s="51" t="s">
        <v>180</v>
      </c>
      <c r="O2" s="52" t="s">
        <v>791</v>
      </c>
      <c r="P2" s="53" t="s">
        <v>792</v>
      </c>
      <c r="Q2" s="54">
        <v>1</v>
      </c>
      <c r="R2" s="55" t="s">
        <v>180</v>
      </c>
      <c r="S2" s="56">
        <v>2</v>
      </c>
      <c r="T2" s="57" t="s">
        <v>167</v>
      </c>
      <c r="U2" s="58" t="s">
        <v>167</v>
      </c>
      <c r="V2" s="58" t="s">
        <v>164</v>
      </c>
      <c r="W2" s="58" t="s">
        <v>164</v>
      </c>
      <c r="X2" s="58" t="s">
        <v>167</v>
      </c>
      <c r="Y2" s="58" t="s">
        <v>164</v>
      </c>
      <c r="Z2" s="58" t="s">
        <v>164</v>
      </c>
      <c r="AA2" s="58" t="s">
        <v>164</v>
      </c>
      <c r="AB2" s="58" t="s">
        <v>164</v>
      </c>
      <c r="AC2" s="58" t="s">
        <v>164</v>
      </c>
      <c r="AD2" s="58" t="s">
        <v>164</v>
      </c>
      <c r="AE2" s="58" t="s">
        <v>164</v>
      </c>
      <c r="AF2" s="59" t="s">
        <v>167</v>
      </c>
      <c r="AG2" s="59" t="s">
        <v>164</v>
      </c>
      <c r="AH2" s="59" t="s">
        <v>167</v>
      </c>
      <c r="AI2" s="59" t="s">
        <v>164</v>
      </c>
      <c r="AJ2" s="59" t="s">
        <v>164</v>
      </c>
      <c r="AK2" s="59" t="s">
        <v>164</v>
      </c>
      <c r="AL2" s="59" t="s">
        <v>164</v>
      </c>
      <c r="AM2" s="59" t="s">
        <v>164</v>
      </c>
      <c r="AN2" s="59" t="s">
        <v>164</v>
      </c>
      <c r="AO2" s="59" t="s">
        <v>164</v>
      </c>
      <c r="AP2" s="59" t="s">
        <v>164</v>
      </c>
      <c r="AQ2" s="59" t="s">
        <v>164</v>
      </c>
      <c r="AR2" s="59" t="s">
        <v>164</v>
      </c>
      <c r="AS2" s="59" t="s">
        <v>164</v>
      </c>
      <c r="AT2" s="60">
        <v>3</v>
      </c>
      <c r="AU2" s="59"/>
      <c r="AV2" s="59" t="str">
        <f>IF(LEFT(A2,1)="[",LEFT(A2,5)&amp;AU2&amp;A2,"")</f>
        <v/>
      </c>
      <c r="AW2" s="59" t="str">
        <f t="shared" ref="AW2" si="0">C2&amp;H2&amp;A2</f>
        <v>1Burundi</v>
      </c>
      <c r="AX2" s="61" t="str">
        <f>_xlfn.TEXTJOIN(";",TRUE,AU2:AW2)</f>
        <v>1Burundi</v>
      </c>
      <c r="AY2" s="61"/>
      <c r="AZ2" s="62" t="s">
        <v>154</v>
      </c>
      <c r="BA2" s="62" t="s">
        <v>153</v>
      </c>
      <c r="BB2" s="62"/>
      <c r="BC2" s="63"/>
      <c r="BD2" s="64" t="s">
        <v>154</v>
      </c>
      <c r="BE2" s="47"/>
      <c r="BF2" s="64"/>
      <c r="BG2" s="64"/>
      <c r="BH2" s="64"/>
      <c r="BI2" s="64"/>
      <c r="BJ2" s="64"/>
      <c r="BK2" s="47"/>
      <c r="BL2" s="64" t="s">
        <v>154</v>
      </c>
      <c r="BM2" s="64" t="s">
        <v>153</v>
      </c>
      <c r="BN2" s="64" t="s">
        <v>159</v>
      </c>
      <c r="BO2" s="64"/>
      <c r="BP2" s="64"/>
      <c r="BQ2" s="64"/>
      <c r="BR2" s="64"/>
      <c r="BS2" s="64"/>
      <c r="BT2" s="64"/>
      <c r="BU2" s="65"/>
      <c r="BV2" s="66" t="s">
        <v>165</v>
      </c>
      <c r="BW2" s="66" t="s">
        <v>166</v>
      </c>
      <c r="BX2" s="47"/>
      <c r="BY2" s="48" t="s">
        <v>167</v>
      </c>
      <c r="BZ2" s="48" t="s">
        <v>167</v>
      </c>
      <c r="CB2" s="6" t="s">
        <v>793</v>
      </c>
      <c r="CC2" s="6"/>
      <c r="CD2" s="67">
        <v>0</v>
      </c>
      <c r="CE2" s="67">
        <v>0</v>
      </c>
      <c r="CF2" s="67" t="e">
        <v>#REF!</v>
      </c>
      <c r="CG2" s="68" cm="1">
        <f t="array" ref="CG2">SUMPRODUCT(--(LEN(TRIM(BL2:BT2))&gt;0))</f>
        <v>3</v>
      </c>
      <c r="CH2" s="59" t="str">
        <f>IF(CG2=2,"y","n")</f>
        <v>n</v>
      </c>
      <c r="CI2" s="59" t="str">
        <f>IF(CG2=3,"y","n")</f>
        <v>y</v>
      </c>
      <c r="CJ2" s="59" t="str">
        <f>IF(CG2=4,"y","n")</f>
        <v>n</v>
      </c>
      <c r="CK2" s="59" t="str">
        <f>IF(CG2&gt;4,"y","n")</f>
        <v>n</v>
      </c>
      <c r="CL2" s="59" t="str">
        <f>IF(S2=0,"y","n")</f>
        <v>n</v>
      </c>
      <c r="CM2" s="59" t="str">
        <f>IF(S2=2,"y","n")</f>
        <v>y</v>
      </c>
      <c r="CN2" s="59" t="str">
        <f>IF(S2=3,"y","n")</f>
        <v>n</v>
      </c>
      <c r="CO2" s="59" t="str">
        <f>IF(S2&gt;=4,"y","n")</f>
        <v>n</v>
      </c>
      <c r="CP2" s="59" t="str">
        <f>IF(AT2=0,"y","n")</f>
        <v>n</v>
      </c>
      <c r="CQ2" s="59" t="str">
        <f>IF(AT2=1,"y","n")</f>
        <v>n</v>
      </c>
      <c r="CR2" s="59" t="str">
        <f>IF(AT2=2,"y","n")</f>
        <v>n</v>
      </c>
      <c r="CS2" s="59" t="str">
        <f>IF(AT2&gt;=3,"y","n")</f>
        <v>y</v>
      </c>
      <c r="CT2" s="69" t="str">
        <f>CHAR(34)&amp;A2&amp;CHAR(34)</f>
        <v>"Burundi"</v>
      </c>
      <c r="CU2" s="70" t="str">
        <f>CHAR(34)&amp;"rgn_"&amp;R2&amp;CHAR(34)</f>
        <v>"rgn_Africa"</v>
      </c>
      <c r="CV2" s="48" t="str">
        <f>CHAR(34)&amp;D2&amp;CHAR(34)</f>
        <v>"https://i.ibb.co/qNjcPNn/Burundi-Flag.png"</v>
      </c>
      <c r="CW2" s="48" t="str">
        <f>IF(CH2="y",CHAR(34)&amp;CH$1&amp;CHAR(34)&amp;",","")</f>
        <v/>
      </c>
      <c r="CX2" s="48" t="str">
        <f>IF(CI2="y",CHAR(34)&amp;CI$1&amp;CHAR(34)&amp;",","")</f>
        <v>"3Color",</v>
      </c>
      <c r="CY2" s="48" t="str">
        <f>IF(CJ2="y",CHAR(34)&amp;CJ$1&amp;CHAR(34)&amp;",","")</f>
        <v/>
      </c>
      <c r="CZ2" s="48" t="str">
        <f>IF(CK2="y",CHAR(34)&amp;CK$1&amp;CHAR(34)&amp;",","")</f>
        <v/>
      </c>
      <c r="DA2" s="48" t="str">
        <f>IF(Q2&gt;1,CHAR(34)&amp;"words2"&amp;CHAR(34)&amp;",","")</f>
        <v/>
      </c>
      <c r="DB2" s="48" t="str">
        <f>IF(Q2&gt;2,CHAR(34)&amp;"words3"&amp;CHAR(34)&amp;",","")</f>
        <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"lets07",</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"startB",</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"REEDHI",</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"dgband",</v>
      </c>
      <c r="DS2" s="6" t="str">
        <f>IF(W2="y",IF(AND(V2="n",BY2&lt;&gt;"y"),CHAR(34)&amp;"allver"&amp;CHAR(34)&amp;",",""),"")</f>
        <v/>
      </c>
      <c r="DT2" s="6" t="str">
        <f>IF(V2="y",IF(AND(W2="n",BY2&lt;&gt;"y"),CHAR(34)&amp;"allhor"&amp;CHAR(34)&amp;",",""),"")</f>
        <v/>
      </c>
      <c r="DU2" s="6" t="str">
        <f>IF(BY2="y",IF(AND(W2="n",V2="n"),CHAR(34)&amp;"alldia"&amp;CHAR(34)&amp;",",""),"")</f>
        <v>"alldia",</v>
      </c>
      <c r="DV2" s="48" t="str">
        <f>IF(IA2&lt;&gt;"",(IF(IA2="y",CHAR(34)&amp;"largec"&amp;CHAR(34)&amp;",",CHAR(34)&amp;"smallc"&amp;CHAR(34)&amp;",")),"")</f>
        <v>"largec",</v>
      </c>
      <c r="DW2" s="48" t="str">
        <f>IF(CL2="y",CHAR(34)&amp;CL$1&amp;CHAR(34)&amp;",","")</f>
        <v/>
      </c>
      <c r="DX2" s="48" t="str">
        <f>IF(CM2="y",CHAR(34)&amp;CM$1&amp;CHAR(34)&amp;",","")</f>
        <v>"2Bands",</v>
      </c>
      <c r="DY2" s="48" t="str">
        <f>IF(CN2="y",CHAR(34)&amp;CN$1&amp;CHAR(34)&amp;",","")</f>
        <v/>
      </c>
      <c r="DZ2" s="48" t="str">
        <f>IF(CO2="y",CHAR(34)&amp;CO$1&amp;CHAR(34)&amp;",","")</f>
        <v/>
      </c>
      <c r="EA2" s="48" t="str">
        <f>IF(T2="y",CHAR(34)&amp;T$1&amp;CHAR(34)&amp;",","")</f>
        <v>"Diagon",</v>
      </c>
      <c r="EB2" s="48" t="str">
        <f>IF(U2="y",CHAR(34)&amp;U$1&amp;CHAR(34)&amp;",","")</f>
        <v>"Crosse",</v>
      </c>
      <c r="EC2" s="48" t="str">
        <f>IF(V2="y",CHAR(34)&amp;V$1&amp;CHAR(34)&amp;",","")</f>
        <v/>
      </c>
      <c r="ED2" s="48" t="str">
        <f>IF(W2="y",CHAR(34)&amp;W$1&amp;CHAR(34)&amp;",","")</f>
        <v/>
      </c>
      <c r="EE2" s="48" t="str">
        <f>IF(X2="y",CHAR(34)&amp;X$1&amp;CHAR(34)&amp;",","")</f>
        <v>"Circle",</v>
      </c>
      <c r="EF2" s="48" t="str">
        <f>IF(AND(Y2&lt;&gt;"n",Y2&lt;&gt;""),CHAR(34)&amp;Y$1&amp;CHAR(34)&amp;",","")</f>
        <v/>
      </c>
      <c r="EG2" s="48" t="str">
        <f>IF(Z2="y",CHAR(34)&amp;Z$1&amp;CHAR(34)&amp;",","")</f>
        <v/>
      </c>
      <c r="EH2" s="48" t="str">
        <f>IF(AA2="y",CHAR(34)&amp;AA$1&amp;CHAR(34)&amp;",","")</f>
        <v/>
      </c>
      <c r="EI2" s="48" t="str">
        <f>IF(AB2="y",CHAR(34)&amp;AB$1&amp;CHAR(34)&amp;",","")</f>
        <v/>
      </c>
      <c r="EJ2" s="48" t="str">
        <f>IF(AC2="y",CHAR(34)&amp;AC$1&amp;CHAR(34)&amp;",","")</f>
        <v/>
      </c>
      <c r="EK2" s="48" t="str">
        <f>IF(AD2="y",CHAR(34)&amp;AD$1&amp;CHAR(34)&amp;",","")</f>
        <v/>
      </c>
      <c r="EL2" s="48" t="str">
        <f>IF(AE2="y",CHAR(34)&amp;AE$1&amp;CHAR(34)&amp;",","")</f>
        <v/>
      </c>
      <c r="EM2" s="48" t="str">
        <f>IF(AF2="y",CHAR(34)&amp;AF$1&amp;CHAR(34)&amp;",","")</f>
        <v>"Trside",</v>
      </c>
      <c r="EN2" s="48" t="str">
        <f>IF(AG2="y",CHAR(34)&amp;AG$1&amp;CHAR(34)&amp;",","")</f>
        <v/>
      </c>
      <c r="EO2" s="48" t="str">
        <f>IF(AH2="y",CHAR(34)&amp;AH$1&amp;CHAR(34)&amp;",","")</f>
        <v>"Center",</v>
      </c>
      <c r="EP2" s="48" t="str">
        <f>IF(AI2="y",CHAR(34)&amp;AI$1&amp;CHAR(34)&amp;",","")</f>
        <v/>
      </c>
      <c r="EQ2" s="48" t="str">
        <f>IF(AJ2="y",CHAR(34)&amp;AJ$1&amp;CHAR(34)&amp;",","")</f>
        <v/>
      </c>
      <c r="ER2" s="48" t="str">
        <f>IF(AK2="y",CHAR(34)&amp;AK$1&amp;CHAR(34)&amp;",","")</f>
        <v/>
      </c>
      <c r="ES2" s="48" t="str">
        <f>IF(AL2="y",CHAR(34)&amp;AL$1&amp;CHAR(34)&amp;",","")</f>
        <v/>
      </c>
      <c r="ET2" s="48" t="str">
        <f>IF(AM2="y",CHAR(34)&amp;AM$1&amp;CHAR(34)&amp;",","")</f>
        <v/>
      </c>
      <c r="EU2" s="48" t="str">
        <f>IF(AN2="y",CHAR(34)&amp;AN$1&amp;CHAR(34)&amp;",","")</f>
        <v/>
      </c>
      <c r="EV2" s="48" t="str">
        <f>IF(AO2="y",CHAR(34)&amp;AO$1&amp;CHAR(34)&amp;",","")</f>
        <v/>
      </c>
      <c r="EW2" s="48" t="str">
        <f>IF(AP2="y",CHAR(34)&amp;AP$1&amp;CHAR(34)&amp;",","")</f>
        <v/>
      </c>
      <c r="EX2" s="48" t="str">
        <f>IF(AQ2="y",CHAR(34)&amp;AQ$1&amp;CHAR(34)&amp;",","")</f>
        <v/>
      </c>
      <c r="EY2" s="48" t="str">
        <f>IF(AR2="y",CHAR(34)&amp;AR$1&amp;CHAR(34)&amp;",","")</f>
        <v/>
      </c>
      <c r="EZ2" s="48" t="str">
        <f>IF(AS2="y",CHAR(34)&amp;AS$1&amp;CHAR(34)&amp;",","")</f>
        <v/>
      </c>
      <c r="FA2" s="48" t="str">
        <f>IF(AT2&gt;0,CHAR(34)&amp;"sta"&amp;AZ2&amp;CHAR(34)&amp;",","")</f>
        <v>"staRED",</v>
      </c>
      <c r="FB2" s="48" t="str">
        <f>IF(AND(AT2&gt;0,BA2&lt;&gt;""),CHAR(34)&amp;"sta"&amp;BA2&amp;CHAR(34)&amp;",","")</f>
        <v>"staGRE",</v>
      </c>
      <c r="FC2" s="48" t="str">
        <f>IF(AND(AT2&gt;0,BB2&lt;&gt;""),CHAR(34)&amp;"sta"&amp;BB2&amp;CHAR(34)&amp;",","")</f>
        <v/>
      </c>
      <c r="FD2" s="48" t="str">
        <f>IF(BV2="n",CHAR(34)&amp;"tcWHYE"&amp;CHAR(34)&amp;",",IF(BV2="y",CHAR(34)&amp;FD$1&amp;CHAR(34)&amp;",",""))</f>
        <v/>
      </c>
      <c r="FE2" s="48" t="str">
        <f>IF(COUNTIF(BL2:BT2,"BLU")=0,CHAR(34)&amp;"NO_BLU"&amp;CHAR(34)&amp;",", "")</f>
        <v>"NO_BLU",</v>
      </c>
      <c r="FF2" s="48" t="str">
        <f>IF(COUNTIF(BL2:BT2,"WHI")=0,CHAR(34)&amp;"NO_WHI"&amp;CHAR(34)&amp;",", "")</f>
        <v/>
      </c>
      <c r="FG2" s="48" t="str">
        <f>IF(COUNTIF(BL2:BT2,"RED")=0,CHAR(34)&amp;"NO_RED"&amp;CHAR(34)&amp;",", "")</f>
        <v/>
      </c>
      <c r="FH2" s="48" t="str">
        <f>IF(COUNTIF(BL2:BS2,"GRE")=0,CHAR(34)&amp;"NO_GRE"&amp;CHAR(34)&amp;",", "")</f>
        <v/>
      </c>
      <c r="FI2" s="48" t="str">
        <f>IF(COUNTIF(BL2:BT2,"YEL")=0,CHAR(34)&amp;"NO_YEL"&amp;CHAR(34)&amp;",", "")</f>
        <v>"NO_YEL",</v>
      </c>
      <c r="FJ2" s="48" t="str">
        <f>IF(COUNTIF(BL2:BT2,"BLA")=0,CHAR(34)&amp;"NO_BLA"&amp;CHAR(34)&amp;",", "")</f>
        <v>"NO_BLA",</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
      </c>
      <c r="FP2" s="48" t="str">
        <f>IF(AND(FF2&lt;&gt;"",FF2&lt;&gt;""),CHAR(34)&amp;"WHRENO"&amp;CHAR(34)&amp;",","")</f>
        <v/>
      </c>
      <c r="FQ2" s="48" t="str">
        <f>IF(LEN(BF2)=3,CHAR(34)&amp;"001"&amp;BF2&amp;CHAR(34)&amp;",","")</f>
        <v/>
      </c>
      <c r="FR2" s="48" t="str">
        <f>IF(LEN(BG2)=3,CHAR(34)&amp;"002"&amp;BG2&amp;CHAR(34)&amp;",","")</f>
        <v/>
      </c>
      <c r="FS2" s="48" t="str">
        <f>IF(LEN(BH2)=3,CHAR(34)&amp;"003"&amp;BH2&amp;CHAR(34)&amp;",","")</f>
        <v/>
      </c>
      <c r="FT2" s="48" t="str">
        <f>CHAR(34)&amp;"myr"&amp;BD2&amp;CHAR(34)&amp;","</f>
        <v>"myrRED",</v>
      </c>
      <c r="FU2" s="48" t="str">
        <f>IF(AY2="y",CHAR(34)&amp;"island"&amp;CHAR(34)&amp;",","")</f>
        <v/>
      </c>
      <c r="FV2" s="48" t="str">
        <f>IF(BZ2="y",CHAR(34)&amp;"landlo"&amp;CHAR(34)&amp;",","")</f>
        <v>"landlo",</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"englis",</v>
      </c>
      <c r="GA2" s="48" t="str">
        <f>IFERROR(IF(SEARCH("French",CB2)&gt;0,CHAR(34)&amp;"french"&amp;CHAR(34)&amp;",",""),"")</f>
        <v>"french",</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
      </c>
      <c r="GK2" s="48" t="str">
        <f>IF(GJ2="",CHAR(34)&amp;"HasSta"&amp;CHAR(34)&amp;",","")</f>
        <v>"HasSta",</v>
      </c>
      <c r="GL2" s="48" t="str">
        <f>IF(CQ2="y",CHAR(34)&amp;CQ$1&amp;CHAR(34)&amp;",","")</f>
        <v/>
      </c>
      <c r="GM2" s="48" t="str">
        <f>IF(CR2="y",CHAR(34)&amp;CR$1&amp;CHAR(34)&amp;",","")</f>
        <v/>
      </c>
      <c r="GN2" s="48" t="str">
        <f>IF(CS2="y",CHAR(34)&amp;CS$1&amp;CHAR(34)&amp;",","")</f>
        <v>"3+Star",</v>
      </c>
      <c r="GP2" s="48" t="str">
        <f>CHAR(34)&amp;AU2&amp;CHAR(34)</f>
        <v>""</v>
      </c>
      <c r="GS2" s="48" t="str">
        <f>SUBSTITUTE("["&amp;_xlfn.CONCAT(CW2:GN2)&amp;"]",",]","]")</f>
        <v>["3Color","lets07","startB","REEDHI","year19","dgband","alldia","largec","2Bands","Diagon","Crosse","Circle","Trside","Center","staRED","staGRE","NO_BLU","NO_YEL","NO_BLA","myrRED","landlo","englis","french","HasSta","3+Star"]</v>
      </c>
      <c r="GT2" s="48" t="str">
        <f>IF(BL2&lt;&gt;"",CHAR(34)&amp;"cl_"&amp;BL2&amp;CHAR(34)&amp;",","")</f>
        <v>"cl_RED",</v>
      </c>
      <c r="GU2" s="48" t="str">
        <f>IF(BM2&lt;&gt;"",CHAR(34)&amp;"cl_"&amp;BM2&amp;CHAR(34)&amp;",","")</f>
        <v>"cl_GRE",</v>
      </c>
      <c r="GV2" s="48" t="str">
        <f>IF(BN2&lt;&gt;"",CHAR(34)&amp;"cl_"&amp;BN2&amp;CHAR(34)&amp;",","")</f>
        <v>"cl_WHI",</v>
      </c>
      <c r="GW2" s="48" t="str">
        <f>IF(BO2&lt;&gt;"",CHAR(34)&amp;"cl_"&amp;BO2&amp;CHAR(34)&amp;",","")</f>
        <v/>
      </c>
      <c r="GX2" s="48" t="str">
        <f>IF(BP2&lt;&gt;"",CHAR(34)&amp;"cl_"&amp;BP2&amp;CHAR(34)&amp;",","")</f>
        <v/>
      </c>
      <c r="GY2" s="48" t="str">
        <f>IF(BQ2&lt;&gt;"",CHAR(34)&amp;"cl_"&amp;BQ2&amp;CHAR(34)&amp;",","")</f>
        <v/>
      </c>
      <c r="GZ2" s="48" t="str">
        <f>IF(BR2&lt;&gt;"",CHAR(34)&amp;"cl_"&amp;BR2&amp;CHAR(34)&amp;",","")</f>
        <v/>
      </c>
      <c r="HA2" s="48" t="str">
        <f>IF(BS2&lt;&gt;"",CHAR(34)&amp;"cl_"&amp;BS2&amp;CHAR(34)&amp;",","")</f>
        <v/>
      </c>
      <c r="HB2" s="48" t="str">
        <f>IF(BT2&lt;&gt;"",CHAR(34)&amp;"cl_"&amp;BT2&amp;CHAR(34)&amp;",","")</f>
        <v/>
      </c>
      <c r="HC2" s="48" t="str">
        <f>SUBSTITUTE("["&amp;_xlfn.CONCAT(GT2:HB2)&amp;"]",",]","]")</f>
        <v>["cl_RED","cl_GRE","cl_WHI"]</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{couname:"Burundi",year:"1967, 1982 ",region:"rgn_Africa",Colors:["cl_RED","cl_GRE","cl_WHI"],Items:["3Color","lets07","startB","REEDHI","year19","dgband","alldia","largec","2Bands","Diagon","Crosse","Circle","Trside","Center","staRED","staGRE","NO_BLU","NO_YEL","NO_BLA","myrRED","landlo","englis","french","HasSta","3+Star"],Flag:"https://i.ibb.co/qNjcPNn/Burundi-Flag.png",HDFlag:"https://upload.wikimedia.org/wikipedia/commons/thumb/5/50/Flag_of_Burundi.svg/2560px-Flag_of_Burundi.svg.png",type:"", describe: "\nThe white color of the saltire represents peace, green represents the nation's hopes placed on future development, and red symbolizes the suffering of the nation during its freedom struggle. The three stars in triangular configuration stand for the three ethnic groups of Burundi: the Hutu, the Twa and the Tutsi. The three stars also stand for the three elements of the national motto: Unité, Travail, Progrès (Unity, Work and Progress),", isnew:".", links: "https://en.wikipedia.org/wiki/Flag_of_Burundi"},</v>
      </c>
      <c r="HG2" s="73" t="str">
        <f>"{couname:"&amp;CT2&amp;(IF(HK2&lt;&gt;"",",subtype:"&amp;CHAR(34)&amp;HK2&amp;CHAR(34),""))&amp;",year:"&amp;HJ2&amp;",region:"&amp;CU2&amp;",Colors:"&amp;HC2&amp;",Items:"&amp;GS2&amp;",Flag:"&amp;CV2&amp;",HDFlag:"&amp;CHAR(34)&amp;E2&amp;CHAR(34)&amp;",type:"&amp;GP2&amp;", describe: "&amp;HI2&amp;", links: "&amp;HL2&amp;"},"</f>
        <v>{couname:"Burundi",year:"1967, 1982 ",region:"rgn_Africa",Colors:["cl_RED","cl_GRE","cl_WHI"],Items:["3Color","lets07","startB","REEDHI","year19","dgband","alldia","largec","2Bands","Diagon","Crosse","Circle","Trside","Center","staRED","staGRE","NO_BLU","NO_YEL","NO_BLA","myrRED","landlo","englis","french","HasSta","3+Star"],Flag:"https://i.ibb.co/qNjcPNn/Burundi-Flag.png",HDFlag:"https://upload.wikimedia.org/wikipedia/commons/thumb/5/50/Flag_of_Burundi.svg/2560px-Flag_of_Burundi.svg.png",type:"", describe: "\nThe white color of the saltire represents peace, green represents the nation's hopes placed on future development, and red symbolizes the suffering of the nation during its freedom struggle. The three stars in triangular configuration stand for the three ethnic groups of Burundi: the Hutu, the Twa and the Tutsi. The three stars also stand for the three elements of the national motto: Unité, Travail, Progrès (Unity, Work and Progress),", links: "https://en.wikipedia.org/wiki/Flag_of_Burundi"},</v>
      </c>
      <c r="HH2" s="48" t="str">
        <f>IF(P2&lt;&gt;"",CHAR(34)&amp;"\n"&amp;P2&amp;CHAR(34),CHAR(34)&amp;CHAR(34))</f>
        <v>"\nThe white color of the saltire represents peace, green represents the nation's hopes placed on future development, and red symbolizes the suffering of the nation during its freedom struggle. The three stars in triangular configuration stand for the three ethnic groups of Burundi: the Hutu, the Twa and the Tutsi. The three stars also stand for the three elements of the national motto: Unité, Travail, Progrès (Unity, Work and Progress),"</v>
      </c>
      <c r="HI2" s="48" t="str">
        <f>IF(J2=0,CHAR(34)&amp;CHAR(34),HH2)</f>
        <v>"\nThe white color of the saltire represents peace, green represents the nation's hopes placed on future development, and red symbolizes the suffering of the nation during its freedom struggle. The three stars in triangular configuration stand for the three ethnic groups of Burundi: the Hutu, the Twa and the Tutsi. The three stars also stand for the three elements of the national motto: Unité, Travail, Progrès (Unity, Work and Progress),"</v>
      </c>
      <c r="HJ2" s="48" t="str">
        <f>CHAR(34)&amp;O2&amp;CHAR(34)</f>
        <v>"1967, 1982 "</v>
      </c>
      <c r="HL2" s="48" t="str">
        <f>CHAR(34)&amp;I2&amp;CHAR(34)</f>
        <v>"https://en.wikipedia.org/wiki/Flag_of_Burundi"</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{"couname":"Burundi","year":"1967, 1982 ","region":"rgn_Africa","Colors":["cl_RED","cl_GRE","cl_WHI"],"Items":["3Color","lets07","startB","REEDHI","year19","dgband","alldia","largec","2Bands","Diagon","Crosse","Circle","Trside","Center","staRED","staGRE","NO_BLU","NO_YEL","NO_BLA","myrRED","landlo","englis","french","HasSta","3+Star"],"Flag":"https://i.ibb.co/qNjcPNn/Burundi-Flag.png","HDFlag":"https://upload.wikimedia.org/wikipedia/commons/thumb/5/50/Flag_of_Burundi.svg/2560px-Flag_of_Burundi.svg.png","type":"", "describe": "\nThe white color of the saltire represents peace, green represents the nation's hopes placed on future development, and red symbolizes the suffering of the nation during its freedom struggle. The three stars in triangular configuration stand for the three ethnic groups of Burundi: the Hutu, the Twa and the Tutsi. The three stars also stand for the three elements of the national motto: Unité, Travail, Progrès (Unity, Work and Progress),", "isnew": ".", "links": "https://en.wikipedia.org/wiki/Flag_of_Burundi"},</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{"couname":"Burundi","year":"1967, 1982 ","region":"rgn_Africa","Colors":["cl_RED","cl_GRE","cl_WHI"],"Items":["3Color","lets07","startB","REEDHI","year19","dgband","alldia","largec","2Bands","Diagon","Crosse","Circle","Trside","Center","staRED","staGRE","NO_BLU","NO_YEL","NO_BLA","myrRED","landlo","englis","french","HasSta","3+Star"],"Flag":"https://i.ibb.co/qNjcPNn/Burundi-Flag.png","HDFlag":"https://upload.wikimedia.org/wikipedia/commons/thumb/5/50/Flag_of_Burundi.svg/2560px-Flag_of_Burundi.svg.png","type":"", "describe": "\nThe white color of the saltire represents peace, green represents the nation's hopes placed on future development, and red symbolizes the suffering of the nation during its freedom struggle. The three stars in triangular configuration stand for the three ethnic groups of Burundi: the Hutu, the Twa and the Tutsi. The three stars also stand for the three elements of the national motto: Unité, Travail, Progrès (Unity, Work and Progress),", "isnew": ".", "links": "https://en.wikipedia.org/wiki/Flag_of_Burundi"},</v>
      </c>
      <c r="HO2" s="75"/>
      <c r="HP2" s="48" t="str" cm="1">
        <f t="array" ref="HP2">IF(_xlfn.TEXTJOIN(", ", TRUE, IF(ISNUMBER(SEARCH("BLA", BL2:BT2)), COLUMN(BL2:BT2) - COLUMN(BL2) + 1, ""))&lt;&gt;"","BLA","")</f>
        <v/>
      </c>
      <c r="HQ2" s="48" t="str" cm="1">
        <f t="array" ref="HQ2">IF(_xlfn.TEXTJOIN(", ", TRUE, IF(ISNUMBER(SEARCH("BLU", BL2:BT2)), COLUMN(BL2:BT2) - COLUMN(BL2) + 1, ""))&lt;&gt;"","BLU","")</f>
        <v/>
      </c>
      <c r="HR2" s="48" t="str" cm="1">
        <f t="array" ref="HR2">IF(_xlfn.TEXTJOIN(", ", TRUE, IF(ISNUMBER(SEARCH("GRE", BL2:BT2)), COLUMN(BL2:BT2) - COLUMN(BL2) + 1, ""))&lt;&gt;"","GRE","")</f>
        <v>GRE</v>
      </c>
      <c r="HS2" s="48" t="str" cm="1">
        <f t="array" ref="HS2">IF(_xlfn.TEXTJOIN(", ", TRUE, IF(ISNUMBER(SEARCH("RED", BL2:BT2)), COLUMN(BL2:BT2) - COLUMN(BL2) + 1, ""))&lt;&gt;"","RED","")</f>
        <v>RED</v>
      </c>
      <c r="HT2" s="48" t="str" cm="1">
        <f t="array" ref="HT2">IF(_xlfn.TEXTJOIN(", ", TRUE, IF(ISNUMBER(SEARCH("YEL", BL2:BT2)), COLUMN(BL2:BT2) - COLUMN(BL2) + 1, ""))&lt;&gt;"","YEL","")</f>
        <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t="s">
        <v>167</v>
      </c>
      <c r="IB2" s="6" t="s">
        <v>164</v>
      </c>
      <c r="IC2" s="77"/>
      <c r="ID2" s="77"/>
      <c r="IE2" s="77"/>
      <c r="IF2" s="77"/>
      <c r="IG2" s="77"/>
      <c r="IH2" s="77"/>
      <c r="II2" s="77"/>
      <c r="IJ2" s="77"/>
      <c r="IK2" s="77"/>
      <c r="IL2" s="48">
        <f>SUM(IC2:IK2)</f>
        <v>0</v>
      </c>
      <c r="IM2" s="45">
        <f>COUNTIF(IC2:IK2,"&gt;0")-CG2</f>
        <v>-3</v>
      </c>
      <c r="IN2" s="78" t="str">
        <f>"http://mkweb.bcgsc.ca/color-summarizer/?url="&amp;D2&amp;"&amp;precision=low&amp;num_clusters="&amp;CG2&amp;"&amp;text=1"</f>
        <v>http://mkweb.bcgsc.ca/color-summarizer/?url=https://i.ibb.co/qNjcPNn/Burundi-Flag.png&amp;precision=low&amp;num_clusters=3&amp;text=1</v>
      </c>
      <c r="IO2" s="48" t="str">
        <f>IF(HP2&lt;&gt;"",CHAR(34)&amp;"black"&amp;CHAR(34),"")</f>
        <v/>
      </c>
      <c r="IP2" s="48" t="str">
        <f>IF(HQ2&lt;&gt;"",CHAR(34)&amp;"blue"&amp;CHAR(34),"")</f>
        <v/>
      </c>
      <c r="IQ2" s="48" t="str">
        <f>IF(HR2&lt;&gt;"",CHAR(34)&amp;"green"&amp;CHAR(34),"")</f>
        <v>"green"</v>
      </c>
      <c r="IR2" s="48" t="str">
        <f>IF(HS2&lt;&gt;"",CHAR(34)&amp;"red"&amp;CHAR(34),"")</f>
        <v>"red"</v>
      </c>
      <c r="IS2" s="48" t="str">
        <f>IF(HT2&lt;&gt;"",CHAR(34)&amp;"yellow"&amp;CHAR(34),"")</f>
        <v/>
      </c>
      <c r="IT2" s="48" t="str">
        <f>IF(HU2&lt;&gt;"",CHAR(34)&amp;"orange"&amp;CHAR(34),"")</f>
        <v/>
      </c>
      <c r="IU2" s="48" t="str">
        <f>IF(HV2&lt;&gt;"",CHAR(34)&amp;"brown"&amp;CHAR(34),"")</f>
        <v/>
      </c>
      <c r="IV2" s="48" t="str">
        <f>IF(HW2&lt;&gt;"",CHAR(34)&amp;"purple"&amp;CHAR(34),"")</f>
        <v/>
      </c>
      <c r="IW2" s="48" t="str">
        <f>IF(HX2&lt;&gt;"",CHAR(34)&amp;"white"&amp;CHAR(34),"")</f>
        <v>"white"</v>
      </c>
      <c r="IX2" s="48" t="str">
        <f>"{"&amp;CHAR(34)&amp;"url"&amp;CHAR(34)&amp;":"&amp;CHAR(34)&amp;IN2&amp;CHAR(34)&amp;","&amp;CHAR(34)&amp;"name"&amp;CHAR(34)&amp;":"&amp;CHAR(34)&amp;A2&amp;CHAR(34)&amp;"},"</f>
        <v>{"url":"http://mkweb.bcgsc.ca/color-summarizer/?url=https://i.ibb.co/qNjcPNn/Burundi-Flag.png&amp;precision=low&amp;num_clusters=3&amp;text=1","name":"Burundi"},</v>
      </c>
      <c r="IY2" s="48">
        <v>37</v>
      </c>
    </row>
    <row r="3" spans="1:259" s="48" customFormat="1" ht="38.4" customHeight="1" thickBot="1" x14ac:dyDescent="0.35">
      <c r="A3" s="80" t="s">
        <v>782</v>
      </c>
      <c r="B3" s="40" t="e" vm="11">
        <v>#VALUE!</v>
      </c>
      <c r="C3" s="41" t="s">
        <v>173</v>
      </c>
      <c r="D3" s="42" t="s">
        <v>783</v>
      </c>
      <c r="E3" s="43" t="s">
        <v>784</v>
      </c>
      <c r="F3" s="44" t="s">
        <v>163</v>
      </c>
      <c r="G3" s="45">
        <f>COUNTIF($A$1:$A$8359,A3)</f>
        <v>1</v>
      </c>
      <c r="H3" s="46" t="s">
        <v>794</v>
      </c>
      <c r="I3" s="47" t="s">
        <v>785</v>
      </c>
      <c r="J3" s="48" t="str">
        <f>""</f>
        <v/>
      </c>
      <c r="K3" s="49"/>
      <c r="L3" s="50"/>
      <c r="M3" s="50"/>
      <c r="N3" s="51" t="s">
        <v>180</v>
      </c>
      <c r="O3" s="52" t="s">
        <v>786</v>
      </c>
      <c r="P3" s="53" t="s">
        <v>633</v>
      </c>
      <c r="Q3" s="54">
        <v>1</v>
      </c>
      <c r="R3" s="55" t="s">
        <v>180</v>
      </c>
      <c r="S3" s="56">
        <v>3</v>
      </c>
      <c r="T3" s="57" t="s">
        <v>167</v>
      </c>
      <c r="U3" s="58" t="s">
        <v>164</v>
      </c>
      <c r="V3" s="58" t="s">
        <v>164</v>
      </c>
      <c r="W3" s="58" t="s">
        <v>164</v>
      </c>
      <c r="X3" s="58" t="s">
        <v>164</v>
      </c>
      <c r="Y3" s="58" t="s">
        <v>164</v>
      </c>
      <c r="Z3" s="58" t="s">
        <v>164</v>
      </c>
      <c r="AA3" s="58" t="s">
        <v>164</v>
      </c>
      <c r="AB3" s="58" t="s">
        <v>164</v>
      </c>
      <c r="AC3" s="58" t="s">
        <v>164</v>
      </c>
      <c r="AD3" s="58" t="s">
        <v>164</v>
      </c>
      <c r="AE3" s="58" t="s">
        <v>164</v>
      </c>
      <c r="AF3" s="59" t="s">
        <v>164</v>
      </c>
      <c r="AG3" s="59" t="s">
        <v>164</v>
      </c>
      <c r="AH3" s="59" t="s">
        <v>164</v>
      </c>
      <c r="AI3" s="59" t="s">
        <v>164</v>
      </c>
      <c r="AJ3" s="59" t="s">
        <v>164</v>
      </c>
      <c r="AK3" s="59" t="s">
        <v>167</v>
      </c>
      <c r="AL3" s="59" t="s">
        <v>164</v>
      </c>
      <c r="AM3" s="59" t="s">
        <v>164</v>
      </c>
      <c r="AN3" s="59" t="s">
        <v>164</v>
      </c>
      <c r="AO3" s="59" t="s">
        <v>164</v>
      </c>
      <c r="AP3" s="59" t="s">
        <v>164</v>
      </c>
      <c r="AQ3" s="59" t="s">
        <v>164</v>
      </c>
      <c r="AR3" s="59" t="s">
        <v>167</v>
      </c>
      <c r="AS3" s="59" t="s">
        <v>164</v>
      </c>
      <c r="AT3" s="60">
        <v>0</v>
      </c>
      <c r="AU3" s="59" t="s">
        <v>174</v>
      </c>
      <c r="AV3" s="59" t="str">
        <f>IF(LEFT(A3,1)="[",LEFT(A3,5)&amp;AU3&amp;A3,"")</f>
        <v>[BDI]Historical[BDI] Martyazo</v>
      </c>
      <c r="AW3" s="59" t="str">
        <f t="shared" ref="AW3" si="1">C3&amp;H3&amp;A3</f>
        <v>3b[BDI] Other[BDI] Martyazo</v>
      </c>
      <c r="AX3" s="61"/>
      <c r="AY3" s="61"/>
      <c r="AZ3" s="62"/>
      <c r="BA3" s="62"/>
      <c r="BB3" s="62"/>
      <c r="BC3" s="63"/>
      <c r="BD3" s="64" t="s">
        <v>153</v>
      </c>
      <c r="BE3" s="47"/>
      <c r="BF3" s="64" t="s">
        <v>153</v>
      </c>
      <c r="BG3" s="64" t="s">
        <v>154</v>
      </c>
      <c r="BH3" s="64" t="s">
        <v>153</v>
      </c>
      <c r="BI3" s="64"/>
      <c r="BJ3" s="64"/>
      <c r="BK3" s="47"/>
      <c r="BL3" s="64" t="s">
        <v>153</v>
      </c>
      <c r="BM3" s="64" t="s">
        <v>154</v>
      </c>
      <c r="BN3" s="64"/>
      <c r="BO3" s="64"/>
      <c r="BP3" s="64"/>
      <c r="BQ3" s="64"/>
      <c r="BR3" s="64"/>
      <c r="BS3" s="64"/>
      <c r="BT3" s="64"/>
      <c r="BU3" s="65"/>
      <c r="BV3" s="66"/>
      <c r="BW3" s="66">
        <v>0</v>
      </c>
      <c r="BX3" s="47"/>
      <c r="BY3" s="48" t="s">
        <v>167</v>
      </c>
      <c r="CB3" s="6"/>
      <c r="CC3" s="6"/>
      <c r="CD3" s="67">
        <v>0</v>
      </c>
      <c r="CE3" s="67">
        <v>0</v>
      </c>
      <c r="CF3" s="67" t="e">
        <v>#REF!</v>
      </c>
      <c r="CG3" s="68" cm="1">
        <f t="array" ref="CG3">SUMPRODUCT(--(LEN(TRIM(BL3:BT3))&gt;0))</f>
        <v>2</v>
      </c>
      <c r="CH3" s="59" t="str">
        <f>IF(CG3=2,"y","n")</f>
        <v>y</v>
      </c>
      <c r="CI3" s="59" t="str">
        <f>IF(CG3=3,"y","n")</f>
        <v>n</v>
      </c>
      <c r="CJ3" s="59" t="str">
        <f>IF(CG3=4,"y","n")</f>
        <v>n</v>
      </c>
      <c r="CK3" s="59" t="str">
        <f>IF(CG3&gt;4,"y","n")</f>
        <v>n</v>
      </c>
      <c r="CL3" s="59" t="str">
        <f>IF(S3=0,"y","n")</f>
        <v>n</v>
      </c>
      <c r="CM3" s="59" t="str">
        <f>IF(S3=2,"y","n")</f>
        <v>n</v>
      </c>
      <c r="CN3" s="59" t="str">
        <f>IF(S3=3,"y","n")</f>
        <v>y</v>
      </c>
      <c r="CO3" s="59" t="str">
        <f>IF(S3&gt;=4,"y","n")</f>
        <v>n</v>
      </c>
      <c r="CP3" s="59" t="str">
        <f>IF(AT3=0,"y","n")</f>
        <v>y</v>
      </c>
      <c r="CQ3" s="59" t="str">
        <f>IF(AT3=1,"y","n")</f>
        <v>n</v>
      </c>
      <c r="CR3" s="59" t="str">
        <f>IF(AT3=2,"y","n")</f>
        <v>n</v>
      </c>
      <c r="CS3" s="59" t="str">
        <f>IF(AT3&gt;=3,"y","n")</f>
        <v>n</v>
      </c>
      <c r="CT3" s="69" t="str">
        <f>CHAR(34)&amp;A3&amp;CHAR(34)</f>
        <v>"[BDI] Martyazo"</v>
      </c>
      <c r="CU3" s="70" t="str">
        <f>CHAR(34)&amp;"rgn_"&amp;R3&amp;CHAR(34)</f>
        <v>"rgn_Africa"</v>
      </c>
      <c r="CV3" s="48" t="str">
        <f>CHAR(34)&amp;D3&amp;CHAR(34)</f>
        <v>"https://upload.wikimedia.org/wikipedia/commons/thumb/1/1f/Flag_of_Martyazo.svg/640px-Flag_of_Martyazo.svg.png"</v>
      </c>
      <c r="CW3" s="48" t="str">
        <f>IF(CH3="y",CHAR(34)&amp;CH$1&amp;CHAR(34)&amp;",","")</f>
        <v>"2Color",</v>
      </c>
      <c r="CX3" s="48" t="str">
        <f>IF(CI3="y",CHAR(34)&amp;CI$1&amp;CHAR(34)&amp;",","")</f>
        <v/>
      </c>
      <c r="CY3" s="48" t="str">
        <f>IF(CJ3="y",CHAR(34)&amp;CJ$1&amp;CHAR(34)&amp;",","")</f>
        <v/>
      </c>
      <c r="CZ3" s="48" t="str">
        <f>IF(CK3="y",CHAR(34)&amp;CK$1&amp;CHAR(34)&amp;",","")</f>
        <v/>
      </c>
      <c r="DA3" s="48" t="str">
        <f>IF(Q3&gt;1,CHAR(34)&amp;"words2"&amp;CHAR(34)&amp;",","")</f>
        <v/>
      </c>
      <c r="DB3" s="48" t="str">
        <f>IF(Q3&gt;2,CHAR(34)&amp;"words3"&amp;CHAR(34)&amp;",","")</f>
        <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"lets08",</v>
      </c>
      <c r="DE3" s="48" t="str">
        <f>CHAR(34)&amp;"start"&amp;IFERROR(LEFT(SUBSTITUTE(A3,"["&amp;MID(A3,FIND("[",A3)+1,FIND("]",A3)-FIND("[",A3)-1)&amp;"] ",""),1),LEFT(A3,1))&amp;CHAR(34)&amp;","</f>
        <v>"startM",</v>
      </c>
      <c r="DF3" s="48" t="str">
        <f>IFERROR(IF(SEARCH("tan",A3)&gt;0,CHAR(34)&amp;"withtn"&amp;CHAR(34)&amp;",",""),"")</f>
        <v/>
      </c>
      <c r="DG3" s="48" t="str">
        <f>IFERROR(IF(SEARCH("q",A3)&gt;0,CHAR(34)&amp;"with_q"&amp;CHAR(34)&amp;",",""),"")</f>
        <v/>
      </c>
      <c r="DH3" s="48" t="str">
        <f>IFERROR(IF(SEARCH("v",A3)&gt;0,CHAR(34)&amp;"with_v"&amp;CHAR(34)&amp;",",""),"")</f>
        <v/>
      </c>
      <c r="DI3" s="48" t="str">
        <f>IFERROR(IF(SEARCH("w",A3)&gt;0,CHAR(34)&amp;"with_w"&amp;CHAR(34)&amp;",",""),"")</f>
        <v/>
      </c>
      <c r="DJ3" s="48" t="str">
        <f>IFERROR(IF(SEARCH("y",A3)&gt;0,CHAR(34)&amp;"with_y"&amp;CHAR(34)&amp;",",""),"")</f>
        <v>"with_y",</v>
      </c>
      <c r="DK3" s="48" t="str">
        <f>IFERROR(IF(SEARCH("z",A3)&gt;0,CHAR(34)&amp;"with_z"&amp;CHAR(34)&amp;",",""),"")</f>
        <v>"with_z",</v>
      </c>
      <c r="DL3" s="48" t="str">
        <f>IF(CG3=2, CHAR(34) &amp; _xlfn.TEXTJOIN("", TRUE, _xlfn._xlws.SORT(HP3:HX3)) &amp; CHAR(34) &amp; ",", "")</f>
        <v>"GRERED",</v>
      </c>
      <c r="DM3" s="48" t="str" cm="1">
        <f t="array" ref="DM3">IF(CG3=3,CHAR(34) &amp; _xlfn.TEXTJOIN("", TRUE, RIGHT(HP3:HX3, 2)) &amp; CHAR(34) &amp; ",", "")</f>
        <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"year19",</v>
      </c>
      <c r="DP3" s="6" t="str">
        <f>IF(AND(ISNUMBER(SEARCH("20", O3)), ISERROR(SEARCH("1920", O3))), CHAR(34)&amp;"year00"&amp;CHAR(34)&amp;",", "")</f>
        <v/>
      </c>
      <c r="DQ3" s="6" t="str">
        <f>IF(CC3="y",CHAR(34)&amp;"soviet"&amp;CHAR(34)&amp;",","")</f>
        <v/>
      </c>
      <c r="DR3" s="6" t="str">
        <f>IF(BY3="y",CHAR(34)&amp;"dgband"&amp;CHAR(34)&amp;",","")</f>
        <v>"dgband",</v>
      </c>
      <c r="DS3" s="6" t="str">
        <f>IF(W3="y",IF(AND(V3="n",BY3&lt;&gt;"y"),CHAR(34)&amp;"allver"&amp;CHAR(34)&amp;",",""),"")</f>
        <v/>
      </c>
      <c r="DT3" s="6" t="str">
        <f>IF(V3="y",IF(AND(W3="n",BY3&lt;&gt;"y"),CHAR(34)&amp;"allhor"&amp;CHAR(34)&amp;",",""),"")</f>
        <v/>
      </c>
      <c r="DU3" s="6" t="str">
        <f>IF(BY3="y",IF(AND(W3="n",V3="n"),CHAR(34)&amp;"alldia"&amp;CHAR(34)&amp;",",""),"")</f>
        <v>"alldia",</v>
      </c>
      <c r="DW3" s="48" t="str">
        <f>IF(CL3="y",CHAR(34)&amp;CL$1&amp;CHAR(34)&amp;",","")</f>
        <v/>
      </c>
      <c r="DX3" s="48" t="str">
        <f>IF(CM3="y",CHAR(34)&amp;CM$1&amp;CHAR(34)&amp;",","")</f>
        <v/>
      </c>
      <c r="DY3" s="48" t="str">
        <f>IF(CN3="y",CHAR(34)&amp;CN$1&amp;CHAR(34)&amp;",","")</f>
        <v>"3Bands",</v>
      </c>
      <c r="DZ3" s="48" t="str">
        <f>IF(CO3="y",CHAR(34)&amp;CO$1&amp;CHAR(34)&amp;",","")</f>
        <v/>
      </c>
      <c r="EA3" s="48" t="str">
        <f>IF(T3="y",CHAR(34)&amp;T$1&amp;CHAR(34)&amp;",","")</f>
        <v>"Diagon",</v>
      </c>
      <c r="EB3" s="48" t="str">
        <f>IF(U3="y",CHAR(34)&amp;U$1&amp;CHAR(34)&amp;",","")</f>
        <v/>
      </c>
      <c r="EC3" s="48" t="str">
        <f>IF(V3="y",CHAR(34)&amp;V$1&amp;CHAR(34)&amp;",","")</f>
        <v/>
      </c>
      <c r="ED3" s="48" t="str">
        <f>IF(W3="y",CHAR(34)&amp;W$1&amp;CHAR(34)&amp;",","")</f>
        <v/>
      </c>
      <c r="EE3" s="48" t="str">
        <f>IF(X3="y",CHAR(34)&amp;X$1&amp;CHAR(34)&amp;",","")</f>
        <v/>
      </c>
      <c r="EF3" s="48" t="str">
        <f>IF(AND(Y3&lt;&gt;"n",Y3&lt;&gt;""),CHAR(34)&amp;Y$1&amp;CHAR(34)&amp;",","")</f>
        <v/>
      </c>
      <c r="EG3" s="48" t="str">
        <f>IF(Z3="y",CHAR(34)&amp;Z$1&amp;CHAR(34)&amp;",","")</f>
        <v/>
      </c>
      <c r="EH3" s="48" t="str">
        <f>IF(AA3="y",CHAR(34)&amp;AA$1&amp;CHAR(34)&amp;",","")</f>
        <v/>
      </c>
      <c r="EI3" s="48" t="str">
        <f>IF(AB3="y",CHAR(34)&amp;AB$1&amp;CHAR(34)&amp;",","")</f>
        <v/>
      </c>
      <c r="EJ3" s="48" t="str">
        <f>IF(AC3="y",CHAR(34)&amp;AC$1&amp;CHAR(34)&amp;",","")</f>
        <v/>
      </c>
      <c r="EK3" s="48" t="str">
        <f>IF(AD3="y",CHAR(34)&amp;AD$1&amp;CHAR(34)&amp;",","")</f>
        <v/>
      </c>
      <c r="EL3" s="48" t="str">
        <f>IF(AE3="y",CHAR(34)&amp;AE$1&amp;CHAR(34)&amp;",","")</f>
        <v/>
      </c>
      <c r="EM3" s="48" t="str">
        <f>IF(AF3="y",CHAR(34)&amp;AF$1&amp;CHAR(34)&amp;",","")</f>
        <v/>
      </c>
      <c r="EN3" s="48" t="str">
        <f>IF(AG3="y",CHAR(34)&amp;AG$1&amp;CHAR(34)&amp;",","")</f>
        <v/>
      </c>
      <c r="EO3" s="48" t="str">
        <f>IF(AH3="y",CHAR(34)&amp;AH$1&amp;CHAR(34)&amp;",","")</f>
        <v/>
      </c>
      <c r="EP3" s="48" t="str">
        <f>IF(AI3="y",CHAR(34)&amp;AI$1&amp;CHAR(34)&amp;",","")</f>
        <v/>
      </c>
      <c r="EQ3" s="48" t="str">
        <f>IF(AJ3="y",CHAR(34)&amp;AJ$1&amp;CHAR(34)&amp;",","")</f>
        <v/>
      </c>
      <c r="ER3" s="48" t="str">
        <f>IF(AK3="y",CHAR(34)&amp;AK$1&amp;CHAR(34)&amp;",","")</f>
        <v>"OnlyBa",</v>
      </c>
      <c r="ES3" s="48" t="str">
        <f>IF(AL3="y",CHAR(34)&amp;AL$1&amp;CHAR(34)&amp;",","")</f>
        <v/>
      </c>
      <c r="ET3" s="48" t="str">
        <f>IF(AM3="y",CHAR(34)&amp;AM$1&amp;CHAR(34)&amp;",","")</f>
        <v/>
      </c>
      <c r="EU3" s="48" t="str">
        <f>IF(AN3="y",CHAR(34)&amp;AN$1&amp;CHAR(34)&amp;",","")</f>
        <v/>
      </c>
      <c r="EV3" s="48" t="str">
        <f>IF(AO3="y",CHAR(34)&amp;AO$1&amp;CHAR(34)&amp;",","")</f>
        <v/>
      </c>
      <c r="EW3" s="48" t="str">
        <f>IF(AP3="y",CHAR(34)&amp;AP$1&amp;CHAR(34)&amp;",","")</f>
        <v/>
      </c>
      <c r="EX3" s="48" t="str">
        <f>IF(AQ3="y",CHAR(34)&amp;AQ$1&amp;CHAR(34)&amp;",","")</f>
        <v/>
      </c>
      <c r="EY3" s="48" t="str">
        <f>IF(AR3="y",CHAR(34)&amp;AR$1&amp;CHAR(34)&amp;",","")</f>
        <v>"Rotate",</v>
      </c>
      <c r="EZ3" s="48" t="str">
        <f>IF(AS3="y",CHAR(34)&amp;AS$1&amp;CHAR(34)&amp;",","")</f>
        <v/>
      </c>
      <c r="FA3" s="48" t="str">
        <f>IF(AT3&gt;0,CHAR(34)&amp;"sta"&amp;AZ3&amp;CHAR(34)&amp;",","")</f>
        <v/>
      </c>
      <c r="FB3" s="48" t="str">
        <f>IF(AND(AT3&gt;0,BA3&lt;&gt;""),CHAR(34)&amp;"sta"&amp;BA3&amp;CHAR(34)&amp;",","")</f>
        <v/>
      </c>
      <c r="FD3" s="48" t="str">
        <f>IF(BV3="n",CHAR(34)&amp;"tcWHYE"&amp;CHAR(34)&amp;",",IF(BV3="y",CHAR(34)&amp;FD$1&amp;CHAR(34)&amp;",",""))</f>
        <v/>
      </c>
      <c r="FE3" s="48" t="str">
        <f>IF(COUNTIF(BL3:BT3,"BLU")=0,CHAR(34)&amp;"NO_BLU"&amp;CHAR(34)&amp;",", "")</f>
        <v>"NO_BLU",</v>
      </c>
      <c r="FF3" s="48" t="str">
        <f>IF(COUNTIF(BL3:BT3,"WHI")=0,CHAR(34)&amp;"NO_WHI"&amp;CHAR(34)&amp;",", "")</f>
        <v>"NO_WHI",</v>
      </c>
      <c r="FG3" s="48" t="str">
        <f>IF(COUNTIF(BL3:BT3,"RED")=0,CHAR(34)&amp;"NO_RED"&amp;CHAR(34)&amp;",", "")</f>
        <v/>
      </c>
      <c r="FH3" s="48" t="str">
        <f>IF(COUNTIF(BL3:BS3,"GRE")=0,CHAR(34)&amp;"NO_GRE"&amp;CHAR(34)&amp;",", "")</f>
        <v/>
      </c>
      <c r="FI3" s="48" t="str">
        <f>IF(COUNTIF(BL3:BT3,"YEL")=0,CHAR(34)&amp;"NO_YEL"&amp;CHAR(34)&amp;",", "")</f>
        <v>"NO_YEL",</v>
      </c>
      <c r="FJ3" s="48" t="str">
        <f>IF(COUNTIF(BL3:BT3,"BLA")=0,CHAR(34)&amp;"NO_BLA"&amp;CHAR(34)&amp;",", "")</f>
        <v>"NO_BLA",</v>
      </c>
      <c r="FK3" s="48" t="str">
        <f>IF(AND(FH3&lt;&gt;"",FF3&lt;&gt;""),CHAR(34)&amp;"WHGRNO"&amp;CHAR(34)&amp;",","")</f>
        <v/>
      </c>
      <c r="FL3" s="48" t="str">
        <f>IF(AND(FI3&lt;&gt;"",FF3&lt;&gt;""),CHAR(34)&amp;"WHYENO"&amp;CHAR(34)&amp;",","")</f>
        <v>"WHYENO",</v>
      </c>
      <c r="FM3" s="48" t="str">
        <f>IF(AND(FJ3&lt;&gt;"",FF3&lt;&gt;""),CHAR(34)&amp;"BAWHNO"&amp;CHAR(34)&amp;",","")</f>
        <v>"BAWHNO",</v>
      </c>
      <c r="FN3" s="48" t="str">
        <f>IF(AND(FE3&lt;&gt;"",FF3&lt;&gt;""),CHAR(34)&amp;"BLWHNO"&amp;CHAR(34)&amp;",","")</f>
        <v>"BLWHNO",</v>
      </c>
      <c r="FO3" s="48" t="str">
        <f>IF(AND(FE3&lt;&gt;"",FG3&lt;&gt;""),CHAR(34)&amp;"BLRENO"&amp;CHAR(34)&amp;",","")</f>
        <v/>
      </c>
      <c r="FP3" s="48" t="str">
        <f>IF(AND(FF3&lt;&gt;"",FF3&lt;&gt;""),CHAR(34)&amp;"WHRENO"&amp;CHAR(34)&amp;",","")</f>
        <v>"WHRENO",</v>
      </c>
      <c r="FQ3" s="48" t="str">
        <f>IF(LEN(BF3)=3,CHAR(34)&amp;"001"&amp;BF3&amp;CHAR(34)&amp;",","")</f>
        <v>"001GRE",</v>
      </c>
      <c r="FR3" s="48" t="str">
        <f>IF(LEN(BG3)=3,CHAR(34)&amp;"002"&amp;BG3&amp;CHAR(34)&amp;",","")</f>
        <v>"002RED",</v>
      </c>
      <c r="FS3" s="48" t="str">
        <f>IF(LEN(BH3)=3,CHAR(34)&amp;"003"&amp;BH3&amp;CHAR(34)&amp;",","")</f>
        <v>"003GRE",</v>
      </c>
      <c r="FT3" s="48" t="str">
        <f>CHAR(34)&amp;"myr"&amp;BD3&amp;CHAR(34)&amp;","</f>
        <v>"myrGRE",</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"histor",</v>
      </c>
      <c r="GG3" s="48" t="str">
        <f>IF(BU3="y",CHAR(34)&amp;"unjack"&amp;CHAR(34)&amp;",","")</f>
        <v/>
      </c>
      <c r="GH3" s="48" t="str">
        <f>IF(CD3=1,CHAR(34)&amp;"southc"&amp;CHAR(34)&amp;",","")</f>
        <v/>
      </c>
      <c r="GI3" s="48" t="str">
        <f>IF(CE3=1,CHAR(34)&amp;"hasmap"&amp;CHAR(34)&amp;",","")</f>
        <v/>
      </c>
      <c r="GJ3" s="48" t="str">
        <f>IF(CP3="y",CHAR(34)&amp;CP$1&amp;CHAR(34)&amp;",","")</f>
        <v>"NoStar",</v>
      </c>
      <c r="GK3" s="48" t="str">
        <f>IF(GJ3="",CHAR(34)&amp;"HasSta"&amp;CHAR(34)&amp;",","")</f>
        <v/>
      </c>
      <c r="GL3" s="48" t="str">
        <f>IF(CQ3="y",CHAR(34)&amp;CQ$1&amp;CHAR(34)&amp;",","")</f>
        <v/>
      </c>
      <c r="GM3" s="48" t="str">
        <f>IF(CR3="y",CHAR(34)&amp;CR$1&amp;CHAR(34)&amp;",","")</f>
        <v/>
      </c>
      <c r="GN3" s="48" t="str">
        <f>IF(CS3="y",CHAR(34)&amp;CS$1&amp;CHAR(34)&amp;",","")</f>
        <v/>
      </c>
      <c r="GP3" s="48" t="str">
        <f>CHAR(34)&amp;AU3&amp;CHAR(34)</f>
        <v>"Historical"</v>
      </c>
      <c r="GS3" s="48" t="str">
        <f>SUBSTITUTE("["&amp;_xlfn.CONCAT(CW3:GN3)&amp;"]",",]","]")</f>
        <v>["2Color","lets08","startM","with_y","with_z","GRERED","year19","dgband","alldia","3Bands","Diagon","OnlyBa","Rotate","NO_BLU","NO_WHI","NO_YEL","NO_BLA","WHYENO","BAWHNO","BLWHNO","WHRENO","001GRE","002RED","003GRE","myrGRE","histor","NoStar"]</v>
      </c>
      <c r="GT3" s="48" t="str">
        <f>IF(BL3&lt;&gt;"",CHAR(34)&amp;"cl_"&amp;BL3&amp;CHAR(34)&amp;",","")</f>
        <v>"cl_GRE",</v>
      </c>
      <c r="GU3" s="48" t="str">
        <f>IF(BM3&lt;&gt;"",CHAR(34)&amp;"cl_"&amp;BM3&amp;CHAR(34)&amp;",","")</f>
        <v>"cl_RED",</v>
      </c>
      <c r="GV3" s="48" t="str">
        <f>IF(BN3&lt;&gt;"",CHAR(34)&amp;"cl_"&amp;BN3&amp;CHAR(34)&amp;",","")</f>
        <v/>
      </c>
      <c r="GW3" s="48" t="str">
        <f>IF(BO3&lt;&gt;"",CHAR(34)&amp;"cl_"&amp;BO3&amp;CHAR(34)&amp;",","")</f>
        <v/>
      </c>
      <c r="GX3" s="48" t="str">
        <f>IF(BP3&lt;&gt;"",CHAR(34)&amp;"cl_"&amp;BP3&amp;CHAR(34)&amp;",","")</f>
        <v/>
      </c>
      <c r="GY3" s="48" t="str">
        <f>IF(BQ3&lt;&gt;"",CHAR(34)&amp;"cl_"&amp;BQ3&amp;CHAR(34)&amp;",","")</f>
        <v/>
      </c>
      <c r="GZ3" s="48" t="str">
        <f>IF(BR3&lt;&gt;"",CHAR(34)&amp;"cl_"&amp;BR3&amp;CHAR(34)&amp;",","")</f>
        <v/>
      </c>
      <c r="HA3" s="48" t="str">
        <f>IF(BS3&lt;&gt;"",CHAR(34)&amp;"cl_"&amp;BS3&amp;CHAR(34)&amp;",","")</f>
        <v/>
      </c>
      <c r="HB3" s="48" t="str">
        <f>IF(BT3&lt;&gt;"",CHAR(34)&amp;"cl_"&amp;BT3&amp;CHAR(34)&amp;",","")</f>
        <v/>
      </c>
      <c r="HC3" s="48" t="str">
        <f>SUBSTITUTE("["&amp;_xlfn.CONCAT(GT3:HB3)&amp;"]",",]","]")</f>
        <v>["cl_GRE","cl_RED"]</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{couname:"[BDI] Martyazo",year:"1972",region:"rgn_Africa",Colors:["cl_GRE","cl_RED"],Items:["2Color","lets08","startM","with_y","with_z","GRERED","year19","dgband","alldia","3Bands","Diagon","OnlyBa","Rotate","NO_BLU","NO_WHI","NO_YEL","NO_BLA","WHYENO","BAWHNO","BLWHNO","WHRENO","001GRE","002RED","003GRE","myrGRE","histor","NoStar"],Flag:"https://upload.wikimedia.org/wikipedia/commons/thumb/1/1f/Flag_of_Martyazo.svg/640px-Flag_of_Martyazo.svg.png",HDFlag:"https://upload.wikimedia.org/wikipedia/commons/thumb/1/1f/Flag_of_Martyazo.svg/2560px-Flag_of_Martyazo.svg.png",type:"Historical", describe: "\nNot available", isnew:".", links: "https://en.wikipedia.org/wiki/Martyazo"},</v>
      </c>
      <c r="HG3" s="73" t="str">
        <f>"{couname:"&amp;CT3&amp;(IF(HK3&lt;&gt;"",",subtype:"&amp;CHAR(34)&amp;HK3&amp;CHAR(34),""))&amp;",year:"&amp;HJ3&amp;",region:"&amp;CU3&amp;",Colors:"&amp;HC3&amp;",Items:"&amp;GS3&amp;",Flag:"&amp;CV3&amp;",HDFlag:"&amp;CHAR(34)&amp;E3&amp;CHAR(34)&amp;",type:"&amp;GP3&amp;", describe: "&amp;HI3&amp;", links: "&amp;HL3&amp;"},"</f>
        <v>{couname:"[BDI] Martyazo",year:"1972",region:"rgn_Africa",Colors:["cl_GRE","cl_RED"],Items:["2Color","lets08","startM","with_y","with_z","GRERED","year19","dgband","alldia","3Bands","Diagon","OnlyBa","Rotate","NO_BLU","NO_WHI","NO_YEL","NO_BLA","WHYENO","BAWHNO","BLWHNO","WHRENO","001GRE","002RED","003GRE","myrGRE","histor","NoStar"],Flag:"https://upload.wikimedia.org/wikipedia/commons/thumb/1/1f/Flag_of_Martyazo.svg/640px-Flag_of_Martyazo.svg.png",HDFlag:"https://upload.wikimedia.org/wikipedia/commons/thumb/1/1f/Flag_of_Martyazo.svg/2560px-Flag_of_Martyazo.svg.png",type:"Historical", describe: "\nNot available", links: "https://en.wikipedia.org/wiki/Martyazo"},</v>
      </c>
      <c r="HH3" s="48" t="str">
        <f>IF(P3&lt;&gt;"",CHAR(34)&amp;"\n"&amp;P3&amp;CHAR(34),CHAR(34)&amp;CHAR(34))</f>
        <v>"\nNot available"</v>
      </c>
      <c r="HI3" s="48" t="str">
        <f>IF(J3=0,CHAR(34)&amp;CHAR(34),HH3)</f>
        <v>"\nNot available"</v>
      </c>
      <c r="HJ3" s="48" t="str">
        <f>CHAR(34)&amp;O3&amp;CHAR(34)</f>
        <v>"1972"</v>
      </c>
      <c r="HL3" s="48" t="str">
        <f>CHAR(34)&amp;I3&amp;CHAR(34)</f>
        <v>"https://en.wikipedia.org/wiki/Martyazo"</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{"couname":"[BDI] Martyazo","subtype":"[BDI] Other","year":"1972","region":"rgn_Africa","Colors":["cl_GRE","cl_RED"],"Items":["2Color","lets08","startM","with_y","with_z","GRERED","year19","dgband","alldia","3Bands","Diagon","OnlyBa","Rotate","NO_BLU","NO_WHI","NO_YEL","NO_BLA","WHYENO","BAWHNO","BLWHNO","WHRENO","001GRE","002RED","003GRE","myrGRE","histor","NoStar"],"Flag":"https://upload.wikimedia.org/wikipedia/commons/thumb/1/1f/Flag_of_Martyazo.svg/640px-Flag_of_Martyazo.svg.png","HDFlag":"https://upload.wikimedia.org/wikipedia/commons/thumb/1/1f/Flag_of_Martyazo.svg/2560px-Flag_of_Martyazo.svg.png","type":"Historical", "describe": "\nNot available", "isnew": ".", "links": "https://en.wikipedia.org/wiki/Martyazo"},</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{"couname":"[BDI] Martyazo","subtype":"[BDI] Other","year":"1972","region":"rgn_Africa","Colors":["cl_GRE","cl_RED"],"Items":["2Color","lets08","startM","with_y","with_z","GRERED","year19","dgband","alldia","3Bands","Diagon","OnlyBa","Rotate","NO_BLU","NO_WHI","NO_YEL","NO_BLA","WHYENO","BAWHNO","BLWHNO","WHRENO","001GRE","002RED","003GRE","myrGRE","histor","NoStar"],"Flag":"https://upload.wikimedia.org/wikipedia/commons/thumb/1/1f/Flag_of_Martyazo.svg/640px-Flag_of_Martyazo.svg.png","HDFlag":"https://upload.wikimedia.org/wikipedia/commons/thumb/1/1f/Flag_of_Martyazo.svg/2560px-Flag_of_Martyazo.svg.png","type":"Historical", "describe": "\nNot available", "isnew": ".", "links": "https://en.wikipedia.org/wiki/Martyazo"},</v>
      </c>
      <c r="HO3" s="75">
        <v>45610</v>
      </c>
      <c r="HP3" s="48" t="str" cm="1">
        <f t="array" ref="HP3">IF(_xlfn.TEXTJOIN(", ", TRUE, IF(ISNUMBER(SEARCH("BLA", BL3:BT3)), COLUMN(BL3:BT3) - COLUMN(BL3) + 1, ""))&lt;&gt;"","BLA","")</f>
        <v/>
      </c>
      <c r="HQ3" s="48" t="str" cm="1">
        <f t="array" ref="HQ3">IF(_xlfn.TEXTJOIN(", ", TRUE, IF(ISNUMBER(SEARCH("BLU", BL3:BT3)), COLUMN(BL3:BT3) - COLUMN(BL3) + 1, ""))&lt;&gt;"","BLU","")</f>
        <v/>
      </c>
      <c r="HR3" s="48" t="str" cm="1">
        <f t="array" ref="HR3">IF(_xlfn.TEXTJOIN(", ", TRUE, IF(ISNUMBER(SEARCH("GRE", BL3:BT3)), COLUMN(BL3:BT3) - COLUMN(BL3) + 1, ""))&lt;&gt;"","GRE","")</f>
        <v>GRE</v>
      </c>
      <c r="HS3" s="48" t="str" cm="1">
        <f t="array" ref="HS3">IF(_xlfn.TEXTJOIN(", ", TRUE, IF(ISNUMBER(SEARCH("RED", BL3:BT3)), COLUMN(BL3:BT3) - COLUMN(BL3) + 1, ""))&lt;&gt;"","RED","")</f>
        <v>RED</v>
      </c>
      <c r="HT3" s="48" t="str" cm="1">
        <f t="array" ref="HT3">IF(_xlfn.TEXTJOIN(", ", TRUE, IF(ISNUMBER(SEARCH("YEL", BL3:BT3)), COLUMN(BL3:BT3) - COLUMN(BL3) + 1, ""))&lt;&gt;"","YEL","")</f>
        <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
      </c>
      <c r="HY3" s="76"/>
      <c r="HZ3" s="76"/>
      <c r="IA3" s="6"/>
      <c r="IB3" s="6"/>
      <c r="IC3" s="77"/>
      <c r="ID3" s="77"/>
      <c r="IE3" s="77"/>
      <c r="IF3" s="77"/>
      <c r="IG3" s="77"/>
      <c r="IH3" s="77"/>
      <c r="II3" s="77"/>
      <c r="IJ3" s="77"/>
      <c r="IK3" s="77"/>
      <c r="IM3" s="45">
        <f>COUNTIF(IC3:IK3,"&gt;0")-CG3</f>
        <v>-2</v>
      </c>
      <c r="IN3" s="78" t="str">
        <f>"http://mkweb.bcgsc.ca/color-summarizer/?url="&amp;D3&amp;"&amp;precision=low&amp;num_clusters="&amp;CG3&amp;"&amp;text=1"</f>
        <v>http://mkweb.bcgsc.ca/color-summarizer/?url=https://upload.wikimedia.org/wikipedia/commons/thumb/1/1f/Flag_of_Martyazo.svg/640px-Flag_of_Martyazo.svg.png&amp;precision=low&amp;num_clusters=2&amp;text=1</v>
      </c>
      <c r="IO3" s="48" t="str">
        <f>IF(HP3&lt;&gt;"",CHAR(34)&amp;"black"&amp;CHAR(34),"")</f>
        <v/>
      </c>
      <c r="IP3" s="48" t="str">
        <f>IF(HQ3&lt;&gt;"",CHAR(34)&amp;"blue"&amp;CHAR(34),"")</f>
        <v/>
      </c>
      <c r="IQ3" s="48" t="str">
        <f>IF(HR3&lt;&gt;"",CHAR(34)&amp;"green"&amp;CHAR(34),"")</f>
        <v>"green"</v>
      </c>
      <c r="IR3" s="48" t="str">
        <f>IF(HS3&lt;&gt;"",CHAR(34)&amp;"red"&amp;CHAR(34),"")</f>
        <v>"red"</v>
      </c>
      <c r="IS3" s="48" t="str">
        <f>IF(HT3&lt;&gt;"",CHAR(34)&amp;"yellow"&amp;CHAR(34),"")</f>
        <v/>
      </c>
      <c r="IT3" s="48" t="str">
        <f>IF(HU3&lt;&gt;"",CHAR(34)&amp;"orange"&amp;CHAR(34),"")</f>
        <v/>
      </c>
      <c r="IU3" s="48" t="str">
        <f>IF(HV3&lt;&gt;"",CHAR(34)&amp;"brown"&amp;CHAR(34),"")</f>
        <v/>
      </c>
      <c r="IV3" s="48" t="str">
        <f>IF(HW3&lt;&gt;"",CHAR(34)&amp;"purple"&amp;CHAR(34),"")</f>
        <v/>
      </c>
      <c r="IW3" s="48" t="str">
        <f>IF(HX3&lt;&gt;"",CHAR(34)&amp;"white"&amp;CHAR(34),"")</f>
        <v/>
      </c>
      <c r="IX3" s="48" t="str">
        <f>"{"&amp;CHAR(34)&amp;"url"&amp;CHAR(34)&amp;":"&amp;CHAR(34)&amp;IN3&amp;CHAR(34)&amp;","&amp;CHAR(34)&amp;"name"&amp;CHAR(34)&amp;":"&amp;CHAR(34)&amp;A3&amp;CHAR(34)&amp;"},"</f>
        <v>{"url":"http://mkweb.bcgsc.ca/color-summarizer/?url=https://upload.wikimedia.org/wikipedia/commons/thumb/1/1f/Flag_of_Martyazo.svg/640px-Flag_of_Martyazo.svg.png&amp;precision=low&amp;num_clusters=2&amp;text=1","name":"[BDI] Martyazo"},</v>
      </c>
      <c r="IY3" s="48">
        <v>1245</v>
      </c>
    </row>
    <row r="4" spans="1:259" ht="38.4" customHeight="1" x14ac:dyDescent="0.3">
      <c r="C4" s="81"/>
      <c r="D4" s="81"/>
      <c r="E4" s="81"/>
      <c r="F4" s="81"/>
      <c r="K4" s="81"/>
      <c r="L4" s="81"/>
      <c r="M4" s="81"/>
      <c r="N4" s="81"/>
      <c r="O4" s="81"/>
      <c r="P4" s="81"/>
      <c r="Q4" s="81"/>
      <c r="R4" s="81"/>
      <c r="S4" s="81"/>
    </row>
    <row r="5" spans="1:259" ht="38.4" customHeight="1" x14ac:dyDescent="0.3">
      <c r="C5" s="81"/>
      <c r="D5" s="81"/>
      <c r="E5" s="81"/>
      <c r="F5" s="81"/>
      <c r="K5" s="81"/>
      <c r="L5" s="81"/>
      <c r="M5" s="81"/>
      <c r="N5" s="81"/>
      <c r="O5" s="81"/>
      <c r="P5" s="81"/>
      <c r="Q5" s="81"/>
      <c r="R5" s="81"/>
      <c r="S5" s="81"/>
    </row>
    <row r="6" spans="1:259" ht="38.4" customHeight="1" x14ac:dyDescent="0.3">
      <c r="C6" s="81"/>
      <c r="D6" s="81"/>
      <c r="E6" s="81"/>
      <c r="F6" s="81"/>
      <c r="K6" s="81"/>
      <c r="L6" s="81"/>
      <c r="M6" s="81"/>
      <c r="N6" s="81"/>
      <c r="O6" s="81"/>
      <c r="P6" s="81"/>
      <c r="Q6" s="81"/>
      <c r="R6" s="81"/>
      <c r="S6" s="81"/>
    </row>
    <row r="7" spans="1:259" ht="38.4" customHeight="1" x14ac:dyDescent="0.3">
      <c r="C7" s="81"/>
      <c r="D7" s="81"/>
      <c r="E7" s="81"/>
      <c r="F7" s="81"/>
      <c r="K7" s="81"/>
      <c r="L7" s="81"/>
      <c r="M7" s="81"/>
      <c r="N7" s="81"/>
      <c r="O7" s="81"/>
      <c r="P7" s="81"/>
      <c r="Q7" s="81"/>
      <c r="R7" s="81"/>
      <c r="S7" s="81"/>
    </row>
    <row r="8" spans="1:259" ht="38.4" customHeight="1" x14ac:dyDescent="0.3">
      <c r="C8" s="81"/>
      <c r="D8" s="81"/>
      <c r="E8" s="81"/>
      <c r="F8" s="81"/>
      <c r="K8" s="81"/>
      <c r="L8" s="81"/>
      <c r="M8" s="81"/>
      <c r="N8" s="81"/>
      <c r="O8" s="81"/>
      <c r="P8" s="81"/>
      <c r="Q8" s="81"/>
      <c r="R8" s="81"/>
      <c r="S8" s="81"/>
    </row>
    <row r="9" spans="1:259" ht="38.4" customHeight="1" x14ac:dyDescent="0.3">
      <c r="C9" s="81"/>
      <c r="D9" s="81"/>
      <c r="E9" s="81"/>
      <c r="F9" s="81"/>
      <c r="K9" s="81"/>
      <c r="L9" s="81"/>
      <c r="M9" s="81"/>
      <c r="N9" s="81"/>
      <c r="O9" s="81"/>
      <c r="P9" s="81"/>
      <c r="Q9" s="81"/>
      <c r="R9" s="81"/>
      <c r="S9" s="81"/>
    </row>
    <row r="10" spans="1:259" ht="38.4" customHeight="1" x14ac:dyDescent="0.3">
      <c r="C10" s="81"/>
      <c r="D10" s="81"/>
      <c r="E10" s="81"/>
      <c r="F10" s="81"/>
      <c r="K10" s="81"/>
      <c r="L10" s="81"/>
      <c r="M10" s="81"/>
      <c r="N10" s="81"/>
      <c r="O10" s="81"/>
      <c r="P10" s="81"/>
      <c r="Q10" s="81"/>
      <c r="R10" s="81"/>
      <c r="S10" s="81"/>
    </row>
    <row r="11" spans="1:259" ht="38.4" customHeight="1" x14ac:dyDescent="0.3">
      <c r="C11" s="81"/>
      <c r="D11" s="81"/>
      <c r="E11" s="81"/>
      <c r="F11" s="81"/>
      <c r="K11" s="81"/>
      <c r="L11" s="81"/>
      <c r="M11" s="81"/>
      <c r="N11" s="81"/>
      <c r="O11" s="81"/>
      <c r="P11" s="81"/>
      <c r="Q11" s="81"/>
      <c r="R11" s="81"/>
      <c r="S11" s="81"/>
    </row>
  </sheetData>
  <autoFilter ref="A1:IY1" xr:uid="{A1051193-A95B-4CFB-A73C-F0184620C81F}">
    <sortState xmlns:xlrd2="http://schemas.microsoft.com/office/spreadsheetml/2017/richdata2" ref="A2:IY5">
      <sortCondition ref="AW1"/>
    </sortState>
  </autoFilter>
  <conditionalFormatting sqref="H1 CW1:GS1 IA1:IB1">
    <cfRule type="cellIs" dxfId="6117" priority="118" operator="greaterThan">
      <formula>0</formula>
    </cfRule>
  </conditionalFormatting>
  <conditionalFormatting sqref="H1 H7:H1048576">
    <cfRule type="cellIs" dxfId="6116" priority="84" stopIfTrue="1" operator="notEqual">
      <formula>""</formula>
    </cfRule>
  </conditionalFormatting>
  <conditionalFormatting sqref="T1:BK1">
    <cfRule type="cellIs" dxfId="6115" priority="121" operator="greaterThan">
      <formula>0</formula>
    </cfRule>
  </conditionalFormatting>
  <conditionalFormatting sqref="BV1:BW1 BV4:BW1048576">
    <cfRule type="cellIs" dxfId="6114" priority="120" operator="equal">
      <formula>"nc"</formula>
    </cfRule>
  </conditionalFormatting>
  <conditionalFormatting sqref="HF1:HG1">
    <cfRule type="cellIs" dxfId="6113" priority="122" operator="greaterThan">
      <formula>0</formula>
    </cfRule>
  </conditionalFormatting>
  <conditionalFormatting sqref="HK1">
    <cfRule type="cellIs" dxfId="6112" priority="119" operator="greaterThan">
      <formula>0</formula>
    </cfRule>
  </conditionalFormatting>
  <conditionalFormatting sqref="HP1:HX1">
    <cfRule type="cellIs" dxfId="6111" priority="96" operator="equal">
      <formula>"PIN"</formula>
    </cfRule>
    <cfRule type="cellIs" dxfId="6110" priority="97" operator="equal">
      <formula>"ORA"</formula>
    </cfRule>
    <cfRule type="cellIs" dxfId="6109" priority="98" operator="equal">
      <formula>"GRA"</formula>
    </cfRule>
    <cfRule type="cellIs" dxfId="6108" priority="99" operator="equal">
      <formula>"PUR"</formula>
    </cfRule>
    <cfRule type="cellIs" dxfId="6107" priority="100" operator="equal">
      <formula>"BRO"</formula>
    </cfRule>
    <cfRule type="cellIs" dxfId="6106" priority="101" operator="equal">
      <formula>"YEL"</formula>
    </cfRule>
    <cfRule type="cellIs" dxfId="6105" priority="102" operator="equal">
      <formula>"BLU"</formula>
    </cfRule>
    <cfRule type="cellIs" dxfId="6104" priority="103" operator="equal">
      <formula>"WHI"</formula>
    </cfRule>
    <cfRule type="cellIs" dxfId="6103" priority="104" operator="equal">
      <formula>"GRE"</formula>
    </cfRule>
    <cfRule type="cellIs" dxfId="6102" priority="105" operator="equal">
      <formula>"RED"</formula>
    </cfRule>
    <cfRule type="cellIs" dxfId="6101" priority="106" operator="equal">
      <formula>"BLA"</formula>
    </cfRule>
  </conditionalFormatting>
  <conditionalFormatting sqref="IC1:IK1">
    <cfRule type="cellIs" dxfId="6100" priority="107" operator="equal">
      <formula>"PIN"</formula>
    </cfRule>
    <cfRule type="cellIs" dxfId="6099" priority="108" operator="equal">
      <formula>"ORA"</formula>
    </cfRule>
    <cfRule type="cellIs" dxfId="6098" priority="109" operator="equal">
      <formula>"GRA"</formula>
    </cfRule>
    <cfRule type="cellIs" dxfId="6097" priority="110" operator="equal">
      <formula>"PUR"</formula>
    </cfRule>
    <cfRule type="cellIs" dxfId="6096" priority="111" operator="equal">
      <formula>"BRO"</formula>
    </cfRule>
    <cfRule type="cellIs" dxfId="6095" priority="112" operator="equal">
      <formula>"YEL"</formula>
    </cfRule>
    <cfRule type="cellIs" dxfId="6094" priority="113" operator="equal">
      <formula>"BLU"</formula>
    </cfRule>
    <cfRule type="cellIs" dxfId="6093" priority="114" operator="equal">
      <formula>"WHI"</formula>
    </cfRule>
    <cfRule type="cellIs" dxfId="6092" priority="115" operator="equal">
      <formula>"GRE"</formula>
    </cfRule>
    <cfRule type="cellIs" dxfId="6091" priority="116" operator="equal">
      <formula>"RED"</formula>
    </cfRule>
    <cfRule type="cellIs" dxfId="6090" priority="117" operator="equal">
      <formula>"BLA"</formula>
    </cfRule>
  </conditionalFormatting>
  <conditionalFormatting sqref="IO1:IW1">
    <cfRule type="cellIs" dxfId="6089" priority="85" operator="equal">
      <formula>"PIN"</formula>
    </cfRule>
    <cfRule type="cellIs" dxfId="6088" priority="86" operator="equal">
      <formula>"ORA"</formula>
    </cfRule>
    <cfRule type="cellIs" dxfId="6087" priority="87" operator="equal">
      <formula>"GRA"</formula>
    </cfRule>
    <cfRule type="cellIs" dxfId="6086" priority="88" operator="equal">
      <formula>"PUR"</formula>
    </cfRule>
    <cfRule type="cellIs" dxfId="6085" priority="89" operator="equal">
      <formula>"BRO"</formula>
    </cfRule>
    <cfRule type="cellIs" dxfId="6084" priority="90" operator="equal">
      <formula>"YEL"</formula>
    </cfRule>
    <cfRule type="cellIs" dxfId="6083" priority="91" operator="equal">
      <formula>"BLU"</formula>
    </cfRule>
    <cfRule type="cellIs" dxfId="6082" priority="92" operator="equal">
      <formula>"WHI"</formula>
    </cfRule>
    <cfRule type="cellIs" dxfId="6081" priority="93" operator="equal">
      <formula>"GRE"</formula>
    </cfRule>
    <cfRule type="cellIs" dxfId="6080" priority="94" operator="equal">
      <formula>"RED"</formula>
    </cfRule>
    <cfRule type="cellIs" dxfId="6079" priority="95" operator="equal">
      <formula>"BLA"</formula>
    </cfRule>
  </conditionalFormatting>
  <conditionalFormatting sqref="H3">
    <cfRule type="cellIs" dxfId="6078" priority="76" stopIfTrue="1" operator="notEqual">
      <formula>""</formula>
    </cfRule>
  </conditionalFormatting>
  <conditionalFormatting sqref="R3 CU3">
    <cfRule type="cellIs" dxfId="6077" priority="79" operator="greaterThan">
      <formula>0</formula>
    </cfRule>
  </conditionalFormatting>
  <conditionalFormatting sqref="T3:AS3 CH3:CS3">
    <cfRule type="cellIs" dxfId="6076" priority="73" stopIfTrue="1" operator="equal">
      <formula>"n"</formula>
    </cfRule>
    <cfRule type="cellIs" dxfId="6075" priority="74" stopIfTrue="1" operator="equal">
      <formula>"y"</formula>
    </cfRule>
    <cfRule type="cellIs" dxfId="6074" priority="75" operator="greaterThan">
      <formula>0</formula>
    </cfRule>
  </conditionalFormatting>
  <conditionalFormatting sqref="AZ3:BB3">
    <cfRule type="expression" dxfId="6073" priority="60">
      <formula>$AT3=0</formula>
    </cfRule>
  </conditionalFormatting>
  <conditionalFormatting sqref="CD3:CF3 BX3:CA3 AZ3:BU3">
    <cfRule type="cellIs" dxfId="6072" priority="61" operator="equal">
      <formula>"PIN"</formula>
    </cfRule>
    <cfRule type="cellIs" dxfId="6071" priority="62" operator="equal">
      <formula>"ORA"</formula>
    </cfRule>
    <cfRule type="cellIs" dxfId="6070" priority="63" operator="equal">
      <formula>"GRA"</formula>
    </cfRule>
    <cfRule type="cellIs" dxfId="6069" priority="64" operator="equal">
      <formula>"PUR"</formula>
    </cfRule>
    <cfRule type="cellIs" dxfId="6068" priority="65" operator="equal">
      <formula>"BRO"</formula>
    </cfRule>
    <cfRule type="cellIs" dxfId="6067" priority="66" operator="equal">
      <formula>"YEL"</formula>
    </cfRule>
    <cfRule type="cellIs" dxfId="6066" priority="67" operator="equal">
      <formula>"BLU"</formula>
    </cfRule>
    <cfRule type="cellIs" dxfId="6065" priority="68" operator="equal">
      <formula>"WHI"</formula>
    </cfRule>
    <cfRule type="cellIs" dxfId="6064" priority="69" operator="equal">
      <formula>"GRE"</formula>
    </cfRule>
    <cfRule type="cellIs" dxfId="6063" priority="70" operator="equal">
      <formula>"RED"</formula>
    </cfRule>
    <cfRule type="cellIs" dxfId="6062" priority="71" operator="equal">
      <formula>"BLA"</formula>
    </cfRule>
  </conditionalFormatting>
  <conditionalFormatting sqref="BV3">
    <cfRule type="cellIs" dxfId="6061" priority="78" operator="equal">
      <formula>"nc"</formula>
    </cfRule>
  </conditionalFormatting>
  <conditionalFormatting sqref="CD3:CF3 BX3:CA3">
    <cfRule type="cellIs" dxfId="6060" priority="77" operator="equal">
      <formula>"y"</formula>
    </cfRule>
  </conditionalFormatting>
  <conditionalFormatting sqref="CD3:CF3 BZ3:CA3">
    <cfRule type="cellIs" dxfId="6059" priority="72" operator="greaterThan">
      <formula>0</formula>
    </cfRule>
  </conditionalFormatting>
  <conditionalFormatting sqref="IC3:IK3">
    <cfRule type="expression" dxfId="6058" priority="59">
      <formula>$IL3&gt;0</formula>
    </cfRule>
  </conditionalFormatting>
  <conditionalFormatting sqref="IC3">
    <cfRule type="cellIs" dxfId="6057" priority="53" stopIfTrue="1" operator="greaterThan">
      <formula>0</formula>
    </cfRule>
  </conditionalFormatting>
  <conditionalFormatting sqref="ID3">
    <cfRule type="cellIs" dxfId="6056" priority="51" stopIfTrue="1" operator="greaterThan">
      <formula>0</formula>
    </cfRule>
  </conditionalFormatting>
  <conditionalFormatting sqref="II3 IE3:IF3">
    <cfRule type="cellIs" dxfId="6055" priority="58" operator="greaterThan">
      <formula>0</formula>
    </cfRule>
  </conditionalFormatting>
  <conditionalFormatting sqref="II3 IF3">
    <cfRule type="cellIs" dxfId="6054" priority="52" stopIfTrue="1" operator="greaterThan">
      <formula>0</formula>
    </cfRule>
  </conditionalFormatting>
  <conditionalFormatting sqref="IG3">
    <cfRule type="cellIs" dxfId="6053" priority="57" operator="greaterThan">
      <formula>0</formula>
    </cfRule>
  </conditionalFormatting>
  <conditionalFormatting sqref="IH3:II3">
    <cfRule type="cellIs" dxfId="6052" priority="56" operator="greaterThan">
      <formula>0</formula>
    </cfRule>
  </conditionalFormatting>
  <conditionalFormatting sqref="IJ3">
    <cfRule type="cellIs" dxfId="6051" priority="55" operator="greaterThan">
      <formula>0</formula>
    </cfRule>
  </conditionalFormatting>
  <conditionalFormatting sqref="IK3">
    <cfRule type="cellIs" dxfId="6050" priority="54" operator="greaterThan">
      <formula>0</formula>
    </cfRule>
  </conditionalFormatting>
  <conditionalFormatting sqref="IF3">
    <cfRule type="cellIs" dxfId="6049" priority="50" stopIfTrue="1" operator="greaterThan">
      <formula>0</formula>
    </cfRule>
  </conditionalFormatting>
  <conditionalFormatting sqref="IM3">
    <cfRule type="cellIs" dxfId="6048" priority="49" operator="equal">
      <formula>0</formula>
    </cfRule>
  </conditionalFormatting>
  <conditionalFormatting sqref="BX3:CA3 CD3:CF3">
    <cfRule type="cellIs" dxfId="6047" priority="37" operator="equal">
      <formula>"y"</formula>
    </cfRule>
    <cfRule type="cellIs" dxfId="6046" priority="38" operator="equal">
      <formula>"PIN"</formula>
    </cfRule>
    <cfRule type="cellIs" dxfId="6045" priority="39" operator="equal">
      <formula>"ORA"</formula>
    </cfRule>
    <cfRule type="cellIs" dxfId="6044" priority="40" operator="equal">
      <formula>"GRA"</formula>
    </cfRule>
    <cfRule type="cellIs" dxfId="6043" priority="41" operator="equal">
      <formula>"PUR"</formula>
    </cfRule>
    <cfRule type="cellIs" dxfId="6042" priority="42" operator="equal">
      <formula>"BRO"</formula>
    </cfRule>
    <cfRule type="cellIs" dxfId="6041" priority="43" operator="equal">
      <formula>"YEL"</formula>
    </cfRule>
    <cfRule type="cellIs" dxfId="6040" priority="44" operator="equal">
      <formula>"BLU"</formula>
    </cfRule>
    <cfRule type="cellIs" dxfId="6039" priority="45" operator="equal">
      <formula>"WHI"</formula>
    </cfRule>
    <cfRule type="cellIs" dxfId="6038" priority="46" operator="equal">
      <formula>"GRE"</formula>
    </cfRule>
    <cfRule type="cellIs" dxfId="6037" priority="47" operator="equal">
      <formula>"RED"</formula>
    </cfRule>
    <cfRule type="cellIs" dxfId="6036" priority="48" operator="equal">
      <formula>"BLA"</formula>
    </cfRule>
  </conditionalFormatting>
  <conditionalFormatting sqref="AT3">
    <cfRule type="colorScale" priority="80">
      <colorScale>
        <cfvo type="min"/>
        <cfvo type="max"/>
        <color rgb="FFFCFCFF"/>
        <color theme="8" tint="0.39997558519241921"/>
      </colorScale>
    </cfRule>
  </conditionalFormatting>
  <conditionalFormatting sqref="S3">
    <cfRule type="colorScale" priority="81">
      <colorScale>
        <cfvo type="min"/>
        <cfvo type="max"/>
        <color rgb="FFFCFCFF"/>
        <color rgb="FF754BFB"/>
      </colorScale>
    </cfRule>
  </conditionalFormatting>
  <conditionalFormatting sqref="J3">
    <cfRule type="colorScale" priority="82">
      <colorScale>
        <cfvo type="min"/>
        <cfvo type="percentile" val="50"/>
        <cfvo type="max"/>
        <color rgb="FFF8696B"/>
        <color rgb="FFFFEB84"/>
        <color rgb="FF63BE7B"/>
      </colorScale>
    </cfRule>
  </conditionalFormatting>
  <conditionalFormatting sqref="CG3">
    <cfRule type="colorScale" priority="83">
      <colorScale>
        <cfvo type="min"/>
        <cfvo type="max"/>
        <color rgb="FFFCFCFF"/>
        <color rgb="FF63BE7B"/>
      </colorScale>
    </cfRule>
  </conditionalFormatting>
  <conditionalFormatting sqref="H2">
    <cfRule type="cellIs" dxfId="6035" priority="30" stopIfTrue="1" operator="notEqual">
      <formula>""</formula>
    </cfRule>
  </conditionalFormatting>
  <conditionalFormatting sqref="R2 CU2">
    <cfRule type="cellIs" dxfId="6034" priority="32" operator="greaterThan">
      <formula>0</formula>
    </cfRule>
  </conditionalFormatting>
  <conditionalFormatting sqref="T2:AS2 CH2:CS2">
    <cfRule type="cellIs" dxfId="6033" priority="27" stopIfTrue="1" operator="equal">
      <formula>"n"</formula>
    </cfRule>
    <cfRule type="cellIs" dxfId="6032" priority="28" stopIfTrue="1" operator="equal">
      <formula>"y"</formula>
    </cfRule>
    <cfRule type="cellIs" dxfId="6031" priority="29" operator="greaterThan">
      <formula>0</formula>
    </cfRule>
  </conditionalFormatting>
  <conditionalFormatting sqref="AZ2:BB2">
    <cfRule type="expression" dxfId="6030" priority="14">
      <formula>$AT2=0</formula>
    </cfRule>
  </conditionalFormatting>
  <conditionalFormatting sqref="AZ2:BU2">
    <cfRule type="cellIs" dxfId="6029" priority="15" operator="equal">
      <formula>"PIN"</formula>
    </cfRule>
    <cfRule type="cellIs" dxfId="6028" priority="16" operator="equal">
      <formula>"ORA"</formula>
    </cfRule>
    <cfRule type="cellIs" dxfId="6027" priority="17" operator="equal">
      <formula>"GRA"</formula>
    </cfRule>
    <cfRule type="cellIs" dxfId="6026" priority="18" operator="equal">
      <formula>"PUR"</formula>
    </cfRule>
    <cfRule type="cellIs" dxfId="6025" priority="19" operator="equal">
      <formula>"BRO"</formula>
    </cfRule>
    <cfRule type="cellIs" dxfId="6024" priority="20" operator="equal">
      <formula>"YEL"</formula>
    </cfRule>
    <cfRule type="cellIs" dxfId="6023" priority="21" operator="equal">
      <formula>"BLU"</formula>
    </cfRule>
    <cfRule type="cellIs" dxfId="6022" priority="22" operator="equal">
      <formula>"WHI"</formula>
    </cfRule>
    <cfRule type="cellIs" dxfId="6021" priority="23" operator="equal">
      <formula>"GRE"</formula>
    </cfRule>
    <cfRule type="cellIs" dxfId="6020" priority="24" operator="equal">
      <formula>"RED"</formula>
    </cfRule>
    <cfRule type="cellIs" dxfId="6019" priority="25" operator="equal">
      <formula>"BLA"</formula>
    </cfRule>
  </conditionalFormatting>
  <conditionalFormatting sqref="BV2">
    <cfRule type="cellIs" dxfId="6018" priority="31" operator="equal">
      <formula>"nc"</formula>
    </cfRule>
  </conditionalFormatting>
  <conditionalFormatting sqref="CD2:CF2 BZ2:CA2">
    <cfRule type="cellIs" dxfId="6017" priority="26" operator="greaterThan">
      <formula>0</formula>
    </cfRule>
  </conditionalFormatting>
  <conditionalFormatting sqref="IC2:IK2">
    <cfRule type="expression" dxfId="6016" priority="13">
      <formula>$IL2&gt;0</formula>
    </cfRule>
  </conditionalFormatting>
  <conditionalFormatting sqref="BX2:CA2 CD2:CF2">
    <cfRule type="cellIs" dxfId="6015" priority="1" operator="equal">
      <formula>"y"</formula>
    </cfRule>
    <cfRule type="cellIs" dxfId="6014" priority="2" operator="equal">
      <formula>"PIN"</formula>
    </cfRule>
    <cfRule type="cellIs" dxfId="6013" priority="3" operator="equal">
      <formula>"ORA"</formula>
    </cfRule>
    <cfRule type="cellIs" dxfId="6012" priority="4" operator="equal">
      <formula>"GRA"</formula>
    </cfRule>
    <cfRule type="cellIs" dxfId="6011" priority="5" operator="equal">
      <formula>"PUR"</formula>
    </cfRule>
    <cfRule type="cellIs" dxfId="6010" priority="6" operator="equal">
      <formula>"BRO"</formula>
    </cfRule>
    <cfRule type="cellIs" dxfId="6009" priority="7" operator="equal">
      <formula>"YEL"</formula>
    </cfRule>
    <cfRule type="cellIs" dxfId="6008" priority="8" operator="equal">
      <formula>"BLU"</formula>
    </cfRule>
    <cfRule type="cellIs" dxfId="6007" priority="9" operator="equal">
      <formula>"WHI"</formula>
    </cfRule>
    <cfRule type="cellIs" dxfId="6006" priority="10" operator="equal">
      <formula>"GRE"</formula>
    </cfRule>
    <cfRule type="cellIs" dxfId="6005" priority="11" operator="equal">
      <formula>"RED"</formula>
    </cfRule>
    <cfRule type="cellIs" dxfId="6004" priority="12" operator="equal">
      <formula>"BLA"</formula>
    </cfRule>
  </conditionalFormatting>
  <conditionalFormatting sqref="J2">
    <cfRule type="colorScale" priority="33">
      <colorScale>
        <cfvo type="min"/>
        <cfvo type="percentile" val="50"/>
        <cfvo type="max"/>
        <color rgb="FFF8696B"/>
        <color rgb="FFFFEB84"/>
        <color rgb="FF63BE7B"/>
      </colorScale>
    </cfRule>
  </conditionalFormatting>
  <conditionalFormatting sqref="S2">
    <cfRule type="colorScale" priority="34">
      <colorScale>
        <cfvo type="min"/>
        <cfvo type="max"/>
        <color rgb="FFFCFCFF"/>
        <color rgb="FF754BFB"/>
      </colorScale>
    </cfRule>
  </conditionalFormatting>
  <conditionalFormatting sqref="AT2">
    <cfRule type="colorScale" priority="35">
      <colorScale>
        <cfvo type="min"/>
        <cfvo type="max"/>
        <color rgb="FFFCFCFF"/>
        <color theme="8" tint="0.39997558519241921"/>
      </colorScale>
    </cfRule>
  </conditionalFormatting>
  <conditionalFormatting sqref="CG2">
    <cfRule type="colorScale" priority="36">
      <colorScale>
        <cfvo type="min"/>
        <cfvo type="max"/>
        <color rgb="FFFCFCFF"/>
        <color rgb="FF63BE7B"/>
      </colorScale>
    </cfRule>
  </conditionalFormatting>
  <hyperlinks>
    <hyperlink ref="I3" r:id="rId1" xr:uid="{86654AC3-438E-4389-AC6A-0E6C95CF55D0}"/>
    <hyperlink ref="A2" r:id="rId2" display="https://fbref.com/en/country/BDI/Burundi-Football" xr:uid="{2440B198-87DC-41BD-8052-310A34ADDDB5}"/>
    <hyperlink ref="I2" r:id="rId3" xr:uid="{732BFAE1-D008-49C9-8342-36C40F2480CE}"/>
    <hyperlink ref="E2" r:id="rId4" xr:uid="{1929897D-C1BA-49A5-9727-CED8E836BE53}"/>
  </hyperlinks>
  <pageMargins left="0.7" right="0.7" top="0.75" bottom="0.75" header="0.3" footer="0.3"/>
  <pageSetup paperSize="9"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27649" r:id="rId8"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27650" r:id="rId9"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27651" r:id="rId10"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64398E-B496-41D3-89D2-26FA97643458}">
  <sheetPr codeName="Sheet43"/>
  <dimension ref="A1:IY6"/>
  <sheetViews>
    <sheetView zoomScale="70" zoomScaleNormal="70" workbookViewId="0">
      <pane xSplit="5" ySplit="1" topLeftCell="F2" activePane="bottomRight" state="frozen"/>
      <selection pane="topRight" activeCell="F1" sqref="F1"/>
      <selection pane="bottomLeft" activeCell="A2" sqref="A2"/>
      <selection pane="bottomRight" activeCell="H6" sqref="H6"/>
    </sheetView>
  </sheetViews>
  <sheetFormatPr defaultRowHeight="38.4" customHeight="1" x14ac:dyDescent="0.3"/>
  <cols>
    <col min="1" max="1" width="52.44140625" style="81" bestFit="1" customWidth="1"/>
    <col min="2" max="2" width="10.109375" style="81" customWidth="1"/>
    <col min="3" max="3" width="7.44140625" style="82" customWidth="1"/>
    <col min="4" max="4" width="4.77734375" style="83" customWidth="1"/>
    <col min="5" max="5" width="4.5546875" style="83" customWidth="1"/>
    <col min="6" max="6" width="5.77734375" style="83" customWidth="1"/>
    <col min="7" max="7" width="7.44140625" style="81" customWidth="1"/>
    <col min="8" max="8" width="11.44140625" style="81" customWidth="1"/>
    <col min="9" max="9" width="10" style="81" customWidth="1"/>
    <col min="10" max="10" width="4.21875" style="81" customWidth="1"/>
    <col min="11" max="11" width="5.6640625" style="83" customWidth="1"/>
    <col min="12" max="12" width="2.88671875" style="83" customWidth="1"/>
    <col min="13" max="13" width="6.44140625" style="83" customWidth="1"/>
    <col min="14" max="14" width="4.5546875" style="83" customWidth="1"/>
    <col min="15" max="15" width="10.5546875" style="84" customWidth="1"/>
    <col min="16" max="16" width="6.88671875" style="83" customWidth="1"/>
    <col min="17" max="17" width="4.77734375" style="83" customWidth="1"/>
    <col min="18" max="18" width="13.109375" style="82" customWidth="1"/>
    <col min="19" max="19" width="6.77734375" style="82" customWidth="1"/>
    <col min="20" max="46" width="8.44140625" style="81" customWidth="1"/>
    <col min="47" max="47" width="24.5546875" style="81" customWidth="1"/>
    <col min="48" max="51" width="16.6640625" style="81" customWidth="1"/>
    <col min="52" max="52" width="6.5546875" style="81" customWidth="1"/>
    <col min="53" max="54" width="5.88671875" style="81" customWidth="1"/>
    <col min="55" max="55" width="1.33203125" style="81" customWidth="1"/>
    <col min="56" max="56" width="7.44140625" style="81" customWidth="1"/>
    <col min="57" max="57" width="2.33203125" style="81" customWidth="1"/>
    <col min="58" max="62" width="6.109375" style="81" customWidth="1"/>
    <col min="63" max="63" width="2.33203125" style="81" customWidth="1"/>
    <col min="64" max="64" width="7" style="81" bestFit="1" customWidth="1"/>
    <col min="65" max="65" width="6.44140625" style="81" bestFit="1" customWidth="1"/>
    <col min="66" max="66" width="7.109375" style="81" bestFit="1" customWidth="1"/>
    <col min="67" max="71" width="6.44140625" style="81" bestFit="1" customWidth="1"/>
    <col min="72" max="73" width="6.44140625" style="81" customWidth="1"/>
    <col min="74" max="75" width="13.44140625" style="81" customWidth="1"/>
    <col min="76" max="84" width="14.6640625" style="81" customWidth="1"/>
    <col min="85" max="85" width="6.44140625" style="81" customWidth="1"/>
    <col min="86" max="87" width="11.6640625" style="81" bestFit="1" customWidth="1"/>
    <col min="88" max="88" width="11.6640625" style="81" customWidth="1"/>
    <col min="89" max="89" width="12.77734375" style="81" bestFit="1" customWidth="1"/>
    <col min="90" max="90" width="16.44140625" style="82" bestFit="1" customWidth="1"/>
    <col min="91" max="92" width="14.88671875" style="82" bestFit="1" customWidth="1"/>
    <col min="93" max="93" width="16" style="82" bestFit="1" customWidth="1"/>
    <col min="94" max="97" width="7.77734375" style="81" customWidth="1"/>
    <col min="98" max="98" width="33.21875" style="81" customWidth="1"/>
    <col min="99" max="99" width="18" style="81" customWidth="1"/>
    <col min="100" max="100" width="75.6640625" style="81" customWidth="1"/>
    <col min="101" max="125" width="33" style="81" customWidth="1"/>
    <col min="126" max="126" width="8.88671875" style="81"/>
    <col min="127" max="128" width="9.44140625" style="81" bestFit="1" customWidth="1"/>
    <col min="129" max="129" width="10.77734375" style="81" bestFit="1" customWidth="1"/>
    <col min="130" max="134" width="10.77734375" style="81" customWidth="1"/>
    <col min="135" max="135" width="10.109375" style="81" bestFit="1" customWidth="1"/>
    <col min="136" max="136" width="7.77734375" style="81" bestFit="1" customWidth="1"/>
    <col min="137" max="137" width="7.77734375" style="81" customWidth="1"/>
    <col min="138" max="138" width="9" style="81" bestFit="1" customWidth="1"/>
    <col min="139" max="139" width="11.33203125" style="81" bestFit="1" customWidth="1"/>
    <col min="140" max="140" width="9.109375" style="81" bestFit="1" customWidth="1"/>
    <col min="141" max="141" width="9" style="81" bestFit="1" customWidth="1"/>
    <col min="142" max="142" width="12" style="81" bestFit="1" customWidth="1"/>
    <col min="143" max="166" width="12" style="81" customWidth="1"/>
    <col min="167" max="167" width="17.21875" style="81" customWidth="1"/>
    <col min="168" max="191" width="12" style="81" customWidth="1"/>
    <col min="192" max="192" width="8.5546875" style="81" bestFit="1" customWidth="1"/>
    <col min="193" max="193" width="8.5546875" style="81" customWidth="1"/>
    <col min="194" max="194" width="7.109375" style="81" bestFit="1" customWidth="1"/>
    <col min="195" max="195" width="7.5546875" style="81" bestFit="1" customWidth="1"/>
    <col min="196" max="196" width="8.5546875" style="81" bestFit="1" customWidth="1"/>
    <col min="197" max="200" width="8.5546875" style="81" customWidth="1"/>
    <col min="201" max="201" width="188.88671875" style="81" customWidth="1"/>
    <col min="202" max="202" width="9.5546875" style="81" bestFit="1" customWidth="1"/>
    <col min="203" max="203" width="10.44140625" style="81" bestFit="1" customWidth="1"/>
    <col min="204" max="204" width="11.109375" style="81" bestFit="1" customWidth="1"/>
    <col min="205" max="205" width="10.44140625" style="81" bestFit="1" customWidth="1"/>
    <col min="206" max="210" width="10.44140625" style="81" customWidth="1"/>
    <col min="211" max="211" width="45.44140625" style="81" customWidth="1"/>
    <col min="212" max="212" width="47.5546875" style="81" bestFit="1" customWidth="1"/>
    <col min="213" max="213" width="9.33203125" style="85" customWidth="1"/>
    <col min="214" max="214" width="119.5546875" style="81" customWidth="1"/>
    <col min="215" max="215" width="69.6640625" style="81" customWidth="1"/>
    <col min="216" max="218" width="8.88671875" style="81"/>
    <col min="219" max="219" width="37.109375" style="81" customWidth="1"/>
    <col min="220" max="220" width="16.33203125" style="81" customWidth="1"/>
    <col min="221" max="222" width="8.88671875" style="81"/>
    <col min="223" max="223" width="10.109375" style="81" bestFit="1" customWidth="1"/>
    <col min="224" max="232" width="10.88671875" style="81" customWidth="1"/>
    <col min="233" max="234" width="30.77734375" style="81" customWidth="1"/>
    <col min="235" max="235" width="5.109375" style="81" customWidth="1"/>
    <col min="236" max="236" width="3" style="81" customWidth="1"/>
    <col min="237" max="245" width="6.77734375" style="86" customWidth="1"/>
    <col min="246" max="247" width="8.88671875" style="81"/>
    <col min="248" max="248" width="61.5546875" style="81" customWidth="1"/>
    <col min="249" max="253" width="8.88671875" style="81"/>
    <col min="254" max="254" width="9" style="81" customWidth="1"/>
    <col min="255" max="16384" width="8.88671875" style="8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770</v>
      </c>
      <c r="B2" s="40" t="e" vm="12">
        <v>#VALUE!</v>
      </c>
      <c r="C2" s="41">
        <v>1</v>
      </c>
      <c r="D2" s="42" t="s">
        <v>771</v>
      </c>
      <c r="E2" s="43" t="s">
        <v>772</v>
      </c>
      <c r="F2" s="44" t="s">
        <v>163</v>
      </c>
      <c r="G2" s="45">
        <f>COUNTIF($A$1:$A$8356,A2)</f>
        <v>1</v>
      </c>
      <c r="H2" s="46"/>
      <c r="I2" s="47" t="s">
        <v>773</v>
      </c>
      <c r="J2" s="48" t="str">
        <f>""</f>
        <v/>
      </c>
      <c r="K2" s="49">
        <v>2675000</v>
      </c>
      <c r="L2" s="50">
        <v>900000</v>
      </c>
      <c r="M2" s="50" t="s">
        <v>781</v>
      </c>
      <c r="N2" s="51" t="s">
        <v>180</v>
      </c>
      <c r="O2" s="52" t="s">
        <v>774</v>
      </c>
      <c r="P2" s="53" t="s">
        <v>775</v>
      </c>
      <c r="Q2" s="54">
        <v>1</v>
      </c>
      <c r="R2" s="55" t="s">
        <v>180</v>
      </c>
      <c r="S2" s="56">
        <v>5</v>
      </c>
      <c r="T2" s="57" t="s">
        <v>164</v>
      </c>
      <c r="U2" s="58" t="s">
        <v>164</v>
      </c>
      <c r="V2" s="58" t="s">
        <v>167</v>
      </c>
      <c r="W2" s="58" t="s">
        <v>164</v>
      </c>
      <c r="X2" s="58" t="s">
        <v>164</v>
      </c>
      <c r="Y2" s="58" t="s">
        <v>164</v>
      </c>
      <c r="Z2" s="58" t="s">
        <v>164</v>
      </c>
      <c r="AA2" s="58" t="s">
        <v>164</v>
      </c>
      <c r="AB2" s="58" t="s">
        <v>164</v>
      </c>
      <c r="AC2" s="58" t="s">
        <v>164</v>
      </c>
      <c r="AD2" s="58" t="s">
        <v>164</v>
      </c>
      <c r="AE2" s="58" t="s">
        <v>164</v>
      </c>
      <c r="AF2" s="59" t="s">
        <v>164</v>
      </c>
      <c r="AG2" s="59" t="s">
        <v>167</v>
      </c>
      <c r="AH2" s="59" t="s">
        <v>164</v>
      </c>
      <c r="AI2" s="59" t="s">
        <v>164</v>
      </c>
      <c r="AJ2" s="59" t="s">
        <v>164</v>
      </c>
      <c r="AK2" s="59" t="s">
        <v>167</v>
      </c>
      <c r="AL2" s="59" t="s">
        <v>164</v>
      </c>
      <c r="AM2" s="59" t="s">
        <v>164</v>
      </c>
      <c r="AN2" s="59" t="s">
        <v>164</v>
      </c>
      <c r="AO2" s="59" t="s">
        <v>164</v>
      </c>
      <c r="AP2" s="59" t="s">
        <v>164</v>
      </c>
      <c r="AQ2" s="59" t="s">
        <v>164</v>
      </c>
      <c r="AR2" s="59" t="s">
        <v>167</v>
      </c>
      <c r="AS2" s="59" t="s">
        <v>164</v>
      </c>
      <c r="AT2" s="60">
        <v>0</v>
      </c>
      <c r="AU2" s="59"/>
      <c r="AV2" s="59" t="str">
        <f>IF(LEFT(A2,1)="[",LEFT(A2,5)&amp;AU2&amp;A2,"")</f>
        <v/>
      </c>
      <c r="AW2" s="59" t="str">
        <f t="shared" ref="AW2:AW3" si="0">C2&amp;H2&amp;A2</f>
        <v>1Botswana</v>
      </c>
      <c r="AX2" s="61" t="str">
        <f>_xlfn.TEXTJOIN(";",TRUE,AU2:AW2)</f>
        <v>1Botswana</v>
      </c>
      <c r="AY2" s="61"/>
      <c r="AZ2" s="62"/>
      <c r="BA2" s="62"/>
      <c r="BB2" s="62"/>
      <c r="BC2" s="63"/>
      <c r="BD2" s="64" t="s">
        <v>152</v>
      </c>
      <c r="BE2" s="47"/>
      <c r="BF2" s="64" t="s">
        <v>152</v>
      </c>
      <c r="BG2" s="64" t="s">
        <v>151</v>
      </c>
      <c r="BH2" s="64" t="s">
        <v>152</v>
      </c>
      <c r="BI2" s="64" t="s">
        <v>159</v>
      </c>
      <c r="BJ2" s="64"/>
      <c r="BK2" s="47"/>
      <c r="BL2" s="64" t="s">
        <v>152</v>
      </c>
      <c r="BM2" s="64" t="s">
        <v>159</v>
      </c>
      <c r="BN2" s="64" t="s">
        <v>151</v>
      </c>
      <c r="BO2" s="64"/>
      <c r="BP2" s="64"/>
      <c r="BQ2" s="64"/>
      <c r="BR2" s="64"/>
      <c r="BS2" s="64"/>
      <c r="BT2" s="64"/>
      <c r="BU2" s="65"/>
      <c r="BV2" s="66" t="s">
        <v>165</v>
      </c>
      <c r="BW2" s="66">
        <v>0</v>
      </c>
      <c r="BX2" s="47"/>
      <c r="BZ2" s="48" t="s">
        <v>167</v>
      </c>
      <c r="CB2" s="6" t="s">
        <v>136</v>
      </c>
      <c r="CC2" s="6"/>
      <c r="CD2" s="67">
        <v>0</v>
      </c>
      <c r="CE2" s="67">
        <v>0</v>
      </c>
      <c r="CF2" s="67" t="e">
        <v>#REF!</v>
      </c>
      <c r="CG2" s="68" cm="1">
        <f t="array" ref="CG2">SUMPRODUCT(--(LEN(TRIM(BL2:BT2))&gt;0))</f>
        <v>3</v>
      </c>
      <c r="CH2" s="59" t="str">
        <f>IF(CG2=2,"y","n")</f>
        <v>n</v>
      </c>
      <c r="CI2" s="59" t="str">
        <f>IF(CG2=3,"y","n")</f>
        <v>y</v>
      </c>
      <c r="CJ2" s="59" t="str">
        <f>IF(CG2=4,"y","n")</f>
        <v>n</v>
      </c>
      <c r="CK2" s="59" t="str">
        <f>IF(CG2&gt;4,"y","n")</f>
        <v>n</v>
      </c>
      <c r="CL2" s="59" t="str">
        <f>IF(S2=0,"y","n")</f>
        <v>n</v>
      </c>
      <c r="CM2" s="59" t="str">
        <f>IF(S2=2,"y","n")</f>
        <v>n</v>
      </c>
      <c r="CN2" s="59" t="str">
        <f>IF(S2=3,"y","n")</f>
        <v>n</v>
      </c>
      <c r="CO2" s="59" t="str">
        <f>IF(S2&gt;=4,"y","n")</f>
        <v>y</v>
      </c>
      <c r="CP2" s="59" t="str">
        <f>IF(AT2=0,"y","n")</f>
        <v>y</v>
      </c>
      <c r="CQ2" s="59" t="str">
        <f>IF(AT2=1,"y","n")</f>
        <v>n</v>
      </c>
      <c r="CR2" s="59" t="str">
        <f>IF(AT2=2,"y","n")</f>
        <v>n</v>
      </c>
      <c r="CS2" s="59" t="str">
        <f>IF(AT2&gt;=3,"y","n")</f>
        <v>n</v>
      </c>
      <c r="CT2" s="69" t="str">
        <f>CHAR(34)&amp;A2&amp;CHAR(34)</f>
        <v>"Botswana"</v>
      </c>
      <c r="CU2" s="70" t="str">
        <f>CHAR(34)&amp;"rgn_"&amp;R2&amp;CHAR(34)</f>
        <v>"rgn_Africa"</v>
      </c>
      <c r="CV2" s="48" t="str">
        <f>CHAR(34)&amp;D2&amp;CHAR(34)</f>
        <v>"https://i.ibb.co/Zh8R3pL/Botswana-Flag.png"</v>
      </c>
      <c r="CW2" s="48" t="str">
        <f>IF(CH2="y",CHAR(34)&amp;CH$1&amp;CHAR(34)&amp;",","")</f>
        <v/>
      </c>
      <c r="CX2" s="48" t="str">
        <f>IF(CI2="y",CHAR(34)&amp;CI$1&amp;CHAR(34)&amp;",","")</f>
        <v>"3Color",</v>
      </c>
      <c r="CY2" s="48" t="str">
        <f>IF(CJ2="y",CHAR(34)&amp;CJ$1&amp;CHAR(34)&amp;",","")</f>
        <v/>
      </c>
      <c r="CZ2" s="48" t="str">
        <f>IF(CK2="y",CHAR(34)&amp;CK$1&amp;CHAR(34)&amp;",","")</f>
        <v/>
      </c>
      <c r="DA2" s="48" t="str">
        <f>IF(Q2&gt;1,CHAR(34)&amp;"words2"&amp;CHAR(34)&amp;",","")</f>
        <v/>
      </c>
      <c r="DB2" s="48" t="str">
        <f>IF(Q2&gt;2,CHAR(34)&amp;"words3"&amp;CHAR(34)&amp;",","")</f>
        <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"lets08",</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"startB",</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"with_w",</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"LALUHI",</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
      </c>
      <c r="DS2" s="6" t="str">
        <f>IF(W2="y",IF(AND(V2="n",BY2&lt;&gt;"y"),CHAR(34)&amp;"allver"&amp;CHAR(34)&amp;",",""),"")</f>
        <v/>
      </c>
      <c r="DT2" s="6" t="str">
        <f>IF(V2="y",IF(AND(W2="n",BY2&lt;&gt;"y"),CHAR(34)&amp;"allhor"&amp;CHAR(34)&amp;",",""),"")</f>
        <v>"allhor",</v>
      </c>
      <c r="DU2" s="6" t="str">
        <f>IF(BY2="y",IF(AND(W2="n",V2="n"),CHAR(34)&amp;"alldia"&amp;CHAR(34)&amp;",",""),"")</f>
        <v/>
      </c>
      <c r="DV2" s="48" t="str">
        <f>IF(IA2&lt;&gt;"",(IF(IA2="y",CHAR(34)&amp;"largec"&amp;CHAR(34)&amp;",",CHAR(34)&amp;"smallc"&amp;CHAR(34)&amp;",")),"")</f>
        <v/>
      </c>
      <c r="DW2" s="48" t="str">
        <f>IF(CL2="y",CHAR(34)&amp;CL$1&amp;CHAR(34)&amp;",","")</f>
        <v/>
      </c>
      <c r="DX2" s="48" t="str">
        <f>IF(CM2="y",CHAR(34)&amp;CM$1&amp;CHAR(34)&amp;",","")</f>
        <v/>
      </c>
      <c r="DY2" s="48" t="str">
        <f>IF(CN2="y",CHAR(34)&amp;CN$1&amp;CHAR(34)&amp;",","")</f>
        <v/>
      </c>
      <c r="DZ2" s="48" t="str">
        <f>IF(CO2="y",CHAR(34)&amp;CO$1&amp;CHAR(34)&amp;",","")</f>
        <v>"4+Band",</v>
      </c>
      <c r="EA2" s="48" t="str">
        <f>IF(T2="y",CHAR(34)&amp;T$1&amp;CHAR(34)&amp;",","")</f>
        <v/>
      </c>
      <c r="EB2" s="48" t="str">
        <f>IF(U2="y",CHAR(34)&amp;U$1&amp;CHAR(34)&amp;",","")</f>
        <v/>
      </c>
      <c r="EC2" s="48" t="str">
        <f>IF(V2="y",CHAR(34)&amp;V$1&amp;CHAR(34)&amp;",","")</f>
        <v>"Horizo",</v>
      </c>
      <c r="ED2" s="48" t="str">
        <f>IF(W2="y",CHAR(34)&amp;W$1&amp;CHAR(34)&amp;",","")</f>
        <v/>
      </c>
      <c r="EE2" s="48" t="str">
        <f>IF(X2="y",CHAR(34)&amp;X$1&amp;CHAR(34)&amp;",","")</f>
        <v/>
      </c>
      <c r="EF2" s="48" t="str">
        <f>IF(AND(Y2&lt;&gt;"n",Y2&lt;&gt;""),CHAR(34)&amp;Y$1&amp;CHAR(34)&amp;",","")</f>
        <v/>
      </c>
      <c r="EG2" s="48" t="str">
        <f>IF(Z2="y",CHAR(34)&amp;Z$1&amp;CHAR(34)&amp;",","")</f>
        <v/>
      </c>
      <c r="EH2" s="48" t="str">
        <f>IF(AA2="y",CHAR(34)&amp;AA$1&amp;CHAR(34)&amp;",","")</f>
        <v/>
      </c>
      <c r="EI2" s="48" t="str">
        <f>IF(AB2="y",CHAR(34)&amp;AB$1&amp;CHAR(34)&amp;",","")</f>
        <v/>
      </c>
      <c r="EJ2" s="48" t="str">
        <f>IF(AC2="y",CHAR(34)&amp;AC$1&amp;CHAR(34)&amp;",","")</f>
        <v/>
      </c>
      <c r="EK2" s="48" t="str">
        <f>IF(AD2="y",CHAR(34)&amp;AD$1&amp;CHAR(34)&amp;",","")</f>
        <v/>
      </c>
      <c r="EL2" s="48" t="str">
        <f>IF(AE2="y",CHAR(34)&amp;AE$1&amp;CHAR(34)&amp;",","")</f>
        <v/>
      </c>
      <c r="EM2" s="48" t="str">
        <f>IF(AF2="y",CHAR(34)&amp;AF$1&amp;CHAR(34)&amp;",","")</f>
        <v/>
      </c>
      <c r="EN2" s="48" t="str">
        <f>IF(AG2="y",CHAR(34)&amp;AG$1&amp;CHAR(34)&amp;",","")</f>
        <v>"Unequa",</v>
      </c>
      <c r="EO2" s="48" t="str">
        <f>IF(AH2="y",CHAR(34)&amp;AH$1&amp;CHAR(34)&amp;",","")</f>
        <v/>
      </c>
      <c r="EP2" s="48" t="str">
        <f>IF(AI2="y",CHAR(34)&amp;AI$1&amp;CHAR(34)&amp;",","")</f>
        <v/>
      </c>
      <c r="EQ2" s="48" t="str">
        <f>IF(AJ2="y",CHAR(34)&amp;AJ$1&amp;CHAR(34)&amp;",","")</f>
        <v/>
      </c>
      <c r="ER2" s="48" t="str">
        <f>IF(AK2="y",CHAR(34)&amp;AK$1&amp;CHAR(34)&amp;",","")</f>
        <v>"OnlyBa",</v>
      </c>
      <c r="ES2" s="48" t="str">
        <f>IF(AL2="y",CHAR(34)&amp;AL$1&amp;CHAR(34)&amp;",","")</f>
        <v/>
      </c>
      <c r="ET2" s="48" t="str">
        <f>IF(AM2="y",CHAR(34)&amp;AM$1&amp;CHAR(34)&amp;",","")</f>
        <v/>
      </c>
      <c r="EU2" s="48" t="str">
        <f>IF(AN2="y",CHAR(34)&amp;AN$1&amp;CHAR(34)&amp;",","")</f>
        <v/>
      </c>
      <c r="EV2" s="48" t="str">
        <f>IF(AO2="y",CHAR(34)&amp;AO$1&amp;CHAR(34)&amp;",","")</f>
        <v/>
      </c>
      <c r="EW2" s="48" t="str">
        <f>IF(AP2="y",CHAR(34)&amp;AP$1&amp;CHAR(34)&amp;",","")</f>
        <v/>
      </c>
      <c r="EX2" s="48" t="str">
        <f>IF(AQ2="y",CHAR(34)&amp;AQ$1&amp;CHAR(34)&amp;",","")</f>
        <v/>
      </c>
      <c r="EY2" s="48" t="str">
        <f>IF(AR2="y",CHAR(34)&amp;AR$1&amp;CHAR(34)&amp;",","")</f>
        <v>"Rotate",</v>
      </c>
      <c r="EZ2" s="48" t="str">
        <f>IF(AS2="y",CHAR(34)&amp;AS$1&amp;CHAR(34)&amp;",","")</f>
        <v/>
      </c>
      <c r="FA2" s="48" t="str">
        <f>IF(AT2&gt;0,CHAR(34)&amp;"sta"&amp;AZ2&amp;CHAR(34)&amp;",","")</f>
        <v/>
      </c>
      <c r="FB2" s="48" t="str">
        <f>IF(AND(AT2&gt;0,BA2&lt;&gt;""),CHAR(34)&amp;"sta"&amp;BA2&amp;CHAR(34)&amp;",","")</f>
        <v/>
      </c>
      <c r="FC2" s="48" t="str">
        <f>IF(AND(AT2&gt;0,BB2&lt;&gt;""),CHAR(34)&amp;"sta"&amp;BB2&amp;CHAR(34)&amp;",","")</f>
        <v/>
      </c>
      <c r="FD2" s="48" t="str">
        <f>IF(BV2="n",CHAR(34)&amp;"tcWHYE"&amp;CHAR(34)&amp;",",IF(BV2="y",CHAR(34)&amp;FD$1&amp;CHAR(34)&amp;",",""))</f>
        <v/>
      </c>
      <c r="FE2" s="48" t="str">
        <f>IF(COUNTIF(BL2:BT2,"BLU")=0,CHAR(34)&amp;"NO_BLU"&amp;CHAR(34)&amp;",", "")</f>
        <v/>
      </c>
      <c r="FF2" s="48" t="str">
        <f>IF(COUNTIF(BL2:BT2,"WHI")=0,CHAR(34)&amp;"NO_WHI"&amp;CHAR(34)&amp;",", "")</f>
        <v/>
      </c>
      <c r="FG2" s="48" t="str">
        <f>IF(COUNTIF(BL2:BT2,"RED")=0,CHAR(34)&amp;"NO_RED"&amp;CHAR(34)&amp;",", "")</f>
        <v>"NO_RED",</v>
      </c>
      <c r="FH2" s="48" t="str">
        <f>IF(COUNTIF(BL2:BS2,"GRE")=0,CHAR(34)&amp;"NO_GRE"&amp;CHAR(34)&amp;",", "")</f>
        <v>"NO_GRE",</v>
      </c>
      <c r="FI2" s="48" t="str">
        <f>IF(COUNTIF(BL2:BT2,"YEL")=0,CHAR(34)&amp;"NO_YEL"&amp;CHAR(34)&amp;",", "")</f>
        <v>"NO_YEL",</v>
      </c>
      <c r="FJ2" s="48" t="str">
        <f>IF(COUNTIF(BL2:BT2,"BLA")=0,CHAR(34)&amp;"NO_BLA"&amp;CHAR(34)&amp;",", "")</f>
        <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
      </c>
      <c r="FP2" s="48" t="str">
        <f>IF(AND(FF2&lt;&gt;"",FF2&lt;&gt;""),CHAR(34)&amp;"WHRENO"&amp;CHAR(34)&amp;",","")</f>
        <v/>
      </c>
      <c r="FQ2" s="48" t="str">
        <f>IF(LEN(BF2)=3,CHAR(34)&amp;"001"&amp;BF2&amp;CHAR(34)&amp;",","")</f>
        <v>"001BLU",</v>
      </c>
      <c r="FR2" s="48" t="str">
        <f>IF(LEN(BG2)=3,CHAR(34)&amp;"002"&amp;BG2&amp;CHAR(34)&amp;",","")</f>
        <v>"002BLA",</v>
      </c>
      <c r="FS2" s="48" t="str">
        <f>IF(LEN(BH2)=3,CHAR(34)&amp;"003"&amp;BH2&amp;CHAR(34)&amp;",","")</f>
        <v>"003BLU",</v>
      </c>
      <c r="FT2" s="48" t="str">
        <f>CHAR(34)&amp;"myr"&amp;BD2&amp;CHAR(34)&amp;","</f>
        <v>"myrBLU",</v>
      </c>
      <c r="FU2" s="48" t="str">
        <f>IF(AY2="y",CHAR(34)&amp;"island"&amp;CHAR(34)&amp;",","")</f>
        <v/>
      </c>
      <c r="FV2" s="48" t="str">
        <f>IF(BZ2="y",CHAR(34)&amp;"landlo"&amp;CHAR(34)&amp;",","")</f>
        <v>"landlo",</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"englis",</v>
      </c>
      <c r="GA2" s="48" t="str">
        <f>IFERROR(IF(SEARCH("French",CB2)&gt;0,CHAR(34)&amp;"french"&amp;CHAR(34)&amp;",",""),"")</f>
        <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"NoStar",</v>
      </c>
      <c r="GK2" s="48" t="str">
        <f>IF(GJ2="",CHAR(34)&amp;"HasSta"&amp;CHAR(34)&amp;",","")</f>
        <v/>
      </c>
      <c r="GL2" s="48" t="str">
        <f>IF(CQ2="y",CHAR(34)&amp;CQ$1&amp;CHAR(34)&amp;",","")</f>
        <v/>
      </c>
      <c r="GM2" s="48" t="str">
        <f>IF(CR2="y",CHAR(34)&amp;CR$1&amp;CHAR(34)&amp;",","")</f>
        <v/>
      </c>
      <c r="GN2" s="48" t="str">
        <f>IF(CS2="y",CHAR(34)&amp;CS$1&amp;CHAR(34)&amp;",","")</f>
        <v/>
      </c>
      <c r="GP2" s="48" t="str">
        <f>CHAR(34)&amp;AU2&amp;CHAR(34)</f>
        <v>""</v>
      </c>
      <c r="GS2" s="48" t="str">
        <f>SUBSTITUTE("["&amp;_xlfn.CONCAT(CW2:GN2)&amp;"]",",]","]")</f>
        <v>["3Color","lets08","startB","with_w","LALUHI","year19","allhor","4+Band","Horizo","Unequa","OnlyBa","Rotate","NO_RED","NO_GRE","NO_YEL","001BLU","002BLA","003BLU","myrBLU","landlo","englis","NoStar"]</v>
      </c>
      <c r="GT2" s="48" t="str">
        <f>IF(BL2&lt;&gt;"",CHAR(34)&amp;"cl_"&amp;BL2&amp;CHAR(34)&amp;",","")</f>
        <v>"cl_BLU",</v>
      </c>
      <c r="GU2" s="48" t="str">
        <f>IF(BM2&lt;&gt;"",CHAR(34)&amp;"cl_"&amp;BM2&amp;CHAR(34)&amp;",","")</f>
        <v>"cl_WHI",</v>
      </c>
      <c r="GV2" s="48" t="str">
        <f>IF(BN2&lt;&gt;"",CHAR(34)&amp;"cl_"&amp;BN2&amp;CHAR(34)&amp;",","")</f>
        <v>"cl_BLA",</v>
      </c>
      <c r="GW2" s="48" t="str">
        <f>IF(BO2&lt;&gt;"",CHAR(34)&amp;"cl_"&amp;BO2&amp;CHAR(34)&amp;",","")</f>
        <v/>
      </c>
      <c r="GX2" s="48" t="str">
        <f>IF(BP2&lt;&gt;"",CHAR(34)&amp;"cl_"&amp;BP2&amp;CHAR(34)&amp;",","")</f>
        <v/>
      </c>
      <c r="GY2" s="48" t="str">
        <f>IF(BQ2&lt;&gt;"",CHAR(34)&amp;"cl_"&amp;BQ2&amp;CHAR(34)&amp;",","")</f>
        <v/>
      </c>
      <c r="GZ2" s="48" t="str">
        <f>IF(BR2&lt;&gt;"",CHAR(34)&amp;"cl_"&amp;BR2&amp;CHAR(34)&amp;",","")</f>
        <v/>
      </c>
      <c r="HA2" s="48" t="str">
        <f>IF(BS2&lt;&gt;"",CHAR(34)&amp;"cl_"&amp;BS2&amp;CHAR(34)&amp;",","")</f>
        <v/>
      </c>
      <c r="HB2" s="48" t="str">
        <f>IF(BT2&lt;&gt;"",CHAR(34)&amp;"cl_"&amp;BT2&amp;CHAR(34)&amp;",","")</f>
        <v/>
      </c>
      <c r="HC2" s="48" t="str">
        <f>SUBSTITUTE("["&amp;_xlfn.CONCAT(GT2:HB2)&amp;"]",",]","]")</f>
        <v>["cl_BLU","cl_WHI","cl_BLA"]</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{couname:"Botswana",year:"1966 ",region:"rgn_Africa",Colors:["cl_BLU","cl_WHI","cl_BLA"],Items:["3Color","lets08","startB","with_w","LALUHI","year19","allhor","4+Band","Horizo","Unequa","OnlyBa","Rotate","NO_RED","NO_GRE","NO_YEL","001BLU","002BLA","003BLU","myrBLU","landlo","englis","NoStar"],Flag:"https://i.ibb.co/Zh8R3pL/Botswana-Flag.png",HDFlag:"https://upload.wikimedia.org/wikipedia/commons/thumb/f/fa/Flag_of_Botswana.svg/2560px-Flag_of_Botswana.svg.png",type:"", describe: "\nThe light blue represents water—specifically, in its form of rain, as it is a precious resource in Botswana, which relies on agriculture and suffers from frequent droughts due to the dry and arid climate of the Kalahari Desert. The blue also alludes to the motto featured on the coat of arms of Botswana—Pula, which means 'Let there be rain' in Setswana—as well as life, which is sustained by water.\n\nThe black band with the white frame has two meanings. Firstly, they symbolise the harmony and cooperation between the people of different races who live in Botswana, as well as the racial diversity of the country. Furthermore, they represent the stripes of the zebra, the national animal of Botswana.", isnew:".", links: "https://en.wikipedia.org/wiki/Flag_of_Botswana"},</v>
      </c>
      <c r="HG2" s="73" t="str">
        <f>"{couname:"&amp;CT2&amp;(IF(HK2&lt;&gt;"",",subtype:"&amp;CHAR(34)&amp;HK2&amp;CHAR(34),""))&amp;",year:"&amp;HJ2&amp;",region:"&amp;CU2&amp;",Colors:"&amp;HC2&amp;",Items:"&amp;GS2&amp;",Flag:"&amp;CV2&amp;",HDFlag:"&amp;CHAR(34)&amp;E2&amp;CHAR(34)&amp;",type:"&amp;GP2&amp;", describe: "&amp;HI2&amp;", links: "&amp;HL2&amp;"},"</f>
        <v>{couname:"Botswana",year:"1966 ",region:"rgn_Africa",Colors:["cl_BLU","cl_WHI","cl_BLA"],Items:["3Color","lets08","startB","with_w","LALUHI","year19","allhor","4+Band","Horizo","Unequa","OnlyBa","Rotate","NO_RED","NO_GRE","NO_YEL","001BLU","002BLA","003BLU","myrBLU","landlo","englis","NoStar"],Flag:"https://i.ibb.co/Zh8R3pL/Botswana-Flag.png",HDFlag:"https://upload.wikimedia.org/wikipedia/commons/thumb/f/fa/Flag_of_Botswana.svg/2560px-Flag_of_Botswana.svg.png",type:"", describe: "\nThe light blue represents water—specifically, in its form of rain, as it is a precious resource in Botswana, which relies on agriculture and suffers from frequent droughts due to the dry and arid climate of the Kalahari Desert. The blue also alludes to the motto featured on the coat of arms of Botswana—Pula, which means 'Let there be rain' in Setswana—as well as life, which is sustained by water.\n\nThe black band with the white frame has two meanings. Firstly, they symbolise the harmony and cooperation between the people of different races who live in Botswana, as well as the racial diversity of the country. Furthermore, they represent the stripes of the zebra, the national animal of Botswana.", links: "https://en.wikipedia.org/wiki/Flag_of_Botswana"},</v>
      </c>
      <c r="HH2" s="48" t="str">
        <f>IF(P2&lt;&gt;"",CHAR(34)&amp;"\n"&amp;P2&amp;CHAR(34),CHAR(34)&amp;CHAR(34))</f>
        <v>"\nThe light blue represents water—specifically, in its form of rain, as it is a precious resource in Botswana, which relies on agriculture and suffers from frequent droughts due to the dry and arid climate of the Kalahari Desert. The blue also alludes to the motto featured on the coat of arms of Botswana—Pula, which means 'Let there be rain' in Setswana—as well as life, which is sustained by water.\n\nThe black band with the white frame has two meanings. Firstly, they symbolise the harmony and cooperation between the people of different races who live in Botswana, as well as the racial diversity of the country. Furthermore, they represent the stripes of the zebra, the national animal of Botswana."</v>
      </c>
      <c r="HI2" s="48" t="str">
        <f>IF(J2=0,CHAR(34)&amp;CHAR(34),HH2)</f>
        <v>"\nThe light blue represents water—specifically, in its form of rain, as it is a precious resource in Botswana, which relies on agriculture and suffers from frequent droughts due to the dry and arid climate of the Kalahari Desert. The blue also alludes to the motto featured on the coat of arms of Botswana—Pula, which means 'Let there be rain' in Setswana—as well as life, which is sustained by water.\n\nThe black band with the white frame has two meanings. Firstly, they symbolise the harmony and cooperation between the people of different races who live in Botswana, as well as the racial diversity of the country. Furthermore, they represent the stripes of the zebra, the national animal of Botswana."</v>
      </c>
      <c r="HJ2" s="48" t="str">
        <f>CHAR(34)&amp;O2&amp;CHAR(34)</f>
        <v>"1966 "</v>
      </c>
      <c r="HL2" s="48" t="str">
        <f>CHAR(34)&amp;I2&amp;CHAR(34)</f>
        <v>"https://en.wikipedia.org/wiki/Flag_of_Botswana"</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{"couname":"Botswana","year":"1966 ","region":"rgn_Africa","Colors":["cl_BLU","cl_WHI","cl_BLA"],"Items":["3Color","lets08","startB","with_w","LALUHI","year19","allhor","4+Band","Horizo","Unequa","OnlyBa","Rotate","NO_RED","NO_GRE","NO_YEL","001BLU","002BLA","003BLU","myrBLU","landlo","englis","NoStar"],"Flag":"https://i.ibb.co/Zh8R3pL/Botswana-Flag.png","HDFlag":"https://upload.wikimedia.org/wikipedia/commons/thumb/f/fa/Flag_of_Botswana.svg/2560px-Flag_of_Botswana.svg.png","type":"", "describe": "\nThe light blue represents water—specifically, in its form of rain, as it is a precious resource in Botswana, which relies on agriculture and suffers from frequent droughts due to the dry and arid climate of the Kalahari Desert. The blue also alludes to the motto featured on the coat of arms of Botswana—Pula, which means 'Let there be rain' in Setswana—as well as life, which is sustained by water.\n\nThe black band with the white frame has two meanings. Firstly, they symbolise the harmony and cooperation between the people of different races who live in Botswana, as well as the racial diversity of the country. Furthermore, they represent the stripes of the zebra, the national animal of Botswana.", "isnew": ".", "links": "https://en.wikipedia.org/wiki/Flag_of_Botswana"},</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{"couname":"Botswana","year":"1966 ","region":"rgn_Africa","Colors":["cl_BLU","cl_WHI","cl_BLA"],"Items":["3Color","lets08","startB","with_w","LALUHI","year19","allhor","4+Band","Horizo","Unequa","OnlyBa","Rotate","NO_RED","NO_GRE","NO_YEL","001BLU","002BLA","003BLU","myrBLU","landlo","englis","NoStar"],"Flag":"https://i.ibb.co/Zh8R3pL/Botswana-Flag.png","HDFlag":"https://upload.wikimedia.org/wikipedia/commons/thumb/f/fa/Flag_of_Botswana.svg/2560px-Flag_of_Botswana.svg.png","type":"", "describe": "\nThe light blue represents water—specifically, in its form of rain, as it is a precious resource in Botswana, which relies on agriculture and suffers from frequent droughts due to the dry and arid climate of the Kalahari Desert. The blue also alludes to the motto featured on the coat of arms of Botswana—Pula, which means 'Let there be rain' in Setswana—as well as life, which is sustained by water.\n\nThe black band with the white frame has two meanings. Firstly, they symbolise the harmony and cooperation between the people of different races who live in Botswana, as well as the racial diversity of the country. Furthermore, they represent the stripes of the zebra, the national animal of Botswana.", "isnew": ".", "links": "https://en.wikipedia.org/wiki/Flag_of_Botswana"},</v>
      </c>
      <c r="HO2" s="75"/>
      <c r="HP2" s="48" t="str" cm="1">
        <f t="array" ref="HP2">IF(_xlfn.TEXTJOIN(", ", TRUE, IF(ISNUMBER(SEARCH("BLA", BL2:BT2)), COLUMN(BL2:BT2) - COLUMN(BL2) + 1, ""))&lt;&gt;"","BLA","")</f>
        <v>BLA</v>
      </c>
      <c r="HQ2" s="48" t="str" cm="1">
        <f t="array" ref="HQ2">IF(_xlfn.TEXTJOIN(", ", TRUE, IF(ISNUMBER(SEARCH("BLU", BL2:BT2)), COLUMN(BL2:BT2) - COLUMN(BL2) + 1, ""))&lt;&gt;"","BLU","")</f>
        <v>BLU</v>
      </c>
      <c r="HR2" s="48" t="str" cm="1">
        <f t="array" ref="HR2">IF(_xlfn.TEXTJOIN(", ", TRUE, IF(ISNUMBER(SEARCH("GRE", BL2:BT2)), COLUMN(BL2:BT2) - COLUMN(BL2) + 1, ""))&lt;&gt;"","GRE","")</f>
        <v/>
      </c>
      <c r="HS2" s="48" t="str" cm="1">
        <f t="array" ref="HS2">IF(_xlfn.TEXTJOIN(", ", TRUE, IF(ISNUMBER(SEARCH("RED", BL2:BT2)), COLUMN(BL2:BT2) - COLUMN(BL2) + 1, ""))&lt;&gt;"","RED","")</f>
        <v/>
      </c>
      <c r="HT2" s="48" t="str" cm="1">
        <f t="array" ref="HT2">IF(_xlfn.TEXTJOIN(", ", TRUE, IF(ISNUMBER(SEARCH("YEL", BL2:BT2)), COLUMN(BL2:BT2) - COLUMN(BL2) + 1, ""))&lt;&gt;"","YEL","")</f>
        <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c r="IB2" s="6"/>
      <c r="IC2" s="77"/>
      <c r="ID2" s="77"/>
      <c r="IE2" s="77"/>
      <c r="IF2" s="77"/>
      <c r="IG2" s="77"/>
      <c r="IH2" s="77"/>
      <c r="II2" s="77"/>
      <c r="IJ2" s="77"/>
      <c r="IK2" s="77"/>
      <c r="IL2" s="48">
        <f>SUM(IC2:IK2)</f>
        <v>0</v>
      </c>
      <c r="IM2" s="45">
        <f>COUNTIF(IC2:IK2,"&gt;0")-CG2</f>
        <v>-3</v>
      </c>
      <c r="IN2" s="78" t="str">
        <f>"http://mkweb.bcgsc.ca/color-summarizer/?url="&amp;D2&amp;"&amp;precision=low&amp;num_clusters="&amp;CG2&amp;"&amp;text=1"</f>
        <v>http://mkweb.bcgsc.ca/color-summarizer/?url=https://i.ibb.co/Zh8R3pL/Botswana-Flag.png&amp;precision=low&amp;num_clusters=3&amp;text=1</v>
      </c>
      <c r="IO2" s="48" t="str">
        <f>IF(HP2&lt;&gt;"",CHAR(34)&amp;"black"&amp;CHAR(34),"")</f>
        <v>"black"</v>
      </c>
      <c r="IP2" s="48" t="str">
        <f>IF(HQ2&lt;&gt;"",CHAR(34)&amp;"blue"&amp;CHAR(34),"")</f>
        <v>"blue"</v>
      </c>
      <c r="IQ2" s="48" t="str">
        <f>IF(HR2&lt;&gt;"",CHAR(34)&amp;"green"&amp;CHAR(34),"")</f>
        <v/>
      </c>
      <c r="IR2" s="48" t="str">
        <f>IF(HS2&lt;&gt;"",CHAR(34)&amp;"red"&amp;CHAR(34),"")</f>
        <v/>
      </c>
      <c r="IS2" s="48" t="str">
        <f>IF(HT2&lt;&gt;"",CHAR(34)&amp;"yellow"&amp;CHAR(34),"")</f>
        <v/>
      </c>
      <c r="IT2" s="48" t="str">
        <f>IF(HU2&lt;&gt;"",CHAR(34)&amp;"orange"&amp;CHAR(34),"")</f>
        <v/>
      </c>
      <c r="IU2" s="48" t="str">
        <f>IF(HV2&lt;&gt;"",CHAR(34)&amp;"brown"&amp;CHAR(34),"")</f>
        <v/>
      </c>
      <c r="IV2" s="48" t="str">
        <f>IF(HW2&lt;&gt;"",CHAR(34)&amp;"purple"&amp;CHAR(34),"")</f>
        <v/>
      </c>
      <c r="IW2" s="48" t="str">
        <f>IF(HX2&lt;&gt;"",CHAR(34)&amp;"white"&amp;CHAR(34),"")</f>
        <v>"white"</v>
      </c>
      <c r="IX2" s="48" t="str">
        <f>"{"&amp;CHAR(34)&amp;"url"&amp;CHAR(34)&amp;":"&amp;CHAR(34)&amp;IN2&amp;CHAR(34)&amp;","&amp;CHAR(34)&amp;"name"&amp;CHAR(34)&amp;":"&amp;CHAR(34)&amp;A2&amp;CHAR(34)&amp;"},"</f>
        <v>{"url":"http://mkweb.bcgsc.ca/color-summarizer/?url=https://i.ibb.co/Zh8R3pL/Botswana-Flag.png&amp;precision=low&amp;num_clusters=3&amp;text=1","name":"Botswana"},</v>
      </c>
      <c r="IY2" s="48">
        <v>30</v>
      </c>
    </row>
    <row r="3" spans="1:259" s="48" customFormat="1" ht="38.4" customHeight="1" thickBot="1" x14ac:dyDescent="0.35">
      <c r="A3" s="79" t="s">
        <v>776</v>
      </c>
      <c r="B3" s="40" t="e" vm="13">
        <v>#VALUE!</v>
      </c>
      <c r="C3" s="41">
        <v>2</v>
      </c>
      <c r="D3" s="42" t="s">
        <v>777</v>
      </c>
      <c r="E3" s="43" t="s">
        <v>778</v>
      </c>
      <c r="F3" s="44" t="s">
        <v>163</v>
      </c>
      <c r="G3" s="45">
        <f>COUNTIF($A$1:$A$8360,A3)</f>
        <v>1</v>
      </c>
      <c r="H3" s="46"/>
      <c r="I3" s="47" t="s">
        <v>779</v>
      </c>
      <c r="J3" s="48" t="str">
        <f>""</f>
        <v/>
      </c>
      <c r="K3" s="49"/>
      <c r="L3" s="50"/>
      <c r="M3" s="50"/>
      <c r="N3" s="51" t="s">
        <v>180</v>
      </c>
      <c r="O3" s="52" t="s">
        <v>170</v>
      </c>
      <c r="P3" s="53" t="s">
        <v>780</v>
      </c>
      <c r="Q3" s="54">
        <v>1</v>
      </c>
      <c r="R3" s="55" t="s">
        <v>180</v>
      </c>
      <c r="S3" s="56">
        <v>0</v>
      </c>
      <c r="T3" s="57" t="s">
        <v>164</v>
      </c>
      <c r="U3" s="58" t="s">
        <v>164</v>
      </c>
      <c r="V3" s="58" t="s">
        <v>164</v>
      </c>
      <c r="W3" s="58" t="s">
        <v>164</v>
      </c>
      <c r="X3" s="58" t="s">
        <v>167</v>
      </c>
      <c r="Y3" s="58" t="s">
        <v>164</v>
      </c>
      <c r="Z3" s="58" t="s">
        <v>164</v>
      </c>
      <c r="AA3" s="58" t="s">
        <v>164</v>
      </c>
      <c r="AB3" s="58" t="s">
        <v>167</v>
      </c>
      <c r="AC3" s="58" t="s">
        <v>164</v>
      </c>
      <c r="AD3" s="58" t="s">
        <v>164</v>
      </c>
      <c r="AE3" s="58" t="s">
        <v>164</v>
      </c>
      <c r="AF3" s="59" t="s">
        <v>164</v>
      </c>
      <c r="AG3" s="59" t="s">
        <v>167</v>
      </c>
      <c r="AH3" s="59" t="s">
        <v>167</v>
      </c>
      <c r="AI3" s="59" t="s">
        <v>164</v>
      </c>
      <c r="AJ3" s="59" t="s">
        <v>164</v>
      </c>
      <c r="AK3" s="59" t="s">
        <v>164</v>
      </c>
      <c r="AL3" s="59" t="s">
        <v>164</v>
      </c>
      <c r="AM3" s="59" t="s">
        <v>164</v>
      </c>
      <c r="AN3" s="59" t="s">
        <v>164</v>
      </c>
      <c r="AO3" s="59" t="s">
        <v>164</v>
      </c>
      <c r="AP3" s="59" t="s">
        <v>164</v>
      </c>
      <c r="AQ3" s="59" t="s">
        <v>164</v>
      </c>
      <c r="AR3" s="59" t="s">
        <v>164</v>
      </c>
      <c r="AS3" s="59" t="s">
        <v>164</v>
      </c>
      <c r="AT3" s="60">
        <v>0</v>
      </c>
      <c r="AU3" s="59" t="s">
        <v>256</v>
      </c>
      <c r="AV3" s="59" t="str">
        <f>IF(LEFT(A3,1)="[",LEFT(A3,5)&amp;AU3&amp;A3,"")</f>
        <v>[BWA]City[BWA] Gaborone</v>
      </c>
      <c r="AW3" s="59" t="str">
        <f t="shared" si="0"/>
        <v>2[BWA] Gaborone</v>
      </c>
      <c r="AX3" s="61"/>
      <c r="AY3" s="61"/>
      <c r="AZ3" s="62" t="s">
        <v>172</v>
      </c>
      <c r="BA3" s="62" t="s">
        <v>172</v>
      </c>
      <c r="BB3" s="62"/>
      <c r="BC3" s="63"/>
      <c r="BD3" s="64" t="s">
        <v>152</v>
      </c>
      <c r="BE3" s="47"/>
      <c r="BF3" s="64" t="s">
        <v>172</v>
      </c>
      <c r="BG3" s="64" t="s">
        <v>172</v>
      </c>
      <c r="BH3" s="64" t="s">
        <v>172</v>
      </c>
      <c r="BI3" s="64"/>
      <c r="BJ3" s="64"/>
      <c r="BK3" s="47"/>
      <c r="BL3" s="64" t="s">
        <v>151</v>
      </c>
      <c r="BM3" s="64" t="s">
        <v>152</v>
      </c>
      <c r="BN3" s="64" t="s">
        <v>172</v>
      </c>
      <c r="BO3" s="64" t="s">
        <v>154</v>
      </c>
      <c r="BP3" s="64" t="s">
        <v>155</v>
      </c>
      <c r="BQ3" s="64" t="s">
        <v>172</v>
      </c>
      <c r="BR3" s="64" t="s">
        <v>172</v>
      </c>
      <c r="BS3" s="64" t="s">
        <v>172</v>
      </c>
      <c r="BT3" s="64" t="s">
        <v>159</v>
      </c>
      <c r="BU3" s="65"/>
      <c r="BV3" s="66"/>
      <c r="BW3" s="66">
        <v>0</v>
      </c>
      <c r="BX3" s="47"/>
      <c r="CB3" s="6"/>
      <c r="CC3" s="6"/>
      <c r="CD3" s="67">
        <v>0</v>
      </c>
      <c r="CE3" s="67">
        <v>0</v>
      </c>
      <c r="CF3" s="67" t="e">
        <v>#REF!</v>
      </c>
      <c r="CG3" s="68" cm="1">
        <f t="array" ref="CG3">SUMPRODUCT(--(LEN(TRIM(BL3:BT3))&gt;0))</f>
        <v>5</v>
      </c>
      <c r="CH3" s="59" t="str">
        <f>IF(CG3=2,"y","n")</f>
        <v>n</v>
      </c>
      <c r="CI3" s="59" t="str">
        <f>IF(CG3=3,"y","n")</f>
        <v>n</v>
      </c>
      <c r="CJ3" s="59" t="str">
        <f>IF(CG3=4,"y","n")</f>
        <v>n</v>
      </c>
      <c r="CK3" s="59" t="str">
        <f>IF(CG3&gt;4,"y","n")</f>
        <v>y</v>
      </c>
      <c r="CL3" s="59" t="str">
        <f>IF(S3=0,"y","n")</f>
        <v>y</v>
      </c>
      <c r="CM3" s="59" t="str">
        <f>IF(S3=2,"y","n")</f>
        <v>n</v>
      </c>
      <c r="CN3" s="59" t="str">
        <f>IF(S3=3,"y","n")</f>
        <v>n</v>
      </c>
      <c r="CO3" s="59" t="str">
        <f>IF(S3&gt;=4,"y","n")</f>
        <v>n</v>
      </c>
      <c r="CP3" s="59" t="str">
        <f>IF(AT3=0,"y","n")</f>
        <v>y</v>
      </c>
      <c r="CQ3" s="59" t="str">
        <f>IF(AT3=1,"y","n")</f>
        <v>n</v>
      </c>
      <c r="CR3" s="59" t="str">
        <f>IF(AT3=2,"y","n")</f>
        <v>n</v>
      </c>
      <c r="CS3" s="59" t="str">
        <f>IF(AT3&gt;=3,"y","n")</f>
        <v>n</v>
      </c>
      <c r="CT3" s="69" t="str">
        <f>CHAR(34)&amp;A3&amp;CHAR(34)</f>
        <v>"[BWA] Gaborone"</v>
      </c>
      <c r="CU3" s="70" t="str">
        <f>CHAR(34)&amp;"rgn_"&amp;R3&amp;CHAR(34)</f>
        <v>"rgn_Africa"</v>
      </c>
      <c r="CV3" s="48" t="str">
        <f>CHAR(34)&amp;D3&amp;CHAR(34)</f>
        <v>"https://upload.wikimedia.org/wikipedia/commons/thumb/8/8c/Flag_of_Gaborone.svg/640px-Flag_of_Gaborone.svg.png"</v>
      </c>
      <c r="CW3" s="48" t="str">
        <f>IF(CH3="y",CHAR(34)&amp;CH$1&amp;CHAR(34)&amp;",","")</f>
        <v/>
      </c>
      <c r="CX3" s="48" t="str">
        <f>IF(CI3="y",CHAR(34)&amp;CI$1&amp;CHAR(34)&amp;",","")</f>
        <v/>
      </c>
      <c r="CY3" s="48" t="str">
        <f>IF(CJ3="y",CHAR(34)&amp;CJ$1&amp;CHAR(34)&amp;",","")</f>
        <v/>
      </c>
      <c r="CZ3" s="48" t="str">
        <f>IF(CK3="y",CHAR(34)&amp;CK$1&amp;CHAR(34)&amp;",","")</f>
        <v>"5+Colo",</v>
      </c>
      <c r="DA3" s="48" t="str">
        <f>IF(Q3&gt;1,CHAR(34)&amp;"words2"&amp;CHAR(34)&amp;",","")</f>
        <v/>
      </c>
      <c r="DB3" s="48" t="str">
        <f>IF(Q3&gt;2,CHAR(34)&amp;"words3"&amp;CHAR(34)&amp;",","")</f>
        <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"lets08",</v>
      </c>
      <c r="DE3" s="48" t="str">
        <f>CHAR(34)&amp;"start"&amp;IFERROR(LEFT(SUBSTITUTE(A3,"["&amp;MID(A3,FIND("[",A3)+1,FIND("]",A3)-FIND("[",A3)-1)&amp;"] ",""),1),LEFT(A3,1))&amp;CHAR(34)&amp;","</f>
        <v>"startG",</v>
      </c>
      <c r="DF3" s="48" t="str">
        <f>IFERROR(IF(SEARCH("tan",A3)&gt;0,CHAR(34)&amp;"withtn"&amp;CHAR(34)&amp;",",""),"")</f>
        <v/>
      </c>
      <c r="DG3" s="48" t="str">
        <f>IFERROR(IF(SEARCH("q",A3)&gt;0,CHAR(34)&amp;"with_q"&amp;CHAR(34)&amp;",",""),"")</f>
        <v/>
      </c>
      <c r="DH3" s="48" t="str">
        <f>IFERROR(IF(SEARCH("v",A3)&gt;0,CHAR(34)&amp;"with_v"&amp;CHAR(34)&amp;",",""),"")</f>
        <v/>
      </c>
      <c r="DI3" s="48" t="str">
        <f>IFERROR(IF(SEARCH("w",A3)&gt;0,CHAR(34)&amp;"with_w"&amp;CHAR(34)&amp;",",""),"")</f>
        <v>"with_w",</v>
      </c>
      <c r="DJ3" s="48" t="str">
        <f>IFERROR(IF(SEARCH("y",A3)&gt;0,CHAR(34)&amp;"with_y"&amp;CHAR(34)&amp;",",""),"")</f>
        <v/>
      </c>
      <c r="DK3" s="48" t="str">
        <f>IFERROR(IF(SEARCH("z",A3)&gt;0,CHAR(34)&amp;"with_z"&amp;CHAR(34)&amp;",",""),"")</f>
        <v/>
      </c>
      <c r="DL3" s="48" t="str">
        <f>IF(CG3=2, CHAR(34) &amp; _xlfn.TEXTJOIN("", TRUE, _xlfn._xlws.SORT(HP3:HX3)) &amp; CHAR(34) &amp; ",", "")</f>
        <v/>
      </c>
      <c r="DM3" s="48" t="str" cm="1">
        <f t="array" ref="DM3">IF(CG3=3,CHAR(34) &amp; _xlfn.TEXTJOIN("", TRUE, RIGHT(HP3:HX3, 2)) &amp; CHAR(34) &amp; ",", "")</f>
        <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
      </c>
      <c r="DP3" s="6" t="str">
        <f>IF(AND(ISNUMBER(SEARCH("20", O3)), ISERROR(SEARCH("1920", O3))), CHAR(34)&amp;"year00"&amp;CHAR(34)&amp;",", "")</f>
        <v/>
      </c>
      <c r="DQ3" s="6" t="str">
        <f>IF(CC3="y",CHAR(34)&amp;"soviet"&amp;CHAR(34)&amp;",","")</f>
        <v/>
      </c>
      <c r="DR3" s="6" t="str">
        <f>IF(BY3="y",CHAR(34)&amp;"dgband"&amp;CHAR(34)&amp;",","")</f>
        <v/>
      </c>
      <c r="DS3" s="6" t="str">
        <f>IF(W3="y",IF(AND(V3="n",BY3&lt;&gt;"y"),CHAR(34)&amp;"allver"&amp;CHAR(34)&amp;",",""),"")</f>
        <v/>
      </c>
      <c r="DT3" s="6" t="str">
        <f>IF(V3="y",IF(AND(W3="n",BY3&lt;&gt;"y"),CHAR(34)&amp;"allhor"&amp;CHAR(34)&amp;",",""),"")</f>
        <v/>
      </c>
      <c r="DU3" s="6" t="str">
        <f>IF(BY3="y",IF(AND(W3="n",V3="n"),CHAR(34)&amp;"alldia"&amp;CHAR(34)&amp;",",""),"")</f>
        <v/>
      </c>
      <c r="DW3" s="48" t="str">
        <f>IF(CL3="y",CHAR(34)&amp;CL$1&amp;CHAR(34)&amp;",","")</f>
        <v>"NoBand",</v>
      </c>
      <c r="DX3" s="48" t="str">
        <f>IF(CM3="y",CHAR(34)&amp;CM$1&amp;CHAR(34)&amp;",","")</f>
        <v/>
      </c>
      <c r="DY3" s="48" t="str">
        <f>IF(CN3="y",CHAR(34)&amp;CN$1&amp;CHAR(34)&amp;",","")</f>
        <v/>
      </c>
      <c r="DZ3" s="48" t="str">
        <f>IF(CO3="y",CHAR(34)&amp;CO$1&amp;CHAR(34)&amp;",","")</f>
        <v/>
      </c>
      <c r="EA3" s="48" t="str">
        <f>IF(T3="y",CHAR(34)&amp;T$1&amp;CHAR(34)&amp;",","")</f>
        <v/>
      </c>
      <c r="EB3" s="48" t="str">
        <f>IF(U3="y",CHAR(34)&amp;U$1&amp;CHAR(34)&amp;",","")</f>
        <v/>
      </c>
      <c r="EC3" s="48" t="str">
        <f>IF(V3="y",CHAR(34)&amp;V$1&amp;CHAR(34)&amp;",","")</f>
        <v/>
      </c>
      <c r="ED3" s="48" t="str">
        <f>IF(W3="y",CHAR(34)&amp;W$1&amp;CHAR(34)&amp;",","")</f>
        <v/>
      </c>
      <c r="EE3" s="48" t="str">
        <f>IF(X3="y",CHAR(34)&amp;X$1&amp;CHAR(34)&amp;",","")</f>
        <v>"Circle",</v>
      </c>
      <c r="EF3" s="48" t="str">
        <f>IF(AND(Y3&lt;&gt;"n",Y3&lt;&gt;""),CHAR(34)&amp;Y$1&amp;CHAR(34)&amp;",","")</f>
        <v/>
      </c>
      <c r="EG3" s="48" t="str">
        <f>IF(Z3="y",CHAR(34)&amp;Z$1&amp;CHAR(34)&amp;",","")</f>
        <v/>
      </c>
      <c r="EH3" s="48" t="str">
        <f>IF(AA3="y",CHAR(34)&amp;AA$1&amp;CHAR(34)&amp;",","")</f>
        <v/>
      </c>
      <c r="EI3" s="48" t="str">
        <f>IF(AB3="y",CHAR(34)&amp;AB$1&amp;CHAR(34)&amp;",","")</f>
        <v>"Texted",</v>
      </c>
      <c r="EJ3" s="48" t="str">
        <f>IF(AC3="y",CHAR(34)&amp;AC$1&amp;CHAR(34)&amp;",","")</f>
        <v/>
      </c>
      <c r="EK3" s="48" t="str">
        <f>IF(AD3="y",CHAR(34)&amp;AD$1&amp;CHAR(34)&amp;",","")</f>
        <v/>
      </c>
      <c r="EL3" s="48" t="str">
        <f>IF(AE3="y",CHAR(34)&amp;AE$1&amp;CHAR(34)&amp;",","")</f>
        <v/>
      </c>
      <c r="EM3" s="48" t="str">
        <f>IF(AF3="y",CHAR(34)&amp;AF$1&amp;CHAR(34)&amp;",","")</f>
        <v/>
      </c>
      <c r="EN3" s="48" t="str">
        <f>IF(AG3="y",CHAR(34)&amp;AG$1&amp;CHAR(34)&amp;",","")</f>
        <v>"Unequa",</v>
      </c>
      <c r="EO3" s="48" t="str">
        <f>IF(AH3="y",CHAR(34)&amp;AH$1&amp;CHAR(34)&amp;",","")</f>
        <v>"Center",</v>
      </c>
      <c r="EP3" s="48" t="str">
        <f>IF(AI3="y",CHAR(34)&amp;AI$1&amp;CHAR(34)&amp;",","")</f>
        <v/>
      </c>
      <c r="EQ3" s="48" t="str">
        <f>IF(AJ3="y",CHAR(34)&amp;AJ$1&amp;CHAR(34)&amp;",","")</f>
        <v/>
      </c>
      <c r="ER3" s="48" t="str">
        <f>IF(AK3="y",CHAR(34)&amp;AK$1&amp;CHAR(34)&amp;",","")</f>
        <v/>
      </c>
      <c r="ES3" s="48" t="str">
        <f>IF(AL3="y",CHAR(34)&amp;AL$1&amp;CHAR(34)&amp;",","")</f>
        <v/>
      </c>
      <c r="ET3" s="48" t="str">
        <f>IF(AM3="y",CHAR(34)&amp;AM$1&amp;CHAR(34)&amp;",","")</f>
        <v/>
      </c>
      <c r="EU3" s="48" t="str">
        <f>IF(AN3="y",CHAR(34)&amp;AN$1&amp;CHAR(34)&amp;",","")</f>
        <v/>
      </c>
      <c r="EV3" s="48" t="str">
        <f>IF(AO3="y",CHAR(34)&amp;AO$1&amp;CHAR(34)&amp;",","")</f>
        <v/>
      </c>
      <c r="EW3" s="48" t="str">
        <f>IF(AP3="y",CHAR(34)&amp;AP$1&amp;CHAR(34)&amp;",","")</f>
        <v/>
      </c>
      <c r="EX3" s="48" t="str">
        <f>IF(AQ3="y",CHAR(34)&amp;AQ$1&amp;CHAR(34)&amp;",","")</f>
        <v/>
      </c>
      <c r="EY3" s="48" t="str">
        <f>IF(AR3="y",CHAR(34)&amp;AR$1&amp;CHAR(34)&amp;",","")</f>
        <v/>
      </c>
      <c r="EZ3" s="48" t="str">
        <f>IF(AS3="y",CHAR(34)&amp;AS$1&amp;CHAR(34)&amp;",","")</f>
        <v/>
      </c>
      <c r="FA3" s="48" t="str">
        <f>IF(AT3&gt;0,CHAR(34)&amp;"sta"&amp;AZ3&amp;CHAR(34)&amp;",","")</f>
        <v/>
      </c>
      <c r="FB3" s="48" t="str">
        <f>IF(AND(AT3&gt;0,BA3&lt;&gt;""),CHAR(34)&amp;"sta"&amp;BA3&amp;CHAR(34)&amp;",","")</f>
        <v/>
      </c>
      <c r="FD3" s="48" t="str">
        <f>IF(BV3="n",CHAR(34)&amp;"tcWHYE"&amp;CHAR(34)&amp;",",IF(BV3="y",CHAR(34)&amp;FD$1&amp;CHAR(34)&amp;",",""))</f>
        <v/>
      </c>
      <c r="FE3" s="48" t="str">
        <f>IF(COUNTIF(BL3:BT3,"BLU")=0,CHAR(34)&amp;"NO_BLU"&amp;CHAR(34)&amp;",", "")</f>
        <v/>
      </c>
      <c r="FF3" s="48" t="str">
        <f>IF(COUNTIF(BL3:BT3,"WHI")=0,CHAR(34)&amp;"NO_WHI"&amp;CHAR(34)&amp;",", "")</f>
        <v/>
      </c>
      <c r="FG3" s="48" t="str">
        <f>IF(COUNTIF(BL3:BT3,"RED")=0,CHAR(34)&amp;"NO_RED"&amp;CHAR(34)&amp;",", "")</f>
        <v/>
      </c>
      <c r="FH3" s="48" t="str">
        <f>IF(COUNTIF(BL3:BS3,"GRE")=0,CHAR(34)&amp;"NO_GRE"&amp;CHAR(34)&amp;",", "")</f>
        <v>"NO_GRE",</v>
      </c>
      <c r="FI3" s="48" t="str">
        <f>IF(COUNTIF(BL3:BT3,"YEL")=0,CHAR(34)&amp;"NO_YEL"&amp;CHAR(34)&amp;",", "")</f>
        <v/>
      </c>
      <c r="FJ3" s="48" t="str">
        <f>IF(COUNTIF(BL3:BT3,"BLA")=0,CHAR(34)&amp;"NO_BLA"&amp;CHAR(34)&amp;",", "")</f>
        <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
      </c>
      <c r="FQ3" s="48" t="str">
        <f>IF(LEN(BF3)=3,CHAR(34)&amp;"001"&amp;BF3&amp;CHAR(34)&amp;",","")</f>
        <v/>
      </c>
      <c r="FR3" s="48" t="str">
        <f>IF(LEN(BG3)=3,CHAR(34)&amp;"002"&amp;BG3&amp;CHAR(34)&amp;",","")</f>
        <v/>
      </c>
      <c r="FS3" s="48" t="str">
        <f>IF(LEN(BH3)=3,CHAR(34)&amp;"003"&amp;BH3&amp;CHAR(34)&amp;",","")</f>
        <v/>
      </c>
      <c r="FT3" s="48" t="str">
        <f>CHAR(34)&amp;"myr"&amp;BD3&amp;CHAR(34)&amp;","</f>
        <v>"myrBLU",</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
      </c>
      <c r="GG3" s="48" t="str">
        <f>IF(BU3="y",CHAR(34)&amp;"unjack"&amp;CHAR(34)&amp;",","")</f>
        <v/>
      </c>
      <c r="GH3" s="48" t="str">
        <f>IF(CD3=1,CHAR(34)&amp;"southc"&amp;CHAR(34)&amp;",","")</f>
        <v/>
      </c>
      <c r="GI3" s="48" t="str">
        <f>IF(CE3=1,CHAR(34)&amp;"hasmap"&amp;CHAR(34)&amp;",","")</f>
        <v/>
      </c>
      <c r="GJ3" s="48" t="str">
        <f>IF(CP3="y",CHAR(34)&amp;CP$1&amp;CHAR(34)&amp;",","")</f>
        <v>"NoStar",</v>
      </c>
      <c r="GK3" s="48" t="str">
        <f>IF(GJ3="",CHAR(34)&amp;"HasSta"&amp;CHAR(34)&amp;",","")</f>
        <v/>
      </c>
      <c r="GL3" s="48" t="str">
        <f>IF(CQ3="y",CHAR(34)&amp;CQ$1&amp;CHAR(34)&amp;",","")</f>
        <v/>
      </c>
      <c r="GM3" s="48" t="str">
        <f>IF(CR3="y",CHAR(34)&amp;CR$1&amp;CHAR(34)&amp;",","")</f>
        <v/>
      </c>
      <c r="GN3" s="48" t="str">
        <f>IF(CS3="y",CHAR(34)&amp;CS$1&amp;CHAR(34)&amp;",","")</f>
        <v/>
      </c>
      <c r="GP3" s="48" t="str">
        <f>CHAR(34)&amp;AU3&amp;CHAR(34)</f>
        <v>"City"</v>
      </c>
      <c r="GS3" s="48" t="str">
        <f>SUBSTITUTE("["&amp;_xlfn.CONCAT(CW3:GN3)&amp;"]",",]","]")</f>
        <v>["5+Colo","lets08","startG","with_w","NoBand","Circle","Texted","Unequa","Center","NO_GRE","myrBLU","NoStar"]</v>
      </c>
      <c r="GT3" s="48" t="str">
        <f>IF(BL3&lt;&gt;"",CHAR(34)&amp;"cl_"&amp;BL3&amp;CHAR(34)&amp;",","")</f>
        <v>"cl_BLA",</v>
      </c>
      <c r="GU3" s="48" t="str">
        <f>IF(BM3&lt;&gt;"",CHAR(34)&amp;"cl_"&amp;BM3&amp;CHAR(34)&amp;",","")</f>
        <v>"cl_BLU",</v>
      </c>
      <c r="GV3" s="48" t="str">
        <f>IF(BN3&lt;&gt;"",CHAR(34)&amp;"cl_"&amp;BN3&amp;CHAR(34)&amp;",","")</f>
        <v/>
      </c>
      <c r="GW3" s="48" t="str">
        <f>IF(BO3&lt;&gt;"",CHAR(34)&amp;"cl_"&amp;BO3&amp;CHAR(34)&amp;",","")</f>
        <v>"cl_RED",</v>
      </c>
      <c r="GX3" s="48" t="str">
        <f>IF(BP3&lt;&gt;"",CHAR(34)&amp;"cl_"&amp;BP3&amp;CHAR(34)&amp;",","")</f>
        <v>"cl_YEL",</v>
      </c>
      <c r="GY3" s="48" t="str">
        <f>IF(BQ3&lt;&gt;"",CHAR(34)&amp;"cl_"&amp;BQ3&amp;CHAR(34)&amp;",","")</f>
        <v/>
      </c>
      <c r="GZ3" s="48" t="str">
        <f>IF(BR3&lt;&gt;"",CHAR(34)&amp;"cl_"&amp;BR3&amp;CHAR(34)&amp;",","")</f>
        <v/>
      </c>
      <c r="HA3" s="48" t="str">
        <f>IF(BS3&lt;&gt;"",CHAR(34)&amp;"cl_"&amp;BS3&amp;CHAR(34)&amp;",","")</f>
        <v/>
      </c>
      <c r="HB3" s="48" t="str">
        <f>IF(BT3&lt;&gt;"",CHAR(34)&amp;"cl_"&amp;BT3&amp;CHAR(34)&amp;",","")</f>
        <v>"cl_WHI",</v>
      </c>
      <c r="HC3" s="48" t="str">
        <f>SUBSTITUTE("["&amp;_xlfn.CONCAT(GT3:HB3)&amp;"]",",]","]")</f>
        <v>["cl_BLA","cl_BLU","cl_RED","cl_YEL","cl_WHI"]</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{couname:"[BWA] Gaborone",year:"???",region:"rgn_Africa",Colors:["cl_BLA","cl_BLU","cl_RED","cl_YEL","cl_WHI"],Items:["5+Colo","lets08","startG","with_w","NoBand","Circle","Texted","Unequa","Center","NO_GRE","myrBLU","NoStar"],Flag:"https://upload.wikimedia.org/wikipedia/commons/thumb/8/8c/Flag_of_Gaborone.svg/640px-Flag_of_Gaborone.svg.png",HDFlag:"https://upload.wikimedia.org/wikipedia/commons/thumb/8/8c/Flag_of_Gaborone.svg/2560px-Flag_of_Gaborone.svg.png",type:"City", describe: "\nBlue background with the city's CoA", isnew:".", links: "https://en.wikipedia.org/wiki/Gaborone"},</v>
      </c>
      <c r="HG3" s="73" t="str">
        <f>"{couname:"&amp;CT3&amp;(IF(HK3&lt;&gt;"",",subtype:"&amp;CHAR(34)&amp;HK3&amp;CHAR(34),""))&amp;",year:"&amp;HJ3&amp;",region:"&amp;CU3&amp;",Colors:"&amp;HC3&amp;",Items:"&amp;GS3&amp;",Flag:"&amp;CV3&amp;",HDFlag:"&amp;CHAR(34)&amp;E3&amp;CHAR(34)&amp;",type:"&amp;GP3&amp;", describe: "&amp;HI3&amp;", links: "&amp;HL3&amp;"},"</f>
        <v>{couname:"[BWA] Gaborone",year:"???",region:"rgn_Africa",Colors:["cl_BLA","cl_BLU","cl_RED","cl_YEL","cl_WHI"],Items:["5+Colo","lets08","startG","with_w","NoBand","Circle","Texted","Unequa","Center","NO_GRE","myrBLU","NoStar"],Flag:"https://upload.wikimedia.org/wikipedia/commons/thumb/8/8c/Flag_of_Gaborone.svg/640px-Flag_of_Gaborone.svg.png",HDFlag:"https://upload.wikimedia.org/wikipedia/commons/thumb/8/8c/Flag_of_Gaborone.svg/2560px-Flag_of_Gaborone.svg.png",type:"City", describe: "\nBlue background with the city's CoA", links: "https://en.wikipedia.org/wiki/Gaborone"},</v>
      </c>
      <c r="HH3" s="48" t="str">
        <f>IF(P3&lt;&gt;"",CHAR(34)&amp;"\n"&amp;P3&amp;CHAR(34),CHAR(34)&amp;CHAR(34))</f>
        <v>"\nBlue background with the city's CoA"</v>
      </c>
      <c r="HI3" s="48" t="str">
        <f>IF(J3=0,CHAR(34)&amp;CHAR(34),HH3)</f>
        <v>"\nBlue background with the city's CoA"</v>
      </c>
      <c r="HJ3" s="48" t="str">
        <f>CHAR(34)&amp;O3&amp;CHAR(34)</f>
        <v>"???"</v>
      </c>
      <c r="HL3" s="48" t="str">
        <f>CHAR(34)&amp;I3&amp;CHAR(34)</f>
        <v>"https://en.wikipedia.org/wiki/Gaborone"</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{"couname":"[BWA] Gaborone","year":"???","region":"rgn_Africa","Colors":["cl_BLA","cl_BLU","cl_RED","cl_YEL","cl_WHI"],"Items":["5+Colo","lets08","startG","with_w","NoBand","Circle","Texted","Unequa","Center","NO_GRE","myrBLU","NoStar"],"Flag":"https://upload.wikimedia.org/wikipedia/commons/thumb/8/8c/Flag_of_Gaborone.svg/640px-Flag_of_Gaborone.svg.png","HDFlag":"https://upload.wikimedia.org/wikipedia/commons/thumb/8/8c/Flag_of_Gaborone.svg/2560px-Flag_of_Gaborone.svg.png","type":"City", "describe": "\nBlue background with the city's CoA", "isnew": ".", "links": "https://en.wikipedia.org/wiki/Gaborone"},</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{"couname":"[BWA] Gaborone","year":"???","region":"rgn_Africa","Colors":["cl_BLA","cl_BLU","cl_RED","cl_YEL","cl_WHI"],"Items":["5+Colo","lets08","startG","with_w","NoBand","Circle","Texted","Unequa","Center","NO_GRE","myrBLU","NoStar"],"Flag":"https://upload.wikimedia.org/wikipedia/commons/thumb/8/8c/Flag_of_Gaborone.svg/640px-Flag_of_Gaborone.svg.png","HDFlag":"https://upload.wikimedia.org/wikipedia/commons/thumb/8/8c/Flag_of_Gaborone.svg/2560px-Flag_of_Gaborone.svg.png","type":"City", "describe": "\nBlue background with the city's CoA", "isnew": ".", "links": "https://en.wikipedia.org/wiki/Gaborone"},</v>
      </c>
      <c r="HO3" s="75">
        <v>45610</v>
      </c>
      <c r="HP3" s="48" t="str" cm="1">
        <f t="array" ref="HP3">IF(_xlfn.TEXTJOIN(", ", TRUE, IF(ISNUMBER(SEARCH("BLA", BL3:BT3)), COLUMN(BL3:BT3) - COLUMN(BL3) + 1, ""))&lt;&gt;"","BLA","")</f>
        <v>BLA</v>
      </c>
      <c r="HQ3" s="48" t="str" cm="1">
        <f t="array" ref="HQ3">IF(_xlfn.TEXTJOIN(", ", TRUE, IF(ISNUMBER(SEARCH("BLU", BL3:BT3)), COLUMN(BL3:BT3) - COLUMN(BL3) + 1, ""))&lt;&gt;"","BLU","")</f>
        <v>BLU</v>
      </c>
      <c r="HR3" s="48" t="str" cm="1">
        <f t="array" ref="HR3">IF(_xlfn.TEXTJOIN(", ", TRUE, IF(ISNUMBER(SEARCH("GRE", BL3:BT3)), COLUMN(BL3:BT3) - COLUMN(BL3) + 1, ""))&lt;&gt;"","GRE","")</f>
        <v/>
      </c>
      <c r="HS3" s="48" t="str" cm="1">
        <f t="array" ref="HS3">IF(_xlfn.TEXTJOIN(", ", TRUE, IF(ISNUMBER(SEARCH("RED", BL3:BT3)), COLUMN(BL3:BT3) - COLUMN(BL3) + 1, ""))&lt;&gt;"","RED","")</f>
        <v>RED</v>
      </c>
      <c r="HT3" s="48" t="str" cm="1">
        <f t="array" ref="HT3">IF(_xlfn.TEXTJOIN(", ", TRUE, IF(ISNUMBER(SEARCH("YEL", BL3:BT3)), COLUMN(BL3:BT3) - COLUMN(BL3) + 1, ""))&lt;&gt;"","YEL","")</f>
        <v>YEL</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M3" s="45">
        <f>COUNTIF(IC3:IK3,"&gt;0")-CG3</f>
        <v>-5</v>
      </c>
      <c r="IN3" s="78" t="str">
        <f>"http://mkweb.bcgsc.ca/color-summarizer/?url="&amp;D3&amp;"&amp;precision=low&amp;num_clusters="&amp;CG3&amp;"&amp;text=1"</f>
        <v>http://mkweb.bcgsc.ca/color-summarizer/?url=https://upload.wikimedia.org/wikipedia/commons/thumb/8/8c/Flag_of_Gaborone.svg/640px-Flag_of_Gaborone.svg.png&amp;precision=low&amp;num_clusters=5&amp;text=1</v>
      </c>
      <c r="IO3" s="48" t="str">
        <f>IF(HP3&lt;&gt;"",CHAR(34)&amp;"black"&amp;CHAR(34),"")</f>
        <v>"black"</v>
      </c>
      <c r="IP3" s="48" t="str">
        <f>IF(HQ3&lt;&gt;"",CHAR(34)&amp;"blue"&amp;CHAR(34),"")</f>
        <v>"blue"</v>
      </c>
      <c r="IQ3" s="48" t="str">
        <f>IF(HR3&lt;&gt;"",CHAR(34)&amp;"green"&amp;CHAR(34),"")</f>
        <v/>
      </c>
      <c r="IR3" s="48" t="str">
        <f>IF(HS3&lt;&gt;"",CHAR(34)&amp;"red"&amp;CHAR(34),"")</f>
        <v>"red"</v>
      </c>
      <c r="IS3" s="48" t="str">
        <f>IF(HT3&lt;&gt;"",CHAR(34)&amp;"yellow"&amp;CHAR(34),"")</f>
        <v>"yellow"</v>
      </c>
      <c r="IT3" s="48" t="str">
        <f>IF(HU3&lt;&gt;"",CHAR(34)&amp;"orange"&amp;CHAR(34),"")</f>
        <v/>
      </c>
      <c r="IU3" s="48" t="str">
        <f>IF(HV3&lt;&gt;"",CHAR(34)&amp;"brown"&amp;CHAR(34),"")</f>
        <v/>
      </c>
      <c r="IV3" s="48" t="str">
        <f>IF(HW3&lt;&gt;"",CHAR(34)&amp;"purple"&amp;CHAR(34),"")</f>
        <v/>
      </c>
      <c r="IW3" s="48" t="str">
        <f>IF(HX3&lt;&gt;"",CHAR(34)&amp;"white"&amp;CHAR(34),"")</f>
        <v>"white"</v>
      </c>
      <c r="IX3" s="48" t="str">
        <f>"{"&amp;CHAR(34)&amp;"url"&amp;CHAR(34)&amp;":"&amp;CHAR(34)&amp;IN3&amp;CHAR(34)&amp;","&amp;CHAR(34)&amp;"name"&amp;CHAR(34)&amp;":"&amp;CHAR(34)&amp;A3&amp;CHAR(34)&amp;"},"</f>
        <v>{"url":"http://mkweb.bcgsc.ca/color-summarizer/?url=https://upload.wikimedia.org/wikipedia/commons/thumb/8/8c/Flag_of_Gaborone.svg/640px-Flag_of_Gaborone.svg.png&amp;precision=low&amp;num_clusters=5&amp;text=1","name":"[BWA] Gaborone"},</v>
      </c>
      <c r="IY3" s="48">
        <v>1258</v>
      </c>
    </row>
    <row r="4" spans="1:259" ht="38.4" customHeight="1" x14ac:dyDescent="0.3">
      <c r="F4" s="82"/>
      <c r="G4" s="82"/>
      <c r="H4" s="82"/>
      <c r="I4" s="82"/>
      <c r="J4" s="82"/>
      <c r="K4" s="82"/>
    </row>
    <row r="5" spans="1:259" ht="38.4" customHeight="1" x14ac:dyDescent="0.3">
      <c r="F5" s="82"/>
      <c r="G5" s="82"/>
      <c r="H5" s="82"/>
      <c r="I5" s="82"/>
      <c r="J5" s="82"/>
      <c r="K5" s="82"/>
    </row>
    <row r="6" spans="1:259" ht="38.4" customHeight="1" x14ac:dyDescent="0.3">
      <c r="F6" s="82"/>
      <c r="G6" s="82"/>
      <c r="H6" s="82"/>
      <c r="I6" s="82"/>
      <c r="J6" s="82"/>
      <c r="K6" s="82"/>
    </row>
  </sheetData>
  <autoFilter ref="A1:IY1" xr:uid="{A1051193-A95B-4CFB-A73C-F0184620C81F}">
    <sortState xmlns:xlrd2="http://schemas.microsoft.com/office/spreadsheetml/2017/richdata2" ref="A2:IY5">
      <sortCondition ref="AW1"/>
    </sortState>
  </autoFilter>
  <conditionalFormatting sqref="H1 CW1:GS1 IA1:IB1">
    <cfRule type="cellIs" dxfId="6003" priority="118" operator="greaterThan">
      <formula>0</formula>
    </cfRule>
  </conditionalFormatting>
  <conditionalFormatting sqref="H1 H7:H1048576">
    <cfRule type="cellIs" dxfId="6002" priority="84" stopIfTrue="1" operator="notEqual">
      <formula>""</formula>
    </cfRule>
  </conditionalFormatting>
  <conditionalFormatting sqref="T1:BK1">
    <cfRule type="cellIs" dxfId="6001" priority="121" operator="greaterThan">
      <formula>0</formula>
    </cfRule>
  </conditionalFormatting>
  <conditionalFormatting sqref="BV1:BW1 BV4:BW1048576">
    <cfRule type="cellIs" dxfId="6000" priority="120" operator="equal">
      <formula>"nc"</formula>
    </cfRule>
  </conditionalFormatting>
  <conditionalFormatting sqref="HF1:HG1">
    <cfRule type="cellIs" dxfId="5999" priority="122" operator="greaterThan">
      <formula>0</formula>
    </cfRule>
  </conditionalFormatting>
  <conditionalFormatting sqref="HK1">
    <cfRule type="cellIs" dxfId="5998" priority="119" operator="greaterThan">
      <formula>0</formula>
    </cfRule>
  </conditionalFormatting>
  <conditionalFormatting sqref="HP1:HX1">
    <cfRule type="cellIs" dxfId="5997" priority="96" operator="equal">
      <formula>"PIN"</formula>
    </cfRule>
    <cfRule type="cellIs" dxfId="5996" priority="97" operator="equal">
      <formula>"ORA"</formula>
    </cfRule>
    <cfRule type="cellIs" dxfId="5995" priority="98" operator="equal">
      <formula>"GRA"</formula>
    </cfRule>
    <cfRule type="cellIs" dxfId="5994" priority="99" operator="equal">
      <formula>"PUR"</formula>
    </cfRule>
    <cfRule type="cellIs" dxfId="5993" priority="100" operator="equal">
      <formula>"BRO"</formula>
    </cfRule>
    <cfRule type="cellIs" dxfId="5992" priority="101" operator="equal">
      <formula>"YEL"</formula>
    </cfRule>
    <cfRule type="cellIs" dxfId="5991" priority="102" operator="equal">
      <formula>"BLU"</formula>
    </cfRule>
    <cfRule type="cellIs" dxfId="5990" priority="103" operator="equal">
      <formula>"WHI"</formula>
    </cfRule>
    <cfRule type="cellIs" dxfId="5989" priority="104" operator="equal">
      <formula>"GRE"</formula>
    </cfRule>
    <cfRule type="cellIs" dxfId="5988" priority="105" operator="equal">
      <formula>"RED"</formula>
    </cfRule>
    <cfRule type="cellIs" dxfId="5987" priority="106" operator="equal">
      <formula>"BLA"</formula>
    </cfRule>
  </conditionalFormatting>
  <conditionalFormatting sqref="IC1:IK1">
    <cfRule type="cellIs" dxfId="5986" priority="107" operator="equal">
      <formula>"PIN"</formula>
    </cfRule>
    <cfRule type="cellIs" dxfId="5985" priority="108" operator="equal">
      <formula>"ORA"</formula>
    </cfRule>
    <cfRule type="cellIs" dxfId="5984" priority="109" operator="equal">
      <formula>"GRA"</formula>
    </cfRule>
    <cfRule type="cellIs" dxfId="5983" priority="110" operator="equal">
      <formula>"PUR"</formula>
    </cfRule>
    <cfRule type="cellIs" dxfId="5982" priority="111" operator="equal">
      <formula>"BRO"</formula>
    </cfRule>
    <cfRule type="cellIs" dxfId="5981" priority="112" operator="equal">
      <formula>"YEL"</formula>
    </cfRule>
    <cfRule type="cellIs" dxfId="5980" priority="113" operator="equal">
      <formula>"BLU"</formula>
    </cfRule>
    <cfRule type="cellIs" dxfId="5979" priority="114" operator="equal">
      <formula>"WHI"</formula>
    </cfRule>
    <cfRule type="cellIs" dxfId="5978" priority="115" operator="equal">
      <formula>"GRE"</formula>
    </cfRule>
    <cfRule type="cellIs" dxfId="5977" priority="116" operator="equal">
      <formula>"RED"</formula>
    </cfRule>
    <cfRule type="cellIs" dxfId="5976" priority="117" operator="equal">
      <formula>"BLA"</formula>
    </cfRule>
  </conditionalFormatting>
  <conditionalFormatting sqref="IO1:IW1">
    <cfRule type="cellIs" dxfId="5975" priority="85" operator="equal">
      <formula>"PIN"</formula>
    </cfRule>
    <cfRule type="cellIs" dxfId="5974" priority="86" operator="equal">
      <formula>"ORA"</formula>
    </cfRule>
    <cfRule type="cellIs" dxfId="5973" priority="87" operator="equal">
      <formula>"GRA"</formula>
    </cfRule>
    <cfRule type="cellIs" dxfId="5972" priority="88" operator="equal">
      <formula>"PUR"</formula>
    </cfRule>
    <cfRule type="cellIs" dxfId="5971" priority="89" operator="equal">
      <formula>"BRO"</formula>
    </cfRule>
    <cfRule type="cellIs" dxfId="5970" priority="90" operator="equal">
      <formula>"YEL"</formula>
    </cfRule>
    <cfRule type="cellIs" dxfId="5969" priority="91" operator="equal">
      <formula>"BLU"</formula>
    </cfRule>
    <cfRule type="cellIs" dxfId="5968" priority="92" operator="equal">
      <formula>"WHI"</formula>
    </cfRule>
    <cfRule type="cellIs" dxfId="5967" priority="93" operator="equal">
      <formula>"GRE"</formula>
    </cfRule>
    <cfRule type="cellIs" dxfId="5966" priority="94" operator="equal">
      <formula>"RED"</formula>
    </cfRule>
    <cfRule type="cellIs" dxfId="5965" priority="95" operator="equal">
      <formula>"BLA"</formula>
    </cfRule>
  </conditionalFormatting>
  <conditionalFormatting sqref="H2">
    <cfRule type="cellIs" dxfId="5964" priority="77" stopIfTrue="1" operator="notEqual">
      <formula>""</formula>
    </cfRule>
  </conditionalFormatting>
  <conditionalFormatting sqref="R2 CU2">
    <cfRule type="cellIs" dxfId="5963" priority="79" operator="greaterThan">
      <formula>0</formula>
    </cfRule>
  </conditionalFormatting>
  <conditionalFormatting sqref="T2:AS2 CH2:CS2">
    <cfRule type="cellIs" dxfId="5962" priority="74" stopIfTrue="1" operator="equal">
      <formula>"n"</formula>
    </cfRule>
    <cfRule type="cellIs" dxfId="5961" priority="75" stopIfTrue="1" operator="equal">
      <formula>"y"</formula>
    </cfRule>
    <cfRule type="cellIs" dxfId="5960" priority="76" operator="greaterThan">
      <formula>0</formula>
    </cfRule>
  </conditionalFormatting>
  <conditionalFormatting sqref="AZ2:BB2">
    <cfRule type="expression" dxfId="5959" priority="61">
      <formula>$AT2=0</formula>
    </cfRule>
  </conditionalFormatting>
  <conditionalFormatting sqref="AZ2:BU2">
    <cfRule type="cellIs" dxfId="5958" priority="62" operator="equal">
      <formula>"PIN"</formula>
    </cfRule>
    <cfRule type="cellIs" dxfId="5957" priority="63" operator="equal">
      <formula>"ORA"</formula>
    </cfRule>
    <cfRule type="cellIs" dxfId="5956" priority="64" operator="equal">
      <formula>"GRA"</formula>
    </cfRule>
    <cfRule type="cellIs" dxfId="5955" priority="65" operator="equal">
      <formula>"PUR"</formula>
    </cfRule>
    <cfRule type="cellIs" dxfId="5954" priority="66" operator="equal">
      <formula>"BRO"</formula>
    </cfRule>
    <cfRule type="cellIs" dxfId="5953" priority="67" operator="equal">
      <formula>"YEL"</formula>
    </cfRule>
    <cfRule type="cellIs" dxfId="5952" priority="68" operator="equal">
      <formula>"BLU"</formula>
    </cfRule>
    <cfRule type="cellIs" dxfId="5951" priority="69" operator="equal">
      <formula>"WHI"</formula>
    </cfRule>
    <cfRule type="cellIs" dxfId="5950" priority="70" operator="equal">
      <formula>"GRE"</formula>
    </cfRule>
    <cfRule type="cellIs" dxfId="5949" priority="71" operator="equal">
      <formula>"RED"</formula>
    </cfRule>
    <cfRule type="cellIs" dxfId="5948" priority="72" operator="equal">
      <formula>"BLA"</formula>
    </cfRule>
  </conditionalFormatting>
  <conditionalFormatting sqref="BV2">
    <cfRule type="cellIs" dxfId="5947" priority="78" operator="equal">
      <formula>"nc"</formula>
    </cfRule>
  </conditionalFormatting>
  <conditionalFormatting sqref="CD2:CF2 BZ2:CA2">
    <cfRule type="cellIs" dxfId="5946" priority="73" operator="greaterThan">
      <formula>0</formula>
    </cfRule>
  </conditionalFormatting>
  <conditionalFormatting sqref="IC2:IK2">
    <cfRule type="expression" dxfId="5945" priority="60">
      <formula>$IL2&gt;0</formula>
    </cfRule>
  </conditionalFormatting>
  <conditionalFormatting sqref="BX2:CA2 CD2:CF2">
    <cfRule type="cellIs" dxfId="5944" priority="48" operator="equal">
      <formula>"y"</formula>
    </cfRule>
    <cfRule type="cellIs" dxfId="5943" priority="49" operator="equal">
      <formula>"PIN"</formula>
    </cfRule>
    <cfRule type="cellIs" dxfId="5942" priority="50" operator="equal">
      <formula>"ORA"</formula>
    </cfRule>
    <cfRule type="cellIs" dxfId="5941" priority="51" operator="equal">
      <formula>"GRA"</formula>
    </cfRule>
    <cfRule type="cellIs" dxfId="5940" priority="52" operator="equal">
      <formula>"PUR"</formula>
    </cfRule>
    <cfRule type="cellIs" dxfId="5939" priority="53" operator="equal">
      <formula>"BRO"</formula>
    </cfRule>
    <cfRule type="cellIs" dxfId="5938" priority="54" operator="equal">
      <formula>"YEL"</formula>
    </cfRule>
    <cfRule type="cellIs" dxfId="5937" priority="55" operator="equal">
      <formula>"BLU"</formula>
    </cfRule>
    <cfRule type="cellIs" dxfId="5936" priority="56" operator="equal">
      <formula>"WHI"</formula>
    </cfRule>
    <cfRule type="cellIs" dxfId="5935" priority="57" operator="equal">
      <formula>"GRE"</formula>
    </cfRule>
    <cfRule type="cellIs" dxfId="5934" priority="58" operator="equal">
      <formula>"RED"</formula>
    </cfRule>
    <cfRule type="cellIs" dxfId="5933" priority="59" operator="equal">
      <formula>"BLA"</formula>
    </cfRule>
  </conditionalFormatting>
  <conditionalFormatting sqref="J2">
    <cfRule type="colorScale" priority="80">
      <colorScale>
        <cfvo type="min"/>
        <cfvo type="percentile" val="50"/>
        <cfvo type="max"/>
        <color rgb="FFF8696B"/>
        <color rgb="FFFFEB84"/>
        <color rgb="FF63BE7B"/>
      </colorScale>
    </cfRule>
  </conditionalFormatting>
  <conditionalFormatting sqref="S2">
    <cfRule type="colorScale" priority="81">
      <colorScale>
        <cfvo type="min"/>
        <cfvo type="max"/>
        <color rgb="FFFCFCFF"/>
        <color rgb="FF754BFB"/>
      </colorScale>
    </cfRule>
  </conditionalFormatting>
  <conditionalFormatting sqref="AT2">
    <cfRule type="colorScale" priority="82">
      <colorScale>
        <cfvo type="min"/>
        <cfvo type="max"/>
        <color rgb="FFFCFCFF"/>
        <color theme="8" tint="0.39997558519241921"/>
      </colorScale>
    </cfRule>
  </conditionalFormatting>
  <conditionalFormatting sqref="CG2">
    <cfRule type="colorScale" priority="83">
      <colorScale>
        <cfvo type="min"/>
        <cfvo type="max"/>
        <color rgb="FFFCFCFF"/>
        <color rgb="FF63BE7B"/>
      </colorScale>
    </cfRule>
  </conditionalFormatting>
  <conditionalFormatting sqref="H3">
    <cfRule type="cellIs" dxfId="5932" priority="40" stopIfTrue="1" operator="notEqual">
      <formula>""</formula>
    </cfRule>
  </conditionalFormatting>
  <conditionalFormatting sqref="R3 CU3">
    <cfRule type="cellIs" dxfId="5931" priority="43" operator="greaterThan">
      <formula>0</formula>
    </cfRule>
  </conditionalFormatting>
  <conditionalFormatting sqref="T3:AS3 CH3:CS3">
    <cfRule type="cellIs" dxfId="5930" priority="37" stopIfTrue="1" operator="equal">
      <formula>"n"</formula>
    </cfRule>
    <cfRule type="cellIs" dxfId="5929" priority="38" stopIfTrue="1" operator="equal">
      <formula>"y"</formula>
    </cfRule>
    <cfRule type="cellIs" dxfId="5928" priority="39" operator="greaterThan">
      <formula>0</formula>
    </cfRule>
  </conditionalFormatting>
  <conditionalFormatting sqref="AZ3:BB3">
    <cfRule type="expression" dxfId="5927" priority="24">
      <formula>$AT3=0</formula>
    </cfRule>
  </conditionalFormatting>
  <conditionalFormatting sqref="CD3:CF3 BX3:CA3 AZ3:BU3">
    <cfRule type="cellIs" dxfId="5926" priority="25" operator="equal">
      <formula>"PIN"</formula>
    </cfRule>
    <cfRule type="cellIs" dxfId="5925" priority="26" operator="equal">
      <formula>"ORA"</formula>
    </cfRule>
    <cfRule type="cellIs" dxfId="5924" priority="27" operator="equal">
      <formula>"GRA"</formula>
    </cfRule>
    <cfRule type="cellIs" dxfId="5923" priority="28" operator="equal">
      <formula>"PUR"</formula>
    </cfRule>
    <cfRule type="cellIs" dxfId="5922" priority="29" operator="equal">
      <formula>"BRO"</formula>
    </cfRule>
    <cfRule type="cellIs" dxfId="5921" priority="30" operator="equal">
      <formula>"YEL"</formula>
    </cfRule>
    <cfRule type="cellIs" dxfId="5920" priority="31" operator="equal">
      <formula>"BLU"</formula>
    </cfRule>
    <cfRule type="cellIs" dxfId="5919" priority="32" operator="equal">
      <formula>"WHI"</formula>
    </cfRule>
    <cfRule type="cellIs" dxfId="5918" priority="33" operator="equal">
      <formula>"GRE"</formula>
    </cfRule>
    <cfRule type="cellIs" dxfId="5917" priority="34" operator="equal">
      <formula>"RED"</formula>
    </cfRule>
    <cfRule type="cellIs" dxfId="5916" priority="35" operator="equal">
      <formula>"BLA"</formula>
    </cfRule>
  </conditionalFormatting>
  <conditionalFormatting sqref="BV3">
    <cfRule type="cellIs" dxfId="5915" priority="42" operator="equal">
      <formula>"nc"</formula>
    </cfRule>
  </conditionalFormatting>
  <conditionalFormatting sqref="CD3:CF3 BX3:CA3">
    <cfRule type="cellIs" dxfId="5914" priority="41" operator="equal">
      <formula>"y"</formula>
    </cfRule>
  </conditionalFormatting>
  <conditionalFormatting sqref="CD3:CF3 BZ3:CA3">
    <cfRule type="cellIs" dxfId="5913" priority="36" operator="greaterThan">
      <formula>0</formula>
    </cfRule>
  </conditionalFormatting>
  <conditionalFormatting sqref="IC3:IK3">
    <cfRule type="expression" dxfId="5912" priority="23">
      <formula>$IL3&gt;0</formula>
    </cfRule>
  </conditionalFormatting>
  <conditionalFormatting sqref="IC3">
    <cfRule type="cellIs" dxfId="5911" priority="17" stopIfTrue="1" operator="greaterThan">
      <formula>0</formula>
    </cfRule>
  </conditionalFormatting>
  <conditionalFormatting sqref="ID3">
    <cfRule type="cellIs" dxfId="5910" priority="15" stopIfTrue="1" operator="greaterThan">
      <formula>0</formula>
    </cfRule>
  </conditionalFormatting>
  <conditionalFormatting sqref="II3 IE3:IF3">
    <cfRule type="cellIs" dxfId="5909" priority="22" operator="greaterThan">
      <formula>0</formula>
    </cfRule>
  </conditionalFormatting>
  <conditionalFormatting sqref="II3 IF3">
    <cfRule type="cellIs" dxfId="5908" priority="16" stopIfTrue="1" operator="greaterThan">
      <formula>0</formula>
    </cfRule>
  </conditionalFormatting>
  <conditionalFormatting sqref="IG3">
    <cfRule type="cellIs" dxfId="5907" priority="21" operator="greaterThan">
      <formula>0</formula>
    </cfRule>
  </conditionalFormatting>
  <conditionalFormatting sqref="IH3:II3">
    <cfRule type="cellIs" dxfId="5906" priority="20" operator="greaterThan">
      <formula>0</formula>
    </cfRule>
  </conditionalFormatting>
  <conditionalFormatting sqref="IJ3">
    <cfRule type="cellIs" dxfId="5905" priority="19" operator="greaterThan">
      <formula>0</formula>
    </cfRule>
  </conditionalFormatting>
  <conditionalFormatting sqref="IK3">
    <cfRule type="cellIs" dxfId="5904" priority="18" operator="greaterThan">
      <formula>0</formula>
    </cfRule>
  </conditionalFormatting>
  <conditionalFormatting sqref="IF3">
    <cfRule type="cellIs" dxfId="5903" priority="14" stopIfTrue="1" operator="greaterThan">
      <formula>0</formula>
    </cfRule>
  </conditionalFormatting>
  <conditionalFormatting sqref="IM3">
    <cfRule type="cellIs" dxfId="5902" priority="13" operator="equal">
      <formula>0</formula>
    </cfRule>
  </conditionalFormatting>
  <conditionalFormatting sqref="BX3:CA3 CD3:CF3">
    <cfRule type="cellIs" dxfId="5901" priority="1" operator="equal">
      <formula>"y"</formula>
    </cfRule>
    <cfRule type="cellIs" dxfId="5900" priority="2" operator="equal">
      <formula>"PIN"</formula>
    </cfRule>
    <cfRule type="cellIs" dxfId="5899" priority="3" operator="equal">
      <formula>"ORA"</formula>
    </cfRule>
    <cfRule type="cellIs" dxfId="5898" priority="4" operator="equal">
      <formula>"GRA"</formula>
    </cfRule>
    <cfRule type="cellIs" dxfId="5897" priority="5" operator="equal">
      <formula>"PUR"</formula>
    </cfRule>
    <cfRule type="cellIs" dxfId="5896" priority="6" operator="equal">
      <formula>"BRO"</formula>
    </cfRule>
    <cfRule type="cellIs" dxfId="5895" priority="7" operator="equal">
      <formula>"YEL"</formula>
    </cfRule>
    <cfRule type="cellIs" dxfId="5894" priority="8" operator="equal">
      <formula>"BLU"</formula>
    </cfRule>
    <cfRule type="cellIs" dxfId="5893" priority="9" operator="equal">
      <formula>"WHI"</formula>
    </cfRule>
    <cfRule type="cellIs" dxfId="5892" priority="10" operator="equal">
      <formula>"GRE"</formula>
    </cfRule>
    <cfRule type="cellIs" dxfId="5891" priority="11" operator="equal">
      <formula>"RED"</formula>
    </cfRule>
    <cfRule type="cellIs" dxfId="5890" priority="12" operator="equal">
      <formula>"BLA"</formula>
    </cfRule>
  </conditionalFormatting>
  <conditionalFormatting sqref="AT3">
    <cfRule type="colorScale" priority="44">
      <colorScale>
        <cfvo type="min"/>
        <cfvo type="max"/>
        <color rgb="FFFCFCFF"/>
        <color theme="8" tint="0.39997558519241921"/>
      </colorScale>
    </cfRule>
  </conditionalFormatting>
  <conditionalFormatting sqref="S3">
    <cfRule type="colorScale" priority="45">
      <colorScale>
        <cfvo type="min"/>
        <cfvo type="max"/>
        <color rgb="FFFCFCFF"/>
        <color rgb="FF754BFB"/>
      </colorScale>
    </cfRule>
  </conditionalFormatting>
  <conditionalFormatting sqref="J3">
    <cfRule type="colorScale" priority="46">
      <colorScale>
        <cfvo type="min"/>
        <cfvo type="percentile" val="50"/>
        <cfvo type="max"/>
        <color rgb="FFF8696B"/>
        <color rgb="FFFFEB84"/>
        <color rgb="FF63BE7B"/>
      </colorScale>
    </cfRule>
  </conditionalFormatting>
  <conditionalFormatting sqref="CG3">
    <cfRule type="colorScale" priority="47">
      <colorScale>
        <cfvo type="min"/>
        <cfvo type="max"/>
        <color rgb="FFFCFCFF"/>
        <color rgb="FF63BE7B"/>
      </colorScale>
    </cfRule>
  </conditionalFormatting>
  <hyperlinks>
    <hyperlink ref="A2" r:id="rId1" display="https://fbref.com/en/country/BOT/Botswana-Football" xr:uid="{1CA450BF-4F8A-4C2C-A9F9-AF628905B5EF}"/>
    <hyperlink ref="E2" r:id="rId2" xr:uid="{986029CF-828A-446A-8261-D70DFF0A8C03}"/>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0721" r:id="rId6"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30722" r:id="rId7"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30723" r:id="rId8"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3C5E11-95BA-47F9-9CA8-AD97FC50A276}">
  <sheetPr codeName="Sheet48"/>
  <dimension ref="A1:IY6"/>
  <sheetViews>
    <sheetView zoomScale="70" zoomScaleNormal="70" workbookViewId="0">
      <pane xSplit="5" ySplit="1" topLeftCell="F2" activePane="bottomRight" state="frozen"/>
      <selection pane="topRight" activeCell="F1" sqref="F1"/>
      <selection pane="bottomLeft" activeCell="A2" sqref="A2"/>
      <selection pane="bottomRight" activeCell="F7" sqref="F7"/>
    </sheetView>
  </sheetViews>
  <sheetFormatPr defaultRowHeight="38.4" customHeight="1" x14ac:dyDescent="0.3"/>
  <cols>
    <col min="1" max="1" width="52.44140625" style="81" bestFit="1" customWidth="1"/>
    <col min="2" max="2" width="10.109375" style="81" customWidth="1"/>
    <col min="3" max="3" width="7.44140625" style="82" customWidth="1"/>
    <col min="4" max="4" width="4.77734375" style="83" customWidth="1"/>
    <col min="5" max="5" width="4.5546875" style="83" customWidth="1"/>
    <col min="6" max="6" width="5.77734375" style="83" customWidth="1"/>
    <col min="7" max="7" width="7.44140625" style="81" customWidth="1"/>
    <col min="8" max="8" width="11.44140625" style="81" customWidth="1"/>
    <col min="9" max="9" width="10" style="81" customWidth="1"/>
    <col min="10" max="10" width="4.21875" style="81" customWidth="1"/>
    <col min="11" max="11" width="5.6640625" style="83" customWidth="1"/>
    <col min="12" max="12" width="2.88671875" style="83" customWidth="1"/>
    <col min="13" max="13" width="6.44140625" style="83" customWidth="1"/>
    <col min="14" max="14" width="4.5546875" style="83" customWidth="1"/>
    <col min="15" max="15" width="10.5546875" style="84" customWidth="1"/>
    <col min="16" max="16" width="6.88671875" style="83" customWidth="1"/>
    <col min="17" max="17" width="4.77734375" style="83" customWidth="1"/>
    <col min="18" max="18" width="13.109375" style="82" customWidth="1"/>
    <col min="19" max="19" width="6.77734375" style="82" customWidth="1"/>
    <col min="20" max="46" width="8.44140625" style="81" customWidth="1"/>
    <col min="47" max="47" width="24.5546875" style="81" customWidth="1"/>
    <col min="48" max="51" width="16.6640625" style="81" customWidth="1"/>
    <col min="52" max="52" width="6.5546875" style="81" customWidth="1"/>
    <col min="53" max="54" width="5.88671875" style="81" customWidth="1"/>
    <col min="55" max="55" width="1.33203125" style="81" customWidth="1"/>
    <col min="56" max="56" width="7.44140625" style="81" customWidth="1"/>
    <col min="57" max="57" width="2.33203125" style="81" customWidth="1"/>
    <col min="58" max="62" width="6.109375" style="81" customWidth="1"/>
    <col min="63" max="63" width="2.33203125" style="81" customWidth="1"/>
    <col min="64" max="64" width="7" style="81" bestFit="1" customWidth="1"/>
    <col min="65" max="65" width="6.44140625" style="81" bestFit="1" customWidth="1"/>
    <col min="66" max="66" width="7.109375" style="81" bestFit="1" customWidth="1"/>
    <col min="67" max="71" width="6.44140625" style="81" bestFit="1" customWidth="1"/>
    <col min="72" max="73" width="6.44140625" style="81" customWidth="1"/>
    <col min="74" max="75" width="13.44140625" style="81" customWidth="1"/>
    <col min="76" max="84" width="14.6640625" style="81" customWidth="1"/>
    <col min="85" max="85" width="6.44140625" style="81" customWidth="1"/>
    <col min="86" max="87" width="11.6640625" style="81" bestFit="1" customWidth="1"/>
    <col min="88" max="88" width="11.6640625" style="81" customWidth="1"/>
    <col min="89" max="89" width="12.77734375" style="81" bestFit="1" customWidth="1"/>
    <col min="90" max="90" width="16.44140625" style="82" bestFit="1" customWidth="1"/>
    <col min="91" max="92" width="14.88671875" style="82" bestFit="1" customWidth="1"/>
    <col min="93" max="93" width="16" style="82" bestFit="1" customWidth="1"/>
    <col min="94" max="97" width="7.77734375" style="81" customWidth="1"/>
    <col min="98" max="98" width="33.21875" style="81" customWidth="1"/>
    <col min="99" max="99" width="18" style="81" customWidth="1"/>
    <col min="100" max="100" width="75.6640625" style="81" customWidth="1"/>
    <col min="101" max="125" width="33" style="81" customWidth="1"/>
    <col min="126" max="126" width="8.88671875" style="81"/>
    <col min="127" max="128" width="9.44140625" style="81" bestFit="1" customWidth="1"/>
    <col min="129" max="129" width="10.77734375" style="81" bestFit="1" customWidth="1"/>
    <col min="130" max="134" width="10.77734375" style="81" customWidth="1"/>
    <col min="135" max="135" width="10.109375" style="81" bestFit="1" customWidth="1"/>
    <col min="136" max="136" width="7.77734375" style="81" bestFit="1" customWidth="1"/>
    <col min="137" max="137" width="7.77734375" style="81" customWidth="1"/>
    <col min="138" max="138" width="9" style="81" bestFit="1" customWidth="1"/>
    <col min="139" max="139" width="11.33203125" style="81" bestFit="1" customWidth="1"/>
    <col min="140" max="140" width="9.109375" style="81" bestFit="1" customWidth="1"/>
    <col min="141" max="141" width="9" style="81" bestFit="1" customWidth="1"/>
    <col min="142" max="142" width="12" style="81" bestFit="1" customWidth="1"/>
    <col min="143" max="166" width="12" style="81" customWidth="1"/>
    <col min="167" max="167" width="17.21875" style="81" customWidth="1"/>
    <col min="168" max="191" width="12" style="81" customWidth="1"/>
    <col min="192" max="192" width="8.5546875" style="81" bestFit="1" customWidth="1"/>
    <col min="193" max="193" width="8.5546875" style="81" customWidth="1"/>
    <col min="194" max="194" width="7.109375" style="81" bestFit="1" customWidth="1"/>
    <col min="195" max="195" width="7.5546875" style="81" bestFit="1" customWidth="1"/>
    <col min="196" max="196" width="8.5546875" style="81" bestFit="1" customWidth="1"/>
    <col min="197" max="200" width="8.5546875" style="81" customWidth="1"/>
    <col min="201" max="201" width="188.88671875" style="81" customWidth="1"/>
    <col min="202" max="202" width="9.5546875" style="81" bestFit="1" customWidth="1"/>
    <col min="203" max="203" width="10.44140625" style="81" bestFit="1" customWidth="1"/>
    <col min="204" max="204" width="11.109375" style="81" bestFit="1" customWidth="1"/>
    <col min="205" max="205" width="10.44140625" style="81" bestFit="1" customWidth="1"/>
    <col min="206" max="210" width="10.44140625" style="81" customWidth="1"/>
    <col min="211" max="211" width="45.44140625" style="81" customWidth="1"/>
    <col min="212" max="212" width="47.5546875" style="81" bestFit="1" customWidth="1"/>
    <col min="213" max="213" width="9.33203125" style="85" customWidth="1"/>
    <col min="214" max="214" width="119.5546875" style="81" customWidth="1"/>
    <col min="215" max="215" width="69.6640625" style="81" customWidth="1"/>
    <col min="216" max="218" width="8.88671875" style="81"/>
    <col min="219" max="219" width="37.109375" style="81" customWidth="1"/>
    <col min="220" max="220" width="16.33203125" style="81" customWidth="1"/>
    <col min="221" max="222" width="8.88671875" style="81"/>
    <col min="223" max="223" width="10.109375" style="81" bestFit="1" customWidth="1"/>
    <col min="224" max="232" width="10.88671875" style="81" customWidth="1"/>
    <col min="233" max="234" width="30.77734375" style="81" customWidth="1"/>
    <col min="235" max="235" width="5.109375" style="81" customWidth="1"/>
    <col min="236" max="236" width="3" style="81" customWidth="1"/>
    <col min="237" max="245" width="6.77734375" style="86" customWidth="1"/>
    <col min="246" max="247" width="8.88671875" style="81"/>
    <col min="248" max="248" width="61.5546875" style="81" customWidth="1"/>
    <col min="249" max="253" width="8.88671875" style="81"/>
    <col min="254" max="254" width="9" style="81" customWidth="1"/>
    <col min="255" max="16384" width="8.88671875" style="8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762</v>
      </c>
      <c r="B2" s="40" t="e" vm="14">
        <v>#VALUE!</v>
      </c>
      <c r="C2" s="41">
        <v>1</v>
      </c>
      <c r="D2" s="42" t="s">
        <v>763</v>
      </c>
      <c r="E2" s="43" t="s">
        <v>764</v>
      </c>
      <c r="F2" s="44" t="s">
        <v>163</v>
      </c>
      <c r="G2" s="45">
        <f>COUNTIF($A$1:$A$8357,A2)</f>
        <v>1</v>
      </c>
      <c r="H2" s="46"/>
      <c r="I2" s="47" t="s">
        <v>765</v>
      </c>
      <c r="J2" s="48" t="str">
        <f>""</f>
        <v/>
      </c>
      <c r="K2" s="49">
        <v>5700000</v>
      </c>
      <c r="L2" s="50">
        <v>87000</v>
      </c>
      <c r="M2" s="50" t="s">
        <v>769</v>
      </c>
      <c r="N2" s="51" t="s">
        <v>180</v>
      </c>
      <c r="O2" s="52" t="s">
        <v>587</v>
      </c>
      <c r="P2" s="53" t="s">
        <v>766</v>
      </c>
      <c r="Q2" s="54">
        <v>3</v>
      </c>
      <c r="R2" s="55" t="s">
        <v>180</v>
      </c>
      <c r="S2" s="56">
        <v>5</v>
      </c>
      <c r="T2" s="57" t="s">
        <v>164</v>
      </c>
      <c r="U2" s="58" t="s">
        <v>164</v>
      </c>
      <c r="V2" s="58" t="s">
        <v>167</v>
      </c>
      <c r="W2" s="58" t="s">
        <v>167</v>
      </c>
      <c r="X2" s="58" t="s">
        <v>164</v>
      </c>
      <c r="Y2" s="58" t="s">
        <v>164</v>
      </c>
      <c r="Z2" s="58" t="s">
        <v>164</v>
      </c>
      <c r="AA2" s="58" t="s">
        <v>164</v>
      </c>
      <c r="AB2" s="58" t="s">
        <v>164</v>
      </c>
      <c r="AC2" s="58" t="s">
        <v>164</v>
      </c>
      <c r="AD2" s="58" t="s">
        <v>164</v>
      </c>
      <c r="AE2" s="58" t="s">
        <v>164</v>
      </c>
      <c r="AF2" s="59" t="s">
        <v>164</v>
      </c>
      <c r="AG2" s="59" t="s">
        <v>167</v>
      </c>
      <c r="AH2" s="59" t="s">
        <v>164</v>
      </c>
      <c r="AI2" s="59" t="s">
        <v>167</v>
      </c>
      <c r="AJ2" s="59" t="s">
        <v>164</v>
      </c>
      <c r="AK2" s="59" t="s">
        <v>164</v>
      </c>
      <c r="AL2" s="59" t="s">
        <v>164</v>
      </c>
      <c r="AM2" s="59" t="s">
        <v>164</v>
      </c>
      <c r="AN2" s="59" t="s">
        <v>164</v>
      </c>
      <c r="AO2" s="59" t="s">
        <v>164</v>
      </c>
      <c r="AP2" s="59" t="s">
        <v>164</v>
      </c>
      <c r="AQ2" s="59" t="s">
        <v>164</v>
      </c>
      <c r="AR2" s="59" t="s">
        <v>164</v>
      </c>
      <c r="AS2" s="59" t="s">
        <v>164</v>
      </c>
      <c r="AT2" s="60">
        <v>1</v>
      </c>
      <c r="AU2" s="59"/>
      <c r="AV2" s="59" t="str">
        <f>IF(LEFT(A2,1)="[",LEFT(A2,5)&amp;AU2&amp;A2,"")</f>
        <v/>
      </c>
      <c r="AW2" s="59" t="str">
        <f t="shared" ref="AW2" si="0">C2&amp;H2&amp;A2</f>
        <v>1Central African Republic</v>
      </c>
      <c r="AX2" s="61" t="str">
        <f>_xlfn.TEXTJOIN(";",TRUE,AU2:AW2)</f>
        <v>1Central African Republic</v>
      </c>
      <c r="AY2" s="61"/>
      <c r="AZ2" s="62" t="s">
        <v>155</v>
      </c>
      <c r="BA2" s="62"/>
      <c r="BB2" s="62"/>
      <c r="BC2" s="63"/>
      <c r="BD2" s="64" t="s">
        <v>155</v>
      </c>
      <c r="BE2" s="47"/>
      <c r="BF2" s="64" t="s">
        <v>152</v>
      </c>
      <c r="BG2" s="64" t="s">
        <v>154</v>
      </c>
      <c r="BH2" s="64" t="s">
        <v>155</v>
      </c>
      <c r="BI2" s="64"/>
      <c r="BJ2" s="64"/>
      <c r="BK2" s="47"/>
      <c r="BL2" s="64" t="s">
        <v>152</v>
      </c>
      <c r="BM2" s="64" t="s">
        <v>159</v>
      </c>
      <c r="BN2" s="64" t="s">
        <v>153</v>
      </c>
      <c r="BO2" s="64" t="s">
        <v>155</v>
      </c>
      <c r="BP2" s="64" t="s">
        <v>154</v>
      </c>
      <c r="BQ2" s="64"/>
      <c r="BR2" s="64"/>
      <c r="BS2" s="64"/>
      <c r="BT2" s="64"/>
      <c r="BU2" s="65" t="s">
        <v>164</v>
      </c>
      <c r="BV2" s="66" t="s">
        <v>167</v>
      </c>
      <c r="BW2" s="66" t="s">
        <v>166</v>
      </c>
      <c r="BX2" s="47"/>
      <c r="BZ2" s="48" t="s">
        <v>167</v>
      </c>
      <c r="CB2" s="6" t="s">
        <v>767</v>
      </c>
      <c r="CC2" s="6"/>
      <c r="CD2" s="67">
        <v>0</v>
      </c>
      <c r="CE2" s="67">
        <v>0</v>
      </c>
      <c r="CF2" s="67" t="e">
        <v>#REF!</v>
      </c>
      <c r="CG2" s="68" cm="1">
        <f t="array" ref="CG2">SUMPRODUCT(--(LEN(TRIM(BL2:BT2))&gt;0))</f>
        <v>5</v>
      </c>
      <c r="CH2" s="59" t="str">
        <f>IF(CG2=2,"y","n")</f>
        <v>n</v>
      </c>
      <c r="CI2" s="59" t="str">
        <f>IF(CG2=3,"y","n")</f>
        <v>n</v>
      </c>
      <c r="CJ2" s="59" t="str">
        <f>IF(CG2=4,"y","n")</f>
        <v>n</v>
      </c>
      <c r="CK2" s="59" t="str">
        <f>IF(CG2&gt;4,"y","n")</f>
        <v>y</v>
      </c>
      <c r="CL2" s="59" t="str">
        <f>IF(S2=0,"y","n")</f>
        <v>n</v>
      </c>
      <c r="CM2" s="59" t="str">
        <f>IF(S2=2,"y","n")</f>
        <v>n</v>
      </c>
      <c r="CN2" s="59" t="str">
        <f>IF(S2=3,"y","n")</f>
        <v>n</v>
      </c>
      <c r="CO2" s="59" t="str">
        <f>IF(S2&gt;=4,"y","n")</f>
        <v>y</v>
      </c>
      <c r="CP2" s="59" t="str">
        <f>IF(AT2=0,"y","n")</f>
        <v>n</v>
      </c>
      <c r="CQ2" s="59" t="str">
        <f>IF(AT2=1,"y","n")</f>
        <v>y</v>
      </c>
      <c r="CR2" s="59" t="str">
        <f>IF(AT2=2,"y","n")</f>
        <v>n</v>
      </c>
      <c r="CS2" s="59" t="str">
        <f>IF(AT2&gt;=3,"y","n")</f>
        <v>n</v>
      </c>
      <c r="CT2" s="69" t="str">
        <f>CHAR(34)&amp;A2&amp;CHAR(34)</f>
        <v>"Central African Republic"</v>
      </c>
      <c r="CU2" s="70" t="str">
        <f>CHAR(34)&amp;"rgn_"&amp;R2&amp;CHAR(34)</f>
        <v>"rgn_Africa"</v>
      </c>
      <c r="CV2" s="48" t="str">
        <f>CHAR(34)&amp;D2&amp;CHAR(34)</f>
        <v>"https://i.ibb.co/98tpDQw/Central-African-Republic.png"</v>
      </c>
      <c r="CW2" s="48" t="str">
        <f>IF(CH2="y",CHAR(34)&amp;CH$1&amp;CHAR(34)&amp;",","")</f>
        <v/>
      </c>
      <c r="CX2" s="48" t="str">
        <f>IF(CI2="y",CHAR(34)&amp;CI$1&amp;CHAR(34)&amp;",","")</f>
        <v/>
      </c>
      <c r="CY2" s="48" t="str">
        <f>IF(CJ2="y",CHAR(34)&amp;CJ$1&amp;CHAR(34)&amp;",","")</f>
        <v/>
      </c>
      <c r="CZ2" s="48" t="str">
        <f>IF(CK2="y",CHAR(34)&amp;CK$1&amp;CHAR(34)&amp;",","")</f>
        <v>"5+Colo",</v>
      </c>
      <c r="DA2" s="48" t="str">
        <f>IF(Q2&gt;1,CHAR(34)&amp;"words2"&amp;CHAR(34)&amp;",","")</f>
        <v>"words2",</v>
      </c>
      <c r="DB2" s="48" t="str">
        <f>IF(Q2&gt;2,CHAR(34)&amp;"words3"&amp;CHAR(34)&amp;",","")</f>
        <v>"words3",</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"lets22",</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"startC",</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
      </c>
      <c r="DS2" s="6" t="str">
        <f>IF(W2="y",IF(AND(V2="n",BY2&lt;&gt;"y"),CHAR(34)&amp;"allver"&amp;CHAR(34)&amp;",",""),"")</f>
        <v/>
      </c>
      <c r="DT2" s="6" t="str">
        <f>IF(V2="y",IF(AND(W2="n",BY2&lt;&gt;"y"),CHAR(34)&amp;"allhor"&amp;CHAR(34)&amp;",",""),"")</f>
        <v/>
      </c>
      <c r="DU2" s="6" t="str">
        <f>IF(BY2="y",IF(AND(W2="n",V2="n"),CHAR(34)&amp;"alldia"&amp;CHAR(34)&amp;",",""),"")</f>
        <v/>
      </c>
      <c r="DV2" s="48" t="str">
        <f>IF(IA2&lt;&gt;"",(IF(IA2="y",CHAR(34)&amp;"largec"&amp;CHAR(34)&amp;",",CHAR(34)&amp;"smallc"&amp;CHAR(34)&amp;",")),"")</f>
        <v/>
      </c>
      <c r="DW2" s="48" t="str">
        <f>IF(CL2="y",CHAR(34)&amp;CL$1&amp;CHAR(34)&amp;",","")</f>
        <v/>
      </c>
      <c r="DX2" s="48" t="str">
        <f>IF(CM2="y",CHAR(34)&amp;CM$1&amp;CHAR(34)&amp;",","")</f>
        <v/>
      </c>
      <c r="DY2" s="48" t="str">
        <f>IF(CN2="y",CHAR(34)&amp;CN$1&amp;CHAR(34)&amp;",","")</f>
        <v/>
      </c>
      <c r="DZ2" s="48" t="str">
        <f>IF(CO2="y",CHAR(34)&amp;CO$1&amp;CHAR(34)&amp;",","")</f>
        <v>"4+Band",</v>
      </c>
      <c r="EA2" s="48" t="str">
        <f>IF(T2="y",CHAR(34)&amp;T$1&amp;CHAR(34)&amp;",","")</f>
        <v/>
      </c>
      <c r="EB2" s="48" t="str">
        <f>IF(U2="y",CHAR(34)&amp;U$1&amp;CHAR(34)&amp;",","")</f>
        <v/>
      </c>
      <c r="EC2" s="48" t="str">
        <f>IF(V2="y",CHAR(34)&amp;V$1&amp;CHAR(34)&amp;",","")</f>
        <v>"Horizo",</v>
      </c>
      <c r="ED2" s="48" t="str">
        <f>IF(W2="y",CHAR(34)&amp;W$1&amp;CHAR(34)&amp;",","")</f>
        <v>"Vertic",</v>
      </c>
      <c r="EE2" s="48" t="str">
        <f>IF(X2="y",CHAR(34)&amp;X$1&amp;CHAR(34)&amp;",","")</f>
        <v/>
      </c>
      <c r="EF2" s="48" t="str">
        <f>IF(AND(Y2&lt;&gt;"n",Y2&lt;&gt;""),CHAR(34)&amp;Y$1&amp;CHAR(34)&amp;",","")</f>
        <v/>
      </c>
      <c r="EG2" s="48" t="str">
        <f>IF(Z2="y",CHAR(34)&amp;Z$1&amp;CHAR(34)&amp;",","")</f>
        <v/>
      </c>
      <c r="EH2" s="48" t="str">
        <f>IF(AA2="y",CHAR(34)&amp;AA$1&amp;CHAR(34)&amp;",","")</f>
        <v/>
      </c>
      <c r="EI2" s="48" t="str">
        <f>IF(AB2="y",CHAR(34)&amp;AB$1&amp;CHAR(34)&amp;",","")</f>
        <v/>
      </c>
      <c r="EJ2" s="48" t="str">
        <f>IF(AC2="y",CHAR(34)&amp;AC$1&amp;CHAR(34)&amp;",","")</f>
        <v/>
      </c>
      <c r="EK2" s="48" t="str">
        <f>IF(AD2="y",CHAR(34)&amp;AD$1&amp;CHAR(34)&amp;",","")</f>
        <v/>
      </c>
      <c r="EL2" s="48" t="str">
        <f>IF(AE2="y",CHAR(34)&amp;AE$1&amp;CHAR(34)&amp;",","")</f>
        <v/>
      </c>
      <c r="EM2" s="48" t="str">
        <f>IF(AF2="y",CHAR(34)&amp;AF$1&amp;CHAR(34)&amp;",","")</f>
        <v/>
      </c>
      <c r="EN2" s="48" t="str">
        <f>IF(AG2="y",CHAR(34)&amp;AG$1&amp;CHAR(34)&amp;",","")</f>
        <v>"Unequa",</v>
      </c>
      <c r="EO2" s="48" t="str">
        <f>IF(AH2="y",CHAR(34)&amp;AH$1&amp;CHAR(34)&amp;",","")</f>
        <v/>
      </c>
      <c r="EP2" s="48" t="str">
        <f>IF(AI2="y",CHAR(34)&amp;AI$1&amp;CHAR(34)&amp;",","")</f>
        <v>"Canton",</v>
      </c>
      <c r="EQ2" s="48" t="str">
        <f>IF(AJ2="y",CHAR(34)&amp;AJ$1&amp;CHAR(34)&amp;",","")</f>
        <v/>
      </c>
      <c r="ER2" s="48" t="str">
        <f>IF(AK2="y",CHAR(34)&amp;AK$1&amp;CHAR(34)&amp;",","")</f>
        <v/>
      </c>
      <c r="ES2" s="48" t="str">
        <f>IF(AL2="y",CHAR(34)&amp;AL$1&amp;CHAR(34)&amp;",","")</f>
        <v/>
      </c>
      <c r="ET2" s="48" t="str">
        <f>IF(AM2="y",CHAR(34)&amp;AM$1&amp;CHAR(34)&amp;",","")</f>
        <v/>
      </c>
      <c r="EU2" s="48" t="str">
        <f>IF(AN2="y",CHAR(34)&amp;AN$1&amp;CHAR(34)&amp;",","")</f>
        <v/>
      </c>
      <c r="EV2" s="48" t="str">
        <f>IF(AO2="y",CHAR(34)&amp;AO$1&amp;CHAR(34)&amp;",","")</f>
        <v/>
      </c>
      <c r="EW2" s="48" t="str">
        <f>IF(AP2="y",CHAR(34)&amp;AP$1&amp;CHAR(34)&amp;",","")</f>
        <v/>
      </c>
      <c r="EX2" s="48" t="str">
        <f>IF(AQ2="y",CHAR(34)&amp;AQ$1&amp;CHAR(34)&amp;",","")</f>
        <v/>
      </c>
      <c r="EY2" s="48" t="str">
        <f>IF(AR2="y",CHAR(34)&amp;AR$1&amp;CHAR(34)&amp;",","")</f>
        <v/>
      </c>
      <c r="EZ2" s="48" t="str">
        <f>IF(AS2="y",CHAR(34)&amp;AS$1&amp;CHAR(34)&amp;",","")</f>
        <v/>
      </c>
      <c r="FA2" s="48" t="str">
        <f>IF(AT2&gt;0,CHAR(34)&amp;"sta"&amp;AZ2&amp;CHAR(34)&amp;",","")</f>
        <v>"staYEL",</v>
      </c>
      <c r="FB2" s="48" t="str">
        <f>IF(AND(AT2&gt;0,BA2&lt;&gt;""),CHAR(34)&amp;"sta"&amp;BA2&amp;CHAR(34)&amp;",","")</f>
        <v/>
      </c>
      <c r="FC2" s="48" t="str">
        <f>IF(AND(AT2&gt;0,BB2&lt;&gt;""),CHAR(34)&amp;"sta"&amp;BB2&amp;CHAR(34)&amp;",","")</f>
        <v/>
      </c>
      <c r="FD2" s="48" t="str">
        <f>IF(BV2="n",CHAR(34)&amp;"tcWHYE"&amp;CHAR(34)&amp;",",IF(BV2="y",CHAR(34)&amp;FD$1&amp;CHAR(34)&amp;",",""))</f>
        <v>"ntWHYE",</v>
      </c>
      <c r="FE2" s="48" t="str">
        <f>IF(COUNTIF(BL2:BT2,"BLU")=0,CHAR(34)&amp;"NO_BLU"&amp;CHAR(34)&amp;",", "")</f>
        <v/>
      </c>
      <c r="FF2" s="48" t="str">
        <f>IF(COUNTIF(BL2:BT2,"WHI")=0,CHAR(34)&amp;"NO_WHI"&amp;CHAR(34)&amp;",", "")</f>
        <v/>
      </c>
      <c r="FG2" s="48" t="str">
        <f>IF(COUNTIF(BL2:BT2,"RED")=0,CHAR(34)&amp;"NO_RED"&amp;CHAR(34)&amp;",", "")</f>
        <v/>
      </c>
      <c r="FH2" s="48" t="str">
        <f>IF(COUNTIF(BL2:BS2,"GRE")=0,CHAR(34)&amp;"NO_GRE"&amp;CHAR(34)&amp;",", "")</f>
        <v/>
      </c>
      <c r="FI2" s="48" t="str">
        <f>IF(COUNTIF(BL2:BT2,"YEL")=0,CHAR(34)&amp;"NO_YEL"&amp;CHAR(34)&amp;",", "")</f>
        <v/>
      </c>
      <c r="FJ2" s="48" t="str">
        <f>IF(COUNTIF(BL2:BT2,"BLA")=0,CHAR(34)&amp;"NO_BLA"&amp;CHAR(34)&amp;",", "")</f>
        <v>"NO_BLA",</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
      </c>
      <c r="FP2" s="48" t="str">
        <f>IF(AND(FF2&lt;&gt;"",FF2&lt;&gt;""),CHAR(34)&amp;"WHRENO"&amp;CHAR(34)&amp;",","")</f>
        <v/>
      </c>
      <c r="FQ2" s="48" t="str">
        <f>IF(LEN(BF2)=3,CHAR(34)&amp;"001"&amp;BF2&amp;CHAR(34)&amp;",","")</f>
        <v>"001BLU",</v>
      </c>
      <c r="FR2" s="48" t="str">
        <f>IF(LEN(BG2)=3,CHAR(34)&amp;"002"&amp;BG2&amp;CHAR(34)&amp;",","")</f>
        <v>"002RED",</v>
      </c>
      <c r="FS2" s="48" t="str">
        <f>IF(LEN(BH2)=3,CHAR(34)&amp;"003"&amp;BH2&amp;CHAR(34)&amp;",","")</f>
        <v>"003YEL",</v>
      </c>
      <c r="FT2" s="48" t="str">
        <f>CHAR(34)&amp;"myr"&amp;BD2&amp;CHAR(34)&amp;","</f>
        <v>"myrYEL",</v>
      </c>
      <c r="FU2" s="48" t="str">
        <f>IF(AY2="y",CHAR(34)&amp;"island"&amp;CHAR(34)&amp;",","")</f>
        <v/>
      </c>
      <c r="FV2" s="48" t="str">
        <f>IF(BZ2="y",CHAR(34)&amp;"landlo"&amp;CHAR(34)&amp;",","")</f>
        <v>"landlo",</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
      </c>
      <c r="GA2" s="48" t="str">
        <f>IFERROR(IF(SEARCH("French",CB2)&gt;0,CHAR(34)&amp;"french"&amp;CHAR(34)&amp;",",""),"")</f>
        <v>"french",</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
      </c>
      <c r="GK2" s="48" t="str">
        <f>IF(GJ2="",CHAR(34)&amp;"HasSta"&amp;CHAR(34)&amp;",","")</f>
        <v>"HasSta",</v>
      </c>
      <c r="GL2" s="48" t="str">
        <f>IF(CQ2="y",CHAR(34)&amp;CQ$1&amp;CHAR(34)&amp;",","")</f>
        <v>"1Stars",</v>
      </c>
      <c r="GM2" s="48" t="str">
        <f>IF(CR2="y",CHAR(34)&amp;CR$1&amp;CHAR(34)&amp;",","")</f>
        <v/>
      </c>
      <c r="GN2" s="48" t="str">
        <f>IF(CS2="y",CHAR(34)&amp;CS$1&amp;CHAR(34)&amp;",","")</f>
        <v/>
      </c>
      <c r="GP2" s="48" t="str">
        <f>CHAR(34)&amp;AU2&amp;CHAR(34)</f>
        <v>""</v>
      </c>
      <c r="GS2" s="48" t="str">
        <f>SUBSTITUTE("["&amp;_xlfn.CONCAT(CW2:GN2)&amp;"]",",]","]")</f>
        <v>["5+Colo","words2","words3","lets22","startC","year19","4+Band","Horizo","Vertic","Unequa","Canton","staYEL","ntWHYE","NO_BLA","001BLU","002RED","003YEL","myrYEL","landlo","french","HasSta","1Stars"]</v>
      </c>
      <c r="GT2" s="48" t="str">
        <f>IF(BL2&lt;&gt;"",CHAR(34)&amp;"cl_"&amp;BL2&amp;CHAR(34)&amp;",","")</f>
        <v>"cl_BLU",</v>
      </c>
      <c r="GU2" s="48" t="str">
        <f>IF(BM2&lt;&gt;"",CHAR(34)&amp;"cl_"&amp;BM2&amp;CHAR(34)&amp;",","")</f>
        <v>"cl_WHI",</v>
      </c>
      <c r="GV2" s="48" t="str">
        <f>IF(BN2&lt;&gt;"",CHAR(34)&amp;"cl_"&amp;BN2&amp;CHAR(34)&amp;",","")</f>
        <v>"cl_GRE",</v>
      </c>
      <c r="GW2" s="48" t="str">
        <f>IF(BO2&lt;&gt;"",CHAR(34)&amp;"cl_"&amp;BO2&amp;CHAR(34)&amp;",","")</f>
        <v>"cl_YEL",</v>
      </c>
      <c r="GX2" s="48" t="str">
        <f>IF(BP2&lt;&gt;"",CHAR(34)&amp;"cl_"&amp;BP2&amp;CHAR(34)&amp;",","")</f>
        <v>"cl_RED",</v>
      </c>
      <c r="GY2" s="48" t="str">
        <f>IF(BQ2&lt;&gt;"",CHAR(34)&amp;"cl_"&amp;BQ2&amp;CHAR(34)&amp;",","")</f>
        <v/>
      </c>
      <c r="GZ2" s="48" t="str">
        <f>IF(BR2&lt;&gt;"",CHAR(34)&amp;"cl_"&amp;BR2&amp;CHAR(34)&amp;",","")</f>
        <v/>
      </c>
      <c r="HA2" s="48" t="str">
        <f>IF(BS2&lt;&gt;"",CHAR(34)&amp;"cl_"&amp;BS2&amp;CHAR(34)&amp;",","")</f>
        <v/>
      </c>
      <c r="HB2" s="48" t="str">
        <f>IF(BT2&lt;&gt;"",CHAR(34)&amp;"cl_"&amp;BT2&amp;CHAR(34)&amp;",","")</f>
        <v/>
      </c>
      <c r="HC2" s="48" t="str">
        <f>SUBSTITUTE("["&amp;_xlfn.CONCAT(GT2:HB2)&amp;"]",",]","]")</f>
        <v>["cl_BLU","cl_WHI","cl_GRE","cl_YEL","cl_RED"]</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{couname:"Central African Republic",year:"1958 ",region:"rgn_Africa",Colors:["cl_BLU","cl_WHI","cl_GRE","cl_YEL","cl_RED"],Items:["5+Colo","words2","words3","lets22","startC","year19","4+Band","Horizo","Vertic","Unequa","Canton","staYEL","ntWHYE","NO_BLA","001BLU","002RED","003YEL","myrYEL","landlo","french","HasSta","1Stars"],Flag:"https://i.ibb.co/98tpDQw/Central-African-Republic.png",HDFlag:"https://upload.wikimedia.org/wikipedia/commons/thumb/6/6f/Flag_of_the_Central_African_Republic.svg/2560px-Flag_of_the_Central_African_Republic.svg.png",type:"", describe: "\nThe colours chosen are intended to be symbolic of France (blue and white) and Africa (green and yellow) with the red vertical stripe connecting them both in unity, and the respect that Europeans and Africans should have for each other. The yellow star is intended to be indicative of independence as well as a symbol of African unity, progress and tolerance", isnew:".", links: "https://en.wikipedia.org/wiki/Flag_of_Central_African_Republic"},</v>
      </c>
      <c r="HG2" s="73" t="str">
        <f>"{couname:"&amp;CT2&amp;(IF(HK2&lt;&gt;"",",subtype:"&amp;CHAR(34)&amp;HK2&amp;CHAR(34),""))&amp;",year:"&amp;HJ2&amp;",region:"&amp;CU2&amp;",Colors:"&amp;HC2&amp;",Items:"&amp;GS2&amp;",Flag:"&amp;CV2&amp;",HDFlag:"&amp;CHAR(34)&amp;E2&amp;CHAR(34)&amp;",type:"&amp;GP2&amp;", describe: "&amp;HI2&amp;", links: "&amp;HL2&amp;"},"</f>
        <v>{couname:"Central African Republic",year:"1958 ",region:"rgn_Africa",Colors:["cl_BLU","cl_WHI","cl_GRE","cl_YEL","cl_RED"],Items:["5+Colo","words2","words3","lets22","startC","year19","4+Band","Horizo","Vertic","Unequa","Canton","staYEL","ntWHYE","NO_BLA","001BLU","002RED","003YEL","myrYEL","landlo","french","HasSta","1Stars"],Flag:"https://i.ibb.co/98tpDQw/Central-African-Republic.png",HDFlag:"https://upload.wikimedia.org/wikipedia/commons/thumb/6/6f/Flag_of_the_Central_African_Republic.svg/2560px-Flag_of_the_Central_African_Republic.svg.png",type:"", describe: "\nThe colours chosen are intended to be symbolic of France (blue and white) and Africa (green and yellow) with the red vertical stripe connecting them both in unity, and the respect that Europeans and Africans should have for each other. The yellow star is intended to be indicative of independence as well as a symbol of African unity, progress and tolerance", links: "https://en.wikipedia.org/wiki/Flag_of_Central_African_Republic"},</v>
      </c>
      <c r="HH2" s="48" t="str">
        <f>IF(P2&lt;&gt;"",CHAR(34)&amp;"\n"&amp;P2&amp;CHAR(34),CHAR(34)&amp;CHAR(34))</f>
        <v>"\nThe colours chosen are intended to be symbolic of France (blue and white) and Africa (green and yellow) with the red vertical stripe connecting them both in unity, and the respect that Europeans and Africans should have for each other. The yellow star is intended to be indicative of independence as well as a symbol of African unity, progress and tolerance"</v>
      </c>
      <c r="HI2" s="48" t="str">
        <f>IF(J2=0,CHAR(34)&amp;CHAR(34),HH2)</f>
        <v>"\nThe colours chosen are intended to be symbolic of France (blue and white) and Africa (green and yellow) with the red vertical stripe connecting them both in unity, and the respect that Europeans and Africans should have for each other. The yellow star is intended to be indicative of independence as well as a symbol of African unity, progress and tolerance"</v>
      </c>
      <c r="HJ2" s="48" t="str">
        <f>CHAR(34)&amp;O2&amp;CHAR(34)</f>
        <v>"1958 "</v>
      </c>
      <c r="HL2" s="48" t="str">
        <f>CHAR(34)&amp;I2&amp;CHAR(34)</f>
        <v>"https://en.wikipedia.org/wiki/Flag_of_Central_African_Republic"</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{"couname":"Central African Republic","year":"1958 ","region":"rgn_Africa","Colors":["cl_BLU","cl_WHI","cl_GRE","cl_YEL","cl_RED"],"Items":["5+Colo","words2","words3","lets22","startC","year19","4+Band","Horizo","Vertic","Unequa","Canton","staYEL","ntWHYE","NO_BLA","001BLU","002RED","003YEL","myrYEL","landlo","french","HasSta","1Stars"],"Flag":"https://i.ibb.co/98tpDQw/Central-African-Republic.png","HDFlag":"https://upload.wikimedia.org/wikipedia/commons/thumb/6/6f/Flag_of_the_Central_African_Republic.svg/2560px-Flag_of_the_Central_African_Republic.svg.png","type":"", "describe": "\nThe colours chosen are intended to be symbolic of France (blue and white) and Africa (green and yellow) with the red vertical stripe connecting them both in unity, and the respect that Europeans and Africans should have for each other. The yellow star is intended to be indicative of independence as well as a symbol of African unity, progress and tolerance", "isnew": ".", "links": "https://en.wikipedia.org/wiki/Flag_of_Central_African_Republic"},</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{"couname":"Central African Republic","year":"1958 ","region":"rgn_Africa","Colors":["cl_BLU","cl_WHI","cl_GRE","cl_YEL","cl_RED"],"Items":["5+Colo","words2","words3","lets22","startC","year19","4+Band","Horizo","Vertic","Unequa","Canton","staYEL","ntWHYE","NO_BLA","001BLU","002RED","003YEL","myrYEL","landlo","french","HasSta","1Stars"],"Flag":"https://i.ibb.co/98tpDQw/Central-African-Republic.png","HDFlag":"https://upload.wikimedia.org/wikipedia/commons/thumb/6/6f/Flag_of_the_Central_African_Republic.svg/2560px-Flag_of_the_Central_African_Republic.svg.png","type":"", "describe": "\nThe colours chosen are intended to be symbolic of France (blue and white) and Africa (green and yellow) with the red vertical stripe connecting them both in unity, and the respect that Europeans and Africans should have for each other. The yellow star is intended to be indicative of independence as well as a symbol of African unity, progress and tolerance", "isnew": ".", "links": "https://en.wikipedia.org/wiki/Flag_of_Central_African_Republic"},</v>
      </c>
      <c r="HO2" s="75"/>
      <c r="HP2" s="48" t="str" cm="1">
        <f t="array" ref="HP2">IF(_xlfn.TEXTJOIN(", ", TRUE, IF(ISNUMBER(SEARCH("BLA", BL2:BT2)), COLUMN(BL2:BT2) - COLUMN(BL2) + 1, ""))&lt;&gt;"","BLA","")</f>
        <v/>
      </c>
      <c r="HQ2" s="48" t="str" cm="1">
        <f t="array" ref="HQ2">IF(_xlfn.TEXTJOIN(", ", TRUE, IF(ISNUMBER(SEARCH("BLU", BL2:BT2)), COLUMN(BL2:BT2) - COLUMN(BL2) + 1, ""))&lt;&gt;"","BLU","")</f>
        <v>BLU</v>
      </c>
      <c r="HR2" s="48" t="str" cm="1">
        <f t="array" ref="HR2">IF(_xlfn.TEXTJOIN(", ", TRUE, IF(ISNUMBER(SEARCH("GRE", BL2:BT2)), COLUMN(BL2:BT2) - COLUMN(BL2) + 1, ""))&lt;&gt;"","GRE","")</f>
        <v>GRE</v>
      </c>
      <c r="HS2" s="48" t="str" cm="1">
        <f t="array" ref="HS2">IF(_xlfn.TEXTJOIN(", ", TRUE, IF(ISNUMBER(SEARCH("RED", BL2:BT2)), COLUMN(BL2:BT2) - COLUMN(BL2) + 1, ""))&lt;&gt;"","RED","")</f>
        <v>RED</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c r="IB2" s="6"/>
      <c r="IC2" s="77"/>
      <c r="ID2" s="77"/>
      <c r="IE2" s="77"/>
      <c r="IF2" s="77"/>
      <c r="IG2" s="77"/>
      <c r="IH2" s="77"/>
      <c r="II2" s="77"/>
      <c r="IJ2" s="77"/>
      <c r="IK2" s="77"/>
      <c r="IL2" s="48">
        <f>SUM(IC2:IK2)</f>
        <v>0</v>
      </c>
      <c r="IM2" s="45">
        <f>COUNTIF(IC2:IK2,"&gt;0")-CG2</f>
        <v>-5</v>
      </c>
      <c r="IN2" s="78" t="str">
        <f>"http://mkweb.bcgsc.ca/color-summarizer/?url="&amp;D2&amp;"&amp;precision=low&amp;num_clusters="&amp;CG2&amp;"&amp;text=1"</f>
        <v>http://mkweb.bcgsc.ca/color-summarizer/?url=https://i.ibb.co/98tpDQw/Central-African-Republic.png&amp;precision=low&amp;num_clusters=5&amp;text=1</v>
      </c>
      <c r="IO2" s="48" t="str">
        <f>IF(HP2&lt;&gt;"",CHAR(34)&amp;"black"&amp;CHAR(34),"")</f>
        <v/>
      </c>
      <c r="IP2" s="48" t="str">
        <f>IF(HQ2&lt;&gt;"",CHAR(34)&amp;"blue"&amp;CHAR(34),"")</f>
        <v>"blue"</v>
      </c>
      <c r="IQ2" s="48" t="str">
        <f>IF(HR2&lt;&gt;"",CHAR(34)&amp;"green"&amp;CHAR(34),"")</f>
        <v>"green"</v>
      </c>
      <c r="IR2" s="48" t="str">
        <f>IF(HS2&lt;&gt;"",CHAR(34)&amp;"red"&amp;CHAR(34),"")</f>
        <v>"red"</v>
      </c>
      <c r="IS2" s="48" t="str">
        <f>IF(HT2&lt;&gt;"",CHAR(34)&amp;"yellow"&amp;CHAR(34),"")</f>
        <v>"yellow"</v>
      </c>
      <c r="IT2" s="48" t="str">
        <f>IF(HU2&lt;&gt;"",CHAR(34)&amp;"orange"&amp;CHAR(34),"")</f>
        <v/>
      </c>
      <c r="IU2" s="48" t="str">
        <f>IF(HV2&lt;&gt;"",CHAR(34)&amp;"brown"&amp;CHAR(34),"")</f>
        <v/>
      </c>
      <c r="IV2" s="48" t="str">
        <f>IF(HW2&lt;&gt;"",CHAR(34)&amp;"purple"&amp;CHAR(34),"")</f>
        <v/>
      </c>
      <c r="IW2" s="48" t="str">
        <f>IF(HX2&lt;&gt;"",CHAR(34)&amp;"white"&amp;CHAR(34),"")</f>
        <v>"white"</v>
      </c>
      <c r="IX2" s="48" t="str">
        <f>"{"&amp;CHAR(34)&amp;"url"&amp;CHAR(34)&amp;":"&amp;CHAR(34)&amp;IN2&amp;CHAR(34)&amp;","&amp;CHAR(34)&amp;"name"&amp;CHAR(34)&amp;":"&amp;CHAR(34)&amp;A2&amp;CHAR(34)&amp;"},"</f>
        <v>{"url":"http://mkweb.bcgsc.ca/color-summarizer/?url=https://i.ibb.co/98tpDQw/Central-African-Republic.png&amp;precision=low&amp;num_clusters=5&amp;text=1","name":"Central African Republic"},</v>
      </c>
      <c r="IY2" s="48">
        <v>43</v>
      </c>
    </row>
    <row r="3" spans="1:259" s="48" customFormat="1" ht="38.4" customHeight="1" thickBot="1" x14ac:dyDescent="0.35">
      <c r="A3" s="80" t="s">
        <v>757</v>
      </c>
      <c r="B3" s="40" t="e" vm="15">
        <v>#VALUE!</v>
      </c>
      <c r="C3" s="41" t="s">
        <v>173</v>
      </c>
      <c r="D3" s="42" t="s">
        <v>758</v>
      </c>
      <c r="E3" s="43" t="s">
        <v>759</v>
      </c>
      <c r="F3" s="44" t="s">
        <v>163</v>
      </c>
      <c r="G3" s="45">
        <f>COUNTIF($A$1:$A$8361,A3)</f>
        <v>1</v>
      </c>
      <c r="H3" s="46" t="s">
        <v>768</v>
      </c>
      <c r="I3" s="47" t="s">
        <v>760</v>
      </c>
      <c r="J3" s="48" t="str">
        <f>""</f>
        <v/>
      </c>
      <c r="K3" s="49"/>
      <c r="L3" s="50"/>
      <c r="M3" s="50"/>
      <c r="N3" s="51" t="s">
        <v>180</v>
      </c>
      <c r="O3" s="52" t="s">
        <v>457</v>
      </c>
      <c r="P3" s="53" t="s">
        <v>761</v>
      </c>
      <c r="Q3" s="54">
        <v>5</v>
      </c>
      <c r="R3" s="55" t="s">
        <v>180</v>
      </c>
      <c r="S3" s="56">
        <v>0</v>
      </c>
      <c r="T3" s="57" t="s">
        <v>164</v>
      </c>
      <c r="U3" s="58" t="s">
        <v>164</v>
      </c>
      <c r="V3" s="58" t="s">
        <v>164</v>
      </c>
      <c r="W3" s="58" t="s">
        <v>164</v>
      </c>
      <c r="X3" s="58" t="s">
        <v>167</v>
      </c>
      <c r="Y3" s="58" t="s">
        <v>167</v>
      </c>
      <c r="Z3" s="58" t="s">
        <v>167</v>
      </c>
      <c r="AA3" s="58" t="s">
        <v>164</v>
      </c>
      <c r="AB3" s="58" t="s">
        <v>164</v>
      </c>
      <c r="AC3" s="58" t="s">
        <v>164</v>
      </c>
      <c r="AD3" s="58" t="s">
        <v>167</v>
      </c>
      <c r="AE3" s="58" t="s">
        <v>164</v>
      </c>
      <c r="AF3" s="59" t="s">
        <v>164</v>
      </c>
      <c r="AG3" s="59" t="s">
        <v>164</v>
      </c>
      <c r="AH3" s="59" t="s">
        <v>167</v>
      </c>
      <c r="AI3" s="59" t="s">
        <v>164</v>
      </c>
      <c r="AJ3" s="59" t="s">
        <v>164</v>
      </c>
      <c r="AK3" s="59" t="s">
        <v>164</v>
      </c>
      <c r="AL3" s="59" t="s">
        <v>164</v>
      </c>
      <c r="AM3" s="59" t="s">
        <v>164</v>
      </c>
      <c r="AN3" s="59" t="s">
        <v>164</v>
      </c>
      <c r="AO3" s="59" t="s">
        <v>164</v>
      </c>
      <c r="AP3" s="59" t="s">
        <v>164</v>
      </c>
      <c r="AQ3" s="59" t="s">
        <v>164</v>
      </c>
      <c r="AR3" s="59" t="s">
        <v>164</v>
      </c>
      <c r="AS3" s="59" t="s">
        <v>164</v>
      </c>
      <c r="AT3" s="60">
        <v>0</v>
      </c>
      <c r="AU3" s="59" t="s">
        <v>174</v>
      </c>
      <c r="AV3" s="59" t="str">
        <f>IF(LEFT(A3,1)="[",LEFT(A3,5)&amp;AU3&amp;A3,"")</f>
        <v>[CAF]Historical[CAF] Imperial Standard of Bokassa I (1976-1979)</v>
      </c>
      <c r="AW3" s="59" t="str">
        <f t="shared" ref="AW3" si="1">C3&amp;H3&amp;A3</f>
        <v>3b[CAF] Other[CAF] Imperial Standard of Bokassa I (1976-1979)</v>
      </c>
      <c r="AX3" s="61"/>
      <c r="AY3" s="61"/>
      <c r="AZ3" s="62"/>
      <c r="BA3" s="62"/>
      <c r="BB3" s="62"/>
      <c r="BC3" s="63"/>
      <c r="BD3" s="64" t="s">
        <v>153</v>
      </c>
      <c r="BE3" s="47"/>
      <c r="BF3" s="64"/>
      <c r="BG3" s="64"/>
      <c r="BH3" s="64"/>
      <c r="BI3" s="64"/>
      <c r="BJ3" s="64"/>
      <c r="BK3" s="47"/>
      <c r="BL3" s="64" t="s">
        <v>153</v>
      </c>
      <c r="BM3" s="64" t="s">
        <v>155</v>
      </c>
      <c r="BN3" s="64" t="s">
        <v>151</v>
      </c>
      <c r="BO3" s="64"/>
      <c r="BP3" s="64"/>
      <c r="BQ3" s="64"/>
      <c r="BR3" s="64"/>
      <c r="BS3" s="64"/>
      <c r="BT3" s="64"/>
      <c r="BU3" s="65"/>
      <c r="BV3" s="66"/>
      <c r="BW3" s="66">
        <v>0</v>
      </c>
      <c r="BX3" s="47"/>
      <c r="CB3" s="6"/>
      <c r="CC3" s="6"/>
      <c r="CD3" s="67">
        <v>0</v>
      </c>
      <c r="CE3" s="67">
        <v>0</v>
      </c>
      <c r="CF3" s="67" t="e">
        <v>#REF!</v>
      </c>
      <c r="CG3" s="68" cm="1">
        <f t="array" ref="CG3">SUMPRODUCT(--(LEN(TRIM(BL3:BT3))&gt;0))</f>
        <v>3</v>
      </c>
      <c r="CH3" s="59" t="str">
        <f>IF(CG3=2,"y","n")</f>
        <v>n</v>
      </c>
      <c r="CI3" s="59" t="str">
        <f>IF(CG3=3,"y","n")</f>
        <v>y</v>
      </c>
      <c r="CJ3" s="59" t="str">
        <f>IF(CG3=4,"y","n")</f>
        <v>n</v>
      </c>
      <c r="CK3" s="59" t="str">
        <f>IF(CG3&gt;4,"y","n")</f>
        <v>n</v>
      </c>
      <c r="CL3" s="59" t="str">
        <f>IF(S3=0,"y","n")</f>
        <v>y</v>
      </c>
      <c r="CM3" s="59" t="str">
        <f>IF(S3=2,"y","n")</f>
        <v>n</v>
      </c>
      <c r="CN3" s="59" t="str">
        <f>IF(S3=3,"y","n")</f>
        <v>n</v>
      </c>
      <c r="CO3" s="59" t="str">
        <f>IF(S3&gt;=4,"y","n")</f>
        <v>n</v>
      </c>
      <c r="CP3" s="59" t="str">
        <f>IF(AT3=0,"y","n")</f>
        <v>y</v>
      </c>
      <c r="CQ3" s="59" t="str">
        <f>IF(AT3=1,"y","n")</f>
        <v>n</v>
      </c>
      <c r="CR3" s="59" t="str">
        <f>IF(AT3=2,"y","n")</f>
        <v>n</v>
      </c>
      <c r="CS3" s="59" t="str">
        <f>IF(AT3&gt;=3,"y","n")</f>
        <v>n</v>
      </c>
      <c r="CT3" s="69" t="str">
        <f>CHAR(34)&amp;A3&amp;CHAR(34)</f>
        <v>"[CAF] Imperial Standard of Bokassa I (1976-1979)"</v>
      </c>
      <c r="CU3" s="70" t="str">
        <f>CHAR(34)&amp;"rgn_"&amp;R3&amp;CHAR(34)</f>
        <v>"rgn_Africa"</v>
      </c>
      <c r="CV3" s="48" t="str">
        <f>CHAR(34)&amp;D3&amp;CHAR(34)</f>
        <v>"https://upload.wikimedia.org/wikipedia/commons/thumb/5/5e/Imperial_Standard_of_Bokassa_I_%281976%E2%80%931979%29.svg/640px-Imperial_Standard_of_Bokassa_I_%281976%E2%80%931979%29.svg.png"</v>
      </c>
      <c r="CW3" s="48" t="str">
        <f>IF(CH3="y",CHAR(34)&amp;CH$1&amp;CHAR(34)&amp;",","")</f>
        <v/>
      </c>
      <c r="CX3" s="48" t="str">
        <f>IF(CI3="y",CHAR(34)&amp;CI$1&amp;CHAR(34)&amp;",","")</f>
        <v>"3Color",</v>
      </c>
      <c r="CY3" s="48" t="str">
        <f>IF(CJ3="y",CHAR(34)&amp;CJ$1&amp;CHAR(34)&amp;",","")</f>
        <v/>
      </c>
      <c r="CZ3" s="48" t="str">
        <f>IF(CK3="y",CHAR(34)&amp;CK$1&amp;CHAR(34)&amp;",","")</f>
        <v/>
      </c>
      <c r="DA3" s="48" t="str">
        <f>IF(Q3&gt;1,CHAR(34)&amp;"words2"&amp;CHAR(34)&amp;",","")</f>
        <v>"words2",</v>
      </c>
      <c r="DB3" s="48" t="str">
        <f>IF(Q3&gt;2,CHAR(34)&amp;"words3"&amp;CHAR(34)&amp;",","")</f>
        <v>"words3",</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"lets36",</v>
      </c>
      <c r="DE3" s="48" t="str">
        <f>CHAR(34)&amp;"start"&amp;IFERROR(LEFT(SUBSTITUTE(A3,"["&amp;MID(A3,FIND("[",A3)+1,FIND("]",A3)-FIND("[",A3)-1)&amp;"] ",""),1),LEFT(A3,1))&amp;CHAR(34)&amp;","</f>
        <v>"startI",</v>
      </c>
      <c r="DF3" s="48" t="str">
        <f>IFERROR(IF(SEARCH("tan",A3)&gt;0,CHAR(34)&amp;"withtn"&amp;CHAR(34)&amp;",",""),"")</f>
        <v>"withtn",</v>
      </c>
      <c r="DG3" s="48" t="str">
        <f>IFERROR(IF(SEARCH("q",A3)&gt;0,CHAR(34)&amp;"with_q"&amp;CHAR(34)&amp;",",""),"")</f>
        <v/>
      </c>
      <c r="DH3" s="48" t="str">
        <f>IFERROR(IF(SEARCH("v",A3)&gt;0,CHAR(34)&amp;"with_v"&amp;CHAR(34)&amp;",",""),"")</f>
        <v/>
      </c>
      <c r="DI3" s="48" t="str">
        <f>IFERROR(IF(SEARCH("w",A3)&gt;0,CHAR(34)&amp;"with_w"&amp;CHAR(34)&amp;",",""),"")</f>
        <v/>
      </c>
      <c r="DJ3" s="48" t="str">
        <f>IFERROR(IF(SEARCH("y",A3)&gt;0,CHAR(34)&amp;"with_y"&amp;CHAR(34)&amp;",",""),"")</f>
        <v/>
      </c>
      <c r="DK3" s="48" t="str">
        <f>IFERROR(IF(SEARCH("z",A3)&gt;0,CHAR(34)&amp;"with_z"&amp;CHAR(34)&amp;",",""),"")</f>
        <v/>
      </c>
      <c r="DL3" s="48" t="str">
        <f>IF(CG3=2, CHAR(34) &amp; _xlfn.TEXTJOIN("", TRUE, _xlfn._xlws.SORT(HP3:HX3)) &amp; CHAR(34) &amp; ",", "")</f>
        <v/>
      </c>
      <c r="DM3" s="48" t="str" cm="1">
        <f t="array" ref="DM3">IF(CG3=3,CHAR(34) &amp; _xlfn.TEXTJOIN("", TRUE, RIGHT(HP3:HX3, 2)) &amp; CHAR(34) &amp; ",", "")</f>
        <v>"LAREEL",</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"year19",</v>
      </c>
      <c r="DP3" s="6" t="str">
        <f>IF(AND(ISNUMBER(SEARCH("20", O3)), ISERROR(SEARCH("1920", O3))), CHAR(34)&amp;"year00"&amp;CHAR(34)&amp;",", "")</f>
        <v/>
      </c>
      <c r="DQ3" s="6" t="str">
        <f>IF(CC3="y",CHAR(34)&amp;"soviet"&amp;CHAR(34)&amp;",","")</f>
        <v/>
      </c>
      <c r="DR3" s="6" t="str">
        <f>IF(BY3="y",CHAR(34)&amp;"dgband"&amp;CHAR(34)&amp;",","")</f>
        <v/>
      </c>
      <c r="DS3" s="6" t="str">
        <f>IF(W3="y",IF(AND(V3="n",BY3&lt;&gt;"y"),CHAR(34)&amp;"allver"&amp;CHAR(34)&amp;",",""),"")</f>
        <v/>
      </c>
      <c r="DT3" s="6" t="str">
        <f>IF(V3="y",IF(AND(W3="n",BY3&lt;&gt;"y"),CHAR(34)&amp;"allhor"&amp;CHAR(34)&amp;",",""),"")</f>
        <v/>
      </c>
      <c r="DU3" s="6" t="str">
        <f>IF(BY3="y",IF(AND(W3="n",V3="n"),CHAR(34)&amp;"alldia"&amp;CHAR(34)&amp;",",""),"")</f>
        <v/>
      </c>
      <c r="DW3" s="48" t="str">
        <f>IF(CL3="y",CHAR(34)&amp;CL$1&amp;CHAR(34)&amp;",","")</f>
        <v>"NoBand",</v>
      </c>
      <c r="DX3" s="48" t="str">
        <f>IF(CM3="y",CHAR(34)&amp;CM$1&amp;CHAR(34)&amp;",","")</f>
        <v/>
      </c>
      <c r="DY3" s="48" t="str">
        <f>IF(CN3="y",CHAR(34)&amp;CN$1&amp;CHAR(34)&amp;",","")</f>
        <v/>
      </c>
      <c r="DZ3" s="48" t="str">
        <f>IF(CO3="y",CHAR(34)&amp;CO$1&amp;CHAR(34)&amp;",","")</f>
        <v/>
      </c>
      <c r="EA3" s="48" t="str">
        <f>IF(T3="y",CHAR(34)&amp;T$1&amp;CHAR(34)&amp;",","")</f>
        <v/>
      </c>
      <c r="EB3" s="48" t="str">
        <f>IF(U3="y",CHAR(34)&amp;U$1&amp;CHAR(34)&amp;",","")</f>
        <v/>
      </c>
      <c r="EC3" s="48" t="str">
        <f>IF(V3="y",CHAR(34)&amp;V$1&amp;CHAR(34)&amp;",","")</f>
        <v/>
      </c>
      <c r="ED3" s="48" t="str">
        <f>IF(W3="y",CHAR(34)&amp;W$1&amp;CHAR(34)&amp;",","")</f>
        <v/>
      </c>
      <c r="EE3" s="48" t="str">
        <f>IF(X3="y",CHAR(34)&amp;X$1&amp;CHAR(34)&amp;",","")</f>
        <v>"Circle",</v>
      </c>
      <c r="EF3" s="48" t="str">
        <f>IF(AND(Y3&lt;&gt;"n",Y3&lt;&gt;""),CHAR(34)&amp;Y$1&amp;CHAR(34)&amp;",","")</f>
        <v>"Animal",</v>
      </c>
      <c r="EG3" s="48" t="str">
        <f>IF(Z3="y",CHAR(34)&amp;Z$1&amp;CHAR(34)&amp;",","")</f>
        <v>"Bird",</v>
      </c>
      <c r="EH3" s="48" t="str">
        <f>IF(AA3="y",CHAR(34)&amp;AA$1&amp;CHAR(34)&amp;",","")</f>
        <v/>
      </c>
      <c r="EI3" s="48" t="str">
        <f>IF(AB3="y",CHAR(34)&amp;AB$1&amp;CHAR(34)&amp;",","")</f>
        <v/>
      </c>
      <c r="EJ3" s="48" t="str">
        <f>IF(AC3="y",CHAR(34)&amp;AC$1&amp;CHAR(34)&amp;",","")</f>
        <v/>
      </c>
      <c r="EK3" s="48" t="str">
        <f>IF(AD3="y",CHAR(34)&amp;AD$1&amp;CHAR(34)&amp;",","")</f>
        <v>"HasSun",</v>
      </c>
      <c r="EL3" s="48" t="str">
        <f>IF(AE3="y",CHAR(34)&amp;AE$1&amp;CHAR(34)&amp;",","")</f>
        <v/>
      </c>
      <c r="EM3" s="48" t="str">
        <f>IF(AF3="y",CHAR(34)&amp;AF$1&amp;CHAR(34)&amp;",","")</f>
        <v/>
      </c>
      <c r="EN3" s="48" t="str">
        <f>IF(AG3="y",CHAR(34)&amp;AG$1&amp;CHAR(34)&amp;",","")</f>
        <v/>
      </c>
      <c r="EO3" s="48" t="str">
        <f>IF(AH3="y",CHAR(34)&amp;AH$1&amp;CHAR(34)&amp;",","")</f>
        <v>"Center",</v>
      </c>
      <c r="EP3" s="48" t="str">
        <f>IF(AI3="y",CHAR(34)&amp;AI$1&amp;CHAR(34)&amp;",","")</f>
        <v/>
      </c>
      <c r="EQ3" s="48" t="str">
        <f>IF(AJ3="y",CHAR(34)&amp;AJ$1&amp;CHAR(34)&amp;",","")</f>
        <v/>
      </c>
      <c r="ER3" s="48" t="str">
        <f>IF(AK3="y",CHAR(34)&amp;AK$1&amp;CHAR(34)&amp;",","")</f>
        <v/>
      </c>
      <c r="ES3" s="48" t="str">
        <f>IF(AL3="y",CHAR(34)&amp;AL$1&amp;CHAR(34)&amp;",","")</f>
        <v/>
      </c>
      <c r="ET3" s="48" t="str">
        <f>IF(AM3="y",CHAR(34)&amp;AM$1&amp;CHAR(34)&amp;",","")</f>
        <v/>
      </c>
      <c r="EU3" s="48" t="str">
        <f>IF(AN3="y",CHAR(34)&amp;AN$1&amp;CHAR(34)&amp;",","")</f>
        <v/>
      </c>
      <c r="EV3" s="48" t="str">
        <f>IF(AO3="y",CHAR(34)&amp;AO$1&amp;CHAR(34)&amp;",","")</f>
        <v/>
      </c>
      <c r="EW3" s="48" t="str">
        <f>IF(AP3="y",CHAR(34)&amp;AP$1&amp;CHAR(34)&amp;",","")</f>
        <v/>
      </c>
      <c r="EX3" s="48" t="str">
        <f>IF(AQ3="y",CHAR(34)&amp;AQ$1&amp;CHAR(34)&amp;",","")</f>
        <v/>
      </c>
      <c r="EY3" s="48" t="str">
        <f>IF(AR3="y",CHAR(34)&amp;AR$1&amp;CHAR(34)&amp;",","")</f>
        <v/>
      </c>
      <c r="EZ3" s="48" t="str">
        <f>IF(AS3="y",CHAR(34)&amp;AS$1&amp;CHAR(34)&amp;",","")</f>
        <v/>
      </c>
      <c r="FA3" s="48" t="str">
        <f>IF(AT3&gt;0,CHAR(34)&amp;"sta"&amp;AZ3&amp;CHAR(34)&amp;",","")</f>
        <v/>
      </c>
      <c r="FB3" s="48" t="str">
        <f>IF(AND(AT3&gt;0,BA3&lt;&gt;""),CHAR(34)&amp;"sta"&amp;BA3&amp;CHAR(34)&amp;",","")</f>
        <v/>
      </c>
      <c r="FD3" s="48" t="str">
        <f>IF(BV3="n",CHAR(34)&amp;"tcWHYE"&amp;CHAR(34)&amp;",",IF(BV3="y",CHAR(34)&amp;FD$1&amp;CHAR(34)&amp;",",""))</f>
        <v/>
      </c>
      <c r="FE3" s="48" t="str">
        <f>IF(COUNTIF(BL3:BT3,"BLU")=0,CHAR(34)&amp;"NO_BLU"&amp;CHAR(34)&amp;",", "")</f>
        <v>"NO_BLU",</v>
      </c>
      <c r="FF3" s="48" t="str">
        <f>IF(COUNTIF(BL3:BT3,"WHI")=0,CHAR(34)&amp;"NO_WHI"&amp;CHAR(34)&amp;",", "")</f>
        <v>"NO_WHI",</v>
      </c>
      <c r="FG3" s="48" t="str">
        <f>IF(COUNTIF(BL3:BT3,"RED")=0,CHAR(34)&amp;"NO_RED"&amp;CHAR(34)&amp;",", "")</f>
        <v>"NO_RED",</v>
      </c>
      <c r="FH3" s="48" t="str">
        <f>IF(COUNTIF(BL3:BS3,"GRE")=0,CHAR(34)&amp;"NO_GRE"&amp;CHAR(34)&amp;",", "")</f>
        <v/>
      </c>
      <c r="FI3" s="48" t="str">
        <f>IF(COUNTIF(BL3:BT3,"YEL")=0,CHAR(34)&amp;"NO_YEL"&amp;CHAR(34)&amp;",", "")</f>
        <v/>
      </c>
      <c r="FJ3" s="48" t="str">
        <f>IF(COUNTIF(BL3:BT3,"BLA")=0,CHAR(34)&amp;"NO_BLA"&amp;CHAR(34)&amp;",", "")</f>
        <v/>
      </c>
      <c r="FK3" s="48" t="str">
        <f>IF(AND(FH3&lt;&gt;"",FF3&lt;&gt;""),CHAR(34)&amp;"WHGRNO"&amp;CHAR(34)&amp;",","")</f>
        <v/>
      </c>
      <c r="FL3" s="48" t="str">
        <f>IF(AND(FI3&lt;&gt;"",FF3&lt;&gt;""),CHAR(34)&amp;"WHYENO"&amp;CHAR(34)&amp;",","")</f>
        <v/>
      </c>
      <c r="FM3" s="48" t="str">
        <f>IF(AND(FJ3&lt;&gt;"",FF3&lt;&gt;""),CHAR(34)&amp;"BAWHNO"&amp;CHAR(34)&amp;",","")</f>
        <v/>
      </c>
      <c r="FN3" s="48" t="str">
        <f>IF(AND(FE3&lt;&gt;"",FF3&lt;&gt;""),CHAR(34)&amp;"BLWHNO"&amp;CHAR(34)&amp;",","")</f>
        <v>"BLWHNO",</v>
      </c>
      <c r="FO3" s="48" t="str">
        <f>IF(AND(FE3&lt;&gt;"",FG3&lt;&gt;""),CHAR(34)&amp;"BLRENO"&amp;CHAR(34)&amp;",","")</f>
        <v>"BLRENO",</v>
      </c>
      <c r="FP3" s="48" t="str">
        <f>IF(AND(FF3&lt;&gt;"",FF3&lt;&gt;""),CHAR(34)&amp;"WHRENO"&amp;CHAR(34)&amp;",","")</f>
        <v>"WHRENO",</v>
      </c>
      <c r="FQ3" s="48" t="str">
        <f>IF(LEN(BF3)=3,CHAR(34)&amp;"001"&amp;BF3&amp;CHAR(34)&amp;",","")</f>
        <v/>
      </c>
      <c r="FR3" s="48" t="str">
        <f>IF(LEN(BG3)=3,CHAR(34)&amp;"002"&amp;BG3&amp;CHAR(34)&amp;",","")</f>
        <v/>
      </c>
      <c r="FS3" s="48" t="str">
        <f>IF(LEN(BH3)=3,CHAR(34)&amp;"003"&amp;BH3&amp;CHAR(34)&amp;",","")</f>
        <v/>
      </c>
      <c r="FT3" s="48" t="str">
        <f>CHAR(34)&amp;"myr"&amp;BD3&amp;CHAR(34)&amp;","</f>
        <v>"myrGRE",</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"histor",</v>
      </c>
      <c r="GG3" s="48" t="str">
        <f>IF(BU3="y",CHAR(34)&amp;"unjack"&amp;CHAR(34)&amp;",","")</f>
        <v/>
      </c>
      <c r="GH3" s="48" t="str">
        <f>IF(CD3=1,CHAR(34)&amp;"southc"&amp;CHAR(34)&amp;",","")</f>
        <v/>
      </c>
      <c r="GI3" s="48" t="str">
        <f>IF(CE3=1,CHAR(34)&amp;"hasmap"&amp;CHAR(34)&amp;",","")</f>
        <v/>
      </c>
      <c r="GJ3" s="48" t="str">
        <f>IF(CP3="y",CHAR(34)&amp;CP$1&amp;CHAR(34)&amp;",","")</f>
        <v>"NoStar",</v>
      </c>
      <c r="GK3" s="48" t="str">
        <f>IF(GJ3="",CHAR(34)&amp;"HasSta"&amp;CHAR(34)&amp;",","")</f>
        <v/>
      </c>
      <c r="GL3" s="48" t="str">
        <f>IF(CQ3="y",CHAR(34)&amp;CQ$1&amp;CHAR(34)&amp;",","")</f>
        <v/>
      </c>
      <c r="GM3" s="48" t="str">
        <f>IF(CR3="y",CHAR(34)&amp;CR$1&amp;CHAR(34)&amp;",","")</f>
        <v/>
      </c>
      <c r="GN3" s="48" t="str">
        <f>IF(CS3="y",CHAR(34)&amp;CS$1&amp;CHAR(34)&amp;",","")</f>
        <v/>
      </c>
      <c r="GP3" s="48" t="str">
        <f>CHAR(34)&amp;AU3&amp;CHAR(34)</f>
        <v>"Historical"</v>
      </c>
      <c r="GS3" s="48" t="str">
        <f>SUBSTITUTE("["&amp;_xlfn.CONCAT(CW3:GN3)&amp;"]",",]","]")</f>
        <v>["3Color","words2","words3","lets36","startI","withtn","LAREEL","year19","NoBand","Circle","Animal","Bird","HasSun","Center","NO_BLU","NO_WHI","NO_RED","BLWHNO","BLRENO","WHRENO","myrGRE","histor","NoStar"]</v>
      </c>
      <c r="GT3" s="48" t="str">
        <f>IF(BL3&lt;&gt;"",CHAR(34)&amp;"cl_"&amp;BL3&amp;CHAR(34)&amp;",","")</f>
        <v>"cl_GRE",</v>
      </c>
      <c r="GU3" s="48" t="str">
        <f>IF(BM3&lt;&gt;"",CHAR(34)&amp;"cl_"&amp;BM3&amp;CHAR(34)&amp;",","")</f>
        <v>"cl_YEL",</v>
      </c>
      <c r="GV3" s="48" t="str">
        <f>IF(BN3&lt;&gt;"",CHAR(34)&amp;"cl_"&amp;BN3&amp;CHAR(34)&amp;",","")</f>
        <v>"cl_BLA",</v>
      </c>
      <c r="GW3" s="48" t="str">
        <f>IF(BO3&lt;&gt;"",CHAR(34)&amp;"cl_"&amp;BO3&amp;CHAR(34)&amp;",","")</f>
        <v/>
      </c>
      <c r="GX3" s="48" t="str">
        <f>IF(BP3&lt;&gt;"",CHAR(34)&amp;"cl_"&amp;BP3&amp;CHAR(34)&amp;",","")</f>
        <v/>
      </c>
      <c r="GY3" s="48" t="str">
        <f>IF(BQ3&lt;&gt;"",CHAR(34)&amp;"cl_"&amp;BQ3&amp;CHAR(34)&amp;",","")</f>
        <v/>
      </c>
      <c r="GZ3" s="48" t="str">
        <f>IF(BR3&lt;&gt;"",CHAR(34)&amp;"cl_"&amp;BR3&amp;CHAR(34)&amp;",","")</f>
        <v/>
      </c>
      <c r="HA3" s="48" t="str">
        <f>IF(BS3&lt;&gt;"",CHAR(34)&amp;"cl_"&amp;BS3&amp;CHAR(34)&amp;",","")</f>
        <v/>
      </c>
      <c r="HB3" s="48" t="str">
        <f>IF(BT3&lt;&gt;"",CHAR(34)&amp;"cl_"&amp;BT3&amp;CHAR(34)&amp;",","")</f>
        <v/>
      </c>
      <c r="HC3" s="48" t="str">
        <f>SUBSTITUTE("["&amp;_xlfn.CONCAT(GT3:HB3)&amp;"]",",]","]")</f>
        <v>["cl_GRE","cl_YEL","cl_BLA"]</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{couname:"[CAF] Imperial Standard of Bokassa I (1976-1979)",year:"1976",region:"rgn_Africa",Colors:["cl_GRE","cl_YEL","cl_BLA"],Items:["3Color","words2","words3","lets36","startI","withtn","LAREEL","year19","NoBand","Circle","Animal","Bird","HasSun","Center","NO_BLU","NO_WHI","NO_RED","BLWHNO","BLRENO","WHRENO","myrGRE","histor","NoStar"],Flag:"https://upload.wikimedia.org/wikipedia/commons/thumb/5/5e/Imperial_Standard_of_Bokassa_I_%281976%E2%80%931979%29.svg/640px-Imperial_Standard_of_Bokassa_I_%281976%E2%80%931979%29.svg.png",HDFlag:"https://upload.wikimedia.org/wikipedia/commons/thumb/5/5e/Imperial_Standard_of_Bokassa_I_%281976%E2%80%931979%29.svg/2560px-Imperial_Standard_of_Bokassa_I_%281976%E2%80%931979%29.svg.png",type:"Historical", describe: "\nUsed as a co-flag of the Central African Empire from 1976 until 1979", isnew:".", links: "https://en.wikipedia.org/wiki/Flag_of_the_Central_African_Republic"},</v>
      </c>
      <c r="HG3" s="73" t="str">
        <f>"{couname:"&amp;CT3&amp;(IF(HK3&lt;&gt;"",",subtype:"&amp;CHAR(34)&amp;HK3&amp;CHAR(34),""))&amp;",year:"&amp;HJ3&amp;",region:"&amp;CU3&amp;",Colors:"&amp;HC3&amp;",Items:"&amp;GS3&amp;",Flag:"&amp;CV3&amp;",HDFlag:"&amp;CHAR(34)&amp;E3&amp;CHAR(34)&amp;",type:"&amp;GP3&amp;", describe: "&amp;HI3&amp;", links: "&amp;HL3&amp;"},"</f>
        <v>{couname:"[CAF] Imperial Standard of Bokassa I (1976-1979)",year:"1976",region:"rgn_Africa",Colors:["cl_GRE","cl_YEL","cl_BLA"],Items:["3Color","words2","words3","lets36","startI","withtn","LAREEL","year19","NoBand","Circle","Animal","Bird","HasSun","Center","NO_BLU","NO_WHI","NO_RED","BLWHNO","BLRENO","WHRENO","myrGRE","histor","NoStar"],Flag:"https://upload.wikimedia.org/wikipedia/commons/thumb/5/5e/Imperial_Standard_of_Bokassa_I_%281976%E2%80%931979%29.svg/640px-Imperial_Standard_of_Bokassa_I_%281976%E2%80%931979%29.svg.png",HDFlag:"https://upload.wikimedia.org/wikipedia/commons/thumb/5/5e/Imperial_Standard_of_Bokassa_I_%281976%E2%80%931979%29.svg/2560px-Imperial_Standard_of_Bokassa_I_%281976%E2%80%931979%29.svg.png",type:"Historical", describe: "\nUsed as a co-flag of the Central African Empire from 1976 until 1979", links: "https://en.wikipedia.org/wiki/Flag_of_the_Central_African_Republic"},</v>
      </c>
      <c r="HH3" s="48" t="str">
        <f>IF(P3&lt;&gt;"",CHAR(34)&amp;"\n"&amp;P3&amp;CHAR(34),CHAR(34)&amp;CHAR(34))</f>
        <v>"\nUsed as a co-flag of the Central African Empire from 1976 until 1979"</v>
      </c>
      <c r="HI3" s="48" t="str">
        <f>IF(J3=0,CHAR(34)&amp;CHAR(34),HH3)</f>
        <v>"\nUsed as a co-flag of the Central African Empire from 1976 until 1979"</v>
      </c>
      <c r="HJ3" s="48" t="str">
        <f>CHAR(34)&amp;O3&amp;CHAR(34)</f>
        <v>"1976"</v>
      </c>
      <c r="HL3" s="48" t="str">
        <f>CHAR(34)&amp;I3&amp;CHAR(34)</f>
        <v>"https://en.wikipedia.org/wiki/Flag_of_the_Central_African_Republic"</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{"couname":"[CAF] Imperial Standard of Bokassa I (1976-1979)","subtype":"[CAF] Other","year":"1976","region":"rgn_Africa","Colors":["cl_GRE","cl_YEL","cl_BLA"],"Items":["3Color","words2","words3","lets36","startI","withtn","LAREEL","year19","NoBand","Circle","Animal","Bird","HasSun","Center","NO_BLU","NO_WHI","NO_RED","BLWHNO","BLRENO","WHRENO","myrGRE","histor","NoStar"],"Flag":"https://upload.wikimedia.org/wikipedia/commons/thumb/5/5e/Imperial_Standard_of_Bokassa_I_%281976%E2%80%931979%29.svg/640px-Imperial_Standard_of_Bokassa_I_%281976%E2%80%931979%29.svg.png","HDFlag":"https://upload.wikimedia.org/wikipedia/commons/thumb/5/5e/Imperial_Standard_of_Bokassa_I_%281976%E2%80%931979%29.svg/2560px-Imperial_Standard_of_Bokassa_I_%281976%E2%80%931979%29.svg.png","type":"Historical", "describe": "\nUsed as a co-flag of the Central African Empire from 1976 until 1979", "isnew": ".", "links": "https://en.wikipedia.org/wiki/Flag_of_the_Central_African_Republic"},</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{"couname":"[CAF] Imperial Standard of Bokassa I (1976-1979)","subtype":"[CAF] Other","year":"1976","region":"rgn_Africa","Colors":["cl_GRE","cl_YEL","cl_BLA"],"Items":["3Color","words2","words3","lets36","startI","withtn","LAREEL","year19","NoBand","Circle","Animal","Bird","HasSun","Center","NO_BLU","NO_WHI","NO_RED","BLWHNO","BLRENO","WHRENO","myrGRE","histor","NoStar"],"Flag":"https://upload.wikimedia.org/wikipedia/commons/thumb/5/5e/Imperial_Standard_of_Bokassa_I_%281976%E2%80%931979%29.svg/640px-Imperial_Standard_of_Bokassa_I_%281976%E2%80%931979%29.svg.png","HDFlag":"https://upload.wikimedia.org/wikipedia/commons/thumb/5/5e/Imperial_Standard_of_Bokassa_I_%281976%E2%80%931979%29.svg/2560px-Imperial_Standard_of_Bokassa_I_%281976%E2%80%931979%29.svg.png","type":"Historical", "describe": "\nUsed as a co-flag of the Central African Empire from 1976 until 1979", "isnew": ".", "links": "https://en.wikipedia.org/wiki/Flag_of_the_Central_African_Republic"},</v>
      </c>
      <c r="HO3" s="75">
        <v>45644</v>
      </c>
      <c r="HP3" s="48" t="str" cm="1">
        <f t="array" ref="HP3">IF(_xlfn.TEXTJOIN(", ", TRUE, IF(ISNUMBER(SEARCH("BLA", BL3:BT3)), COLUMN(BL3:BT3) - COLUMN(BL3) + 1, ""))&lt;&gt;"","BLA","")</f>
        <v>BLA</v>
      </c>
      <c r="HQ3" s="48" t="str" cm="1">
        <f t="array" ref="HQ3">IF(_xlfn.TEXTJOIN(", ", TRUE, IF(ISNUMBER(SEARCH("BLU", BL3:BT3)), COLUMN(BL3:BT3) - COLUMN(BL3) + 1, ""))&lt;&gt;"","BLU","")</f>
        <v/>
      </c>
      <c r="HR3" s="48" t="str" cm="1">
        <f t="array" ref="HR3">IF(_xlfn.TEXTJOIN(", ", TRUE, IF(ISNUMBER(SEARCH("GRE", BL3:BT3)), COLUMN(BL3:BT3) - COLUMN(BL3) + 1, ""))&lt;&gt;"","GRE","")</f>
        <v>GRE</v>
      </c>
      <c r="HS3" s="48" t="str" cm="1">
        <f t="array" ref="HS3">IF(_xlfn.TEXTJOIN(", ", TRUE, IF(ISNUMBER(SEARCH("RED", BL3:BT3)), COLUMN(BL3:BT3) - COLUMN(BL3) + 1, ""))&lt;&gt;"","RED","")</f>
        <v/>
      </c>
      <c r="HT3" s="48" t="str" cm="1">
        <f t="array" ref="HT3">IF(_xlfn.TEXTJOIN(", ", TRUE, IF(ISNUMBER(SEARCH("YEL", BL3:BT3)), COLUMN(BL3:BT3) - COLUMN(BL3) + 1, ""))&lt;&gt;"","YEL","")</f>
        <v>YEL</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
      </c>
      <c r="HY3" s="76"/>
      <c r="HZ3" s="76"/>
      <c r="IA3" s="6"/>
      <c r="IB3" s="6"/>
      <c r="IC3" s="77"/>
      <c r="ID3" s="77"/>
      <c r="IE3" s="77"/>
      <c r="IF3" s="77"/>
      <c r="IG3" s="77"/>
      <c r="IH3" s="77"/>
      <c r="II3" s="77"/>
      <c r="IJ3" s="77"/>
      <c r="IK3" s="77"/>
      <c r="IM3" s="45">
        <f>COUNTIF(IC3:IK3,"&gt;0")-CG3</f>
        <v>-3</v>
      </c>
      <c r="IN3" s="78" t="str">
        <f>"http://mkweb.bcgsc.ca/color-summarizer/?url="&amp;D3&amp;"&amp;precision=low&amp;num_clusters="&amp;CG3&amp;"&amp;text=1"</f>
        <v>http://mkweb.bcgsc.ca/color-summarizer/?url=https://upload.wikimedia.org/wikipedia/commons/thumb/5/5e/Imperial_Standard_of_Bokassa_I_%281976%E2%80%931979%29.svg/640px-Imperial_Standard_of_Bokassa_I_%281976%E2%80%931979%29.svg.png&amp;precision=low&amp;num_clusters=3&amp;text=1</v>
      </c>
      <c r="IO3" s="48" t="str">
        <f>IF(HP3&lt;&gt;"",CHAR(34)&amp;"black"&amp;CHAR(34),"")</f>
        <v>"black"</v>
      </c>
      <c r="IP3" s="48" t="str">
        <f>IF(HQ3&lt;&gt;"",CHAR(34)&amp;"blue"&amp;CHAR(34),"")</f>
        <v/>
      </c>
      <c r="IQ3" s="48" t="str">
        <f>IF(HR3&lt;&gt;"",CHAR(34)&amp;"green"&amp;CHAR(34),"")</f>
        <v>"green"</v>
      </c>
      <c r="IR3" s="48" t="str">
        <f>IF(HS3&lt;&gt;"",CHAR(34)&amp;"red"&amp;CHAR(34),"")</f>
        <v/>
      </c>
      <c r="IS3" s="48" t="str">
        <f>IF(HT3&lt;&gt;"",CHAR(34)&amp;"yellow"&amp;CHAR(34),"")</f>
        <v>"yellow"</v>
      </c>
      <c r="IT3" s="48" t="str">
        <f>IF(HU3&lt;&gt;"",CHAR(34)&amp;"orange"&amp;CHAR(34),"")</f>
        <v/>
      </c>
      <c r="IU3" s="48" t="str">
        <f>IF(HV3&lt;&gt;"",CHAR(34)&amp;"brown"&amp;CHAR(34),"")</f>
        <v/>
      </c>
      <c r="IV3" s="48" t="str">
        <f>IF(HW3&lt;&gt;"",CHAR(34)&amp;"purple"&amp;CHAR(34),"")</f>
        <v/>
      </c>
      <c r="IW3" s="48" t="str">
        <f>IF(HX3&lt;&gt;"",CHAR(34)&amp;"white"&amp;CHAR(34),"")</f>
        <v/>
      </c>
      <c r="IX3" s="48" t="str">
        <f>"{"&amp;CHAR(34)&amp;"url"&amp;CHAR(34)&amp;":"&amp;CHAR(34)&amp;IN3&amp;CHAR(34)&amp;","&amp;CHAR(34)&amp;"name"&amp;CHAR(34)&amp;":"&amp;CHAR(34)&amp;A3&amp;CHAR(34)&amp;"},"</f>
        <v>{"url":"http://mkweb.bcgsc.ca/color-summarizer/?url=https://upload.wikimedia.org/wikipedia/commons/thumb/5/5e/Imperial_Standard_of_Bokassa_I_%281976%E2%80%931979%29.svg/640px-Imperial_Standard_of_Bokassa_I_%281976%E2%80%931979%29.svg.png&amp;precision=low&amp;num_clusters=3&amp;text=1","name":"[CAF] Imperial Standard of Bokassa I (1976-1979)"},</v>
      </c>
      <c r="IY3" s="48">
        <v>1503</v>
      </c>
    </row>
    <row r="4" spans="1:259" ht="38.4" customHeight="1" x14ac:dyDescent="0.3">
      <c r="F4" s="82"/>
      <c r="G4" s="82"/>
      <c r="H4" s="82"/>
      <c r="I4" s="82"/>
      <c r="J4" s="82"/>
      <c r="K4" s="82"/>
    </row>
    <row r="5" spans="1:259" ht="38.4" customHeight="1" x14ac:dyDescent="0.3">
      <c r="F5" s="82"/>
      <c r="G5" s="82"/>
      <c r="H5" s="82"/>
      <c r="I5" s="82"/>
      <c r="J5" s="82"/>
      <c r="K5" s="82"/>
    </row>
    <row r="6" spans="1:259" ht="38.4" customHeight="1" x14ac:dyDescent="0.3">
      <c r="F6" s="82"/>
      <c r="G6" s="82"/>
      <c r="H6" s="82"/>
      <c r="I6" s="82"/>
      <c r="J6" s="82"/>
      <c r="K6" s="82"/>
    </row>
  </sheetData>
  <autoFilter ref="A1:IY1" xr:uid="{A1051193-A95B-4CFB-A73C-F0184620C81F}">
    <sortState xmlns:xlrd2="http://schemas.microsoft.com/office/spreadsheetml/2017/richdata2" ref="A2:IY5">
      <sortCondition ref="AW1"/>
    </sortState>
  </autoFilter>
  <conditionalFormatting sqref="H1 CW1:GS1 IA1:IB1">
    <cfRule type="cellIs" dxfId="5889" priority="118" operator="greaterThan">
      <formula>0</formula>
    </cfRule>
  </conditionalFormatting>
  <conditionalFormatting sqref="H1 H7:H1048576">
    <cfRule type="cellIs" dxfId="5888" priority="84" stopIfTrue="1" operator="notEqual">
      <formula>""</formula>
    </cfRule>
  </conditionalFormatting>
  <conditionalFormatting sqref="T1:BK1">
    <cfRule type="cellIs" dxfId="5887" priority="121" operator="greaterThan">
      <formula>0</formula>
    </cfRule>
  </conditionalFormatting>
  <conditionalFormatting sqref="BV1:BW1 BV4:BW1048576">
    <cfRule type="cellIs" dxfId="5886" priority="120" operator="equal">
      <formula>"nc"</formula>
    </cfRule>
  </conditionalFormatting>
  <conditionalFormatting sqref="HF1:HG1">
    <cfRule type="cellIs" dxfId="5885" priority="122" operator="greaterThan">
      <formula>0</formula>
    </cfRule>
  </conditionalFormatting>
  <conditionalFormatting sqref="HK1">
    <cfRule type="cellIs" dxfId="5884" priority="119" operator="greaterThan">
      <formula>0</formula>
    </cfRule>
  </conditionalFormatting>
  <conditionalFormatting sqref="HP1:HX1">
    <cfRule type="cellIs" dxfId="5883" priority="96" operator="equal">
      <formula>"PIN"</formula>
    </cfRule>
    <cfRule type="cellIs" dxfId="5882" priority="97" operator="equal">
      <formula>"ORA"</formula>
    </cfRule>
    <cfRule type="cellIs" dxfId="5881" priority="98" operator="equal">
      <formula>"GRA"</formula>
    </cfRule>
    <cfRule type="cellIs" dxfId="5880" priority="99" operator="equal">
      <formula>"PUR"</formula>
    </cfRule>
    <cfRule type="cellIs" dxfId="5879" priority="100" operator="equal">
      <formula>"BRO"</formula>
    </cfRule>
    <cfRule type="cellIs" dxfId="5878" priority="101" operator="equal">
      <formula>"YEL"</formula>
    </cfRule>
    <cfRule type="cellIs" dxfId="5877" priority="102" operator="equal">
      <formula>"BLU"</formula>
    </cfRule>
    <cfRule type="cellIs" dxfId="5876" priority="103" operator="equal">
      <formula>"WHI"</formula>
    </cfRule>
    <cfRule type="cellIs" dxfId="5875" priority="104" operator="equal">
      <formula>"GRE"</formula>
    </cfRule>
    <cfRule type="cellIs" dxfId="5874" priority="105" operator="equal">
      <formula>"RED"</formula>
    </cfRule>
    <cfRule type="cellIs" dxfId="5873" priority="106" operator="equal">
      <formula>"BLA"</formula>
    </cfRule>
  </conditionalFormatting>
  <conditionalFormatting sqref="IC1:IK1">
    <cfRule type="cellIs" dxfId="5872" priority="107" operator="equal">
      <formula>"PIN"</formula>
    </cfRule>
    <cfRule type="cellIs" dxfId="5871" priority="108" operator="equal">
      <formula>"ORA"</formula>
    </cfRule>
    <cfRule type="cellIs" dxfId="5870" priority="109" operator="equal">
      <formula>"GRA"</formula>
    </cfRule>
    <cfRule type="cellIs" dxfId="5869" priority="110" operator="equal">
      <formula>"PUR"</formula>
    </cfRule>
    <cfRule type="cellIs" dxfId="5868" priority="111" operator="equal">
      <formula>"BRO"</formula>
    </cfRule>
    <cfRule type="cellIs" dxfId="5867" priority="112" operator="equal">
      <formula>"YEL"</formula>
    </cfRule>
    <cfRule type="cellIs" dxfId="5866" priority="113" operator="equal">
      <formula>"BLU"</formula>
    </cfRule>
    <cfRule type="cellIs" dxfId="5865" priority="114" operator="equal">
      <formula>"WHI"</formula>
    </cfRule>
    <cfRule type="cellIs" dxfId="5864" priority="115" operator="equal">
      <formula>"GRE"</formula>
    </cfRule>
    <cfRule type="cellIs" dxfId="5863" priority="116" operator="equal">
      <formula>"RED"</formula>
    </cfRule>
    <cfRule type="cellIs" dxfId="5862" priority="117" operator="equal">
      <formula>"BLA"</formula>
    </cfRule>
  </conditionalFormatting>
  <conditionalFormatting sqref="IO1:IW1">
    <cfRule type="cellIs" dxfId="5861" priority="85" operator="equal">
      <formula>"PIN"</formula>
    </cfRule>
    <cfRule type="cellIs" dxfId="5860" priority="86" operator="equal">
      <formula>"ORA"</formula>
    </cfRule>
    <cfRule type="cellIs" dxfId="5859" priority="87" operator="equal">
      <formula>"GRA"</formula>
    </cfRule>
    <cfRule type="cellIs" dxfId="5858" priority="88" operator="equal">
      <formula>"PUR"</formula>
    </cfRule>
    <cfRule type="cellIs" dxfId="5857" priority="89" operator="equal">
      <formula>"BRO"</formula>
    </cfRule>
    <cfRule type="cellIs" dxfId="5856" priority="90" operator="equal">
      <formula>"YEL"</formula>
    </cfRule>
    <cfRule type="cellIs" dxfId="5855" priority="91" operator="equal">
      <formula>"BLU"</formula>
    </cfRule>
    <cfRule type="cellIs" dxfId="5854" priority="92" operator="equal">
      <formula>"WHI"</formula>
    </cfRule>
    <cfRule type="cellIs" dxfId="5853" priority="93" operator="equal">
      <formula>"GRE"</formula>
    </cfRule>
    <cfRule type="cellIs" dxfId="5852" priority="94" operator="equal">
      <formula>"RED"</formula>
    </cfRule>
    <cfRule type="cellIs" dxfId="5851" priority="95" operator="equal">
      <formula>"BLA"</formula>
    </cfRule>
  </conditionalFormatting>
  <conditionalFormatting sqref="H3">
    <cfRule type="cellIs" dxfId="5850" priority="76" stopIfTrue="1" operator="notEqual">
      <formula>""</formula>
    </cfRule>
  </conditionalFormatting>
  <conditionalFormatting sqref="R3 CU3">
    <cfRule type="cellIs" dxfId="5849" priority="79" operator="greaterThan">
      <formula>0</formula>
    </cfRule>
  </conditionalFormatting>
  <conditionalFormatting sqref="T3:AS3 CH3:CS3">
    <cfRule type="cellIs" dxfId="5848" priority="73" stopIfTrue="1" operator="equal">
      <formula>"n"</formula>
    </cfRule>
    <cfRule type="cellIs" dxfId="5847" priority="74" stopIfTrue="1" operator="equal">
      <formula>"y"</formula>
    </cfRule>
    <cfRule type="cellIs" dxfId="5846" priority="75" operator="greaterThan">
      <formula>0</formula>
    </cfRule>
  </conditionalFormatting>
  <conditionalFormatting sqref="AZ3:BB3">
    <cfRule type="expression" dxfId="5845" priority="60">
      <formula>$AT3=0</formula>
    </cfRule>
  </conditionalFormatting>
  <conditionalFormatting sqref="CD3:CF3 BX3:CA3 AZ3:BU3">
    <cfRule type="cellIs" dxfId="5844" priority="61" operator="equal">
      <formula>"PIN"</formula>
    </cfRule>
    <cfRule type="cellIs" dxfId="5843" priority="62" operator="equal">
      <formula>"ORA"</formula>
    </cfRule>
    <cfRule type="cellIs" dxfId="5842" priority="63" operator="equal">
      <formula>"GRA"</formula>
    </cfRule>
    <cfRule type="cellIs" dxfId="5841" priority="64" operator="equal">
      <formula>"PUR"</formula>
    </cfRule>
    <cfRule type="cellIs" dxfId="5840" priority="65" operator="equal">
      <formula>"BRO"</formula>
    </cfRule>
    <cfRule type="cellIs" dxfId="5839" priority="66" operator="equal">
      <formula>"YEL"</formula>
    </cfRule>
    <cfRule type="cellIs" dxfId="5838" priority="67" operator="equal">
      <formula>"BLU"</formula>
    </cfRule>
    <cfRule type="cellIs" dxfId="5837" priority="68" operator="equal">
      <formula>"WHI"</formula>
    </cfRule>
    <cfRule type="cellIs" dxfId="5836" priority="69" operator="equal">
      <formula>"GRE"</formula>
    </cfRule>
    <cfRule type="cellIs" dxfId="5835" priority="70" operator="equal">
      <formula>"RED"</formula>
    </cfRule>
    <cfRule type="cellIs" dxfId="5834" priority="71" operator="equal">
      <formula>"BLA"</formula>
    </cfRule>
  </conditionalFormatting>
  <conditionalFormatting sqref="BV3">
    <cfRule type="cellIs" dxfId="5833" priority="78" operator="equal">
      <formula>"nc"</formula>
    </cfRule>
  </conditionalFormatting>
  <conditionalFormatting sqref="CD3:CF3 BX3:CA3">
    <cfRule type="cellIs" dxfId="5832" priority="77" operator="equal">
      <formula>"y"</formula>
    </cfRule>
  </conditionalFormatting>
  <conditionalFormatting sqref="CD3:CF3 BZ3:CA3">
    <cfRule type="cellIs" dxfId="5831" priority="72" operator="greaterThan">
      <formula>0</formula>
    </cfRule>
  </conditionalFormatting>
  <conditionalFormatting sqref="IC3:IK3">
    <cfRule type="expression" dxfId="5830" priority="59">
      <formula>$IL3&gt;0</formula>
    </cfRule>
  </conditionalFormatting>
  <conditionalFormatting sqref="IC3">
    <cfRule type="cellIs" dxfId="5829" priority="53" stopIfTrue="1" operator="greaterThan">
      <formula>0</formula>
    </cfRule>
  </conditionalFormatting>
  <conditionalFormatting sqref="ID3">
    <cfRule type="cellIs" dxfId="5828" priority="51" stopIfTrue="1" operator="greaterThan">
      <formula>0</formula>
    </cfRule>
  </conditionalFormatting>
  <conditionalFormatting sqref="II3 IE3:IF3">
    <cfRule type="cellIs" dxfId="5827" priority="58" operator="greaterThan">
      <formula>0</formula>
    </cfRule>
  </conditionalFormatting>
  <conditionalFormatting sqref="II3 IF3">
    <cfRule type="cellIs" dxfId="5826" priority="52" stopIfTrue="1" operator="greaterThan">
      <formula>0</formula>
    </cfRule>
  </conditionalFormatting>
  <conditionalFormatting sqref="IG3">
    <cfRule type="cellIs" dxfId="5825" priority="57" operator="greaterThan">
      <formula>0</formula>
    </cfRule>
  </conditionalFormatting>
  <conditionalFormatting sqref="IH3:II3">
    <cfRule type="cellIs" dxfId="5824" priority="56" operator="greaterThan">
      <formula>0</formula>
    </cfRule>
  </conditionalFormatting>
  <conditionalFormatting sqref="IJ3">
    <cfRule type="cellIs" dxfId="5823" priority="55" operator="greaterThan">
      <formula>0</formula>
    </cfRule>
  </conditionalFormatting>
  <conditionalFormatting sqref="IK3">
    <cfRule type="cellIs" dxfId="5822" priority="54" operator="greaterThan">
      <formula>0</formula>
    </cfRule>
  </conditionalFormatting>
  <conditionalFormatting sqref="IF3">
    <cfRule type="cellIs" dxfId="5821" priority="50" stopIfTrue="1" operator="greaterThan">
      <formula>0</formula>
    </cfRule>
  </conditionalFormatting>
  <conditionalFormatting sqref="IM3">
    <cfRule type="cellIs" dxfId="5820" priority="49" operator="equal">
      <formula>0</formula>
    </cfRule>
  </conditionalFormatting>
  <conditionalFormatting sqref="BX3:CA3 CD3:CF3">
    <cfRule type="cellIs" dxfId="5819" priority="37" operator="equal">
      <formula>"y"</formula>
    </cfRule>
    <cfRule type="cellIs" dxfId="5818" priority="38" operator="equal">
      <formula>"PIN"</formula>
    </cfRule>
    <cfRule type="cellIs" dxfId="5817" priority="39" operator="equal">
      <formula>"ORA"</formula>
    </cfRule>
    <cfRule type="cellIs" dxfId="5816" priority="40" operator="equal">
      <formula>"GRA"</formula>
    </cfRule>
    <cfRule type="cellIs" dxfId="5815" priority="41" operator="equal">
      <formula>"PUR"</formula>
    </cfRule>
    <cfRule type="cellIs" dxfId="5814" priority="42" operator="equal">
      <formula>"BRO"</formula>
    </cfRule>
    <cfRule type="cellIs" dxfId="5813" priority="43" operator="equal">
      <formula>"YEL"</formula>
    </cfRule>
    <cfRule type="cellIs" dxfId="5812" priority="44" operator="equal">
      <formula>"BLU"</formula>
    </cfRule>
    <cfRule type="cellIs" dxfId="5811" priority="45" operator="equal">
      <formula>"WHI"</formula>
    </cfRule>
    <cfRule type="cellIs" dxfId="5810" priority="46" operator="equal">
      <formula>"GRE"</formula>
    </cfRule>
    <cfRule type="cellIs" dxfId="5809" priority="47" operator="equal">
      <formula>"RED"</formula>
    </cfRule>
    <cfRule type="cellIs" dxfId="5808" priority="48" operator="equal">
      <formula>"BLA"</formula>
    </cfRule>
  </conditionalFormatting>
  <conditionalFormatting sqref="AT3">
    <cfRule type="colorScale" priority="80">
      <colorScale>
        <cfvo type="min"/>
        <cfvo type="max"/>
        <color rgb="FFFCFCFF"/>
        <color theme="8" tint="0.39997558519241921"/>
      </colorScale>
    </cfRule>
  </conditionalFormatting>
  <conditionalFormatting sqref="S3">
    <cfRule type="colorScale" priority="81">
      <colorScale>
        <cfvo type="min"/>
        <cfvo type="max"/>
        <color rgb="FFFCFCFF"/>
        <color rgb="FF754BFB"/>
      </colorScale>
    </cfRule>
  </conditionalFormatting>
  <conditionalFormatting sqref="J3">
    <cfRule type="colorScale" priority="82">
      <colorScale>
        <cfvo type="min"/>
        <cfvo type="percentile" val="50"/>
        <cfvo type="max"/>
        <color rgb="FFF8696B"/>
        <color rgb="FFFFEB84"/>
        <color rgb="FF63BE7B"/>
      </colorScale>
    </cfRule>
  </conditionalFormatting>
  <conditionalFormatting sqref="CG3">
    <cfRule type="colorScale" priority="83">
      <colorScale>
        <cfvo type="min"/>
        <cfvo type="max"/>
        <color rgb="FFFCFCFF"/>
        <color rgb="FF63BE7B"/>
      </colorScale>
    </cfRule>
  </conditionalFormatting>
  <conditionalFormatting sqref="H2">
    <cfRule type="cellIs" dxfId="5807" priority="30" stopIfTrue="1" operator="notEqual">
      <formula>""</formula>
    </cfRule>
  </conditionalFormatting>
  <conditionalFormatting sqref="R2 CU2">
    <cfRule type="cellIs" dxfId="5806" priority="32" operator="greaterThan">
      <formula>0</formula>
    </cfRule>
  </conditionalFormatting>
  <conditionalFormatting sqref="T2:AS2 CH2:CS2">
    <cfRule type="cellIs" dxfId="5805" priority="27" stopIfTrue="1" operator="equal">
      <formula>"n"</formula>
    </cfRule>
    <cfRule type="cellIs" dxfId="5804" priority="28" stopIfTrue="1" operator="equal">
      <formula>"y"</formula>
    </cfRule>
    <cfRule type="cellIs" dxfId="5803" priority="29" operator="greaterThan">
      <formula>0</formula>
    </cfRule>
  </conditionalFormatting>
  <conditionalFormatting sqref="AZ2:BB2">
    <cfRule type="expression" dxfId="5802" priority="14">
      <formula>$AT2=0</formula>
    </cfRule>
  </conditionalFormatting>
  <conditionalFormatting sqref="AZ2:BU2">
    <cfRule type="cellIs" dxfId="5801" priority="15" operator="equal">
      <formula>"PIN"</formula>
    </cfRule>
    <cfRule type="cellIs" dxfId="5800" priority="16" operator="equal">
      <formula>"ORA"</formula>
    </cfRule>
    <cfRule type="cellIs" dxfId="5799" priority="17" operator="equal">
      <formula>"GRA"</formula>
    </cfRule>
    <cfRule type="cellIs" dxfId="5798" priority="18" operator="equal">
      <formula>"PUR"</formula>
    </cfRule>
    <cfRule type="cellIs" dxfId="5797" priority="19" operator="equal">
      <formula>"BRO"</formula>
    </cfRule>
    <cfRule type="cellIs" dxfId="5796" priority="20" operator="equal">
      <formula>"YEL"</formula>
    </cfRule>
    <cfRule type="cellIs" dxfId="5795" priority="21" operator="equal">
      <formula>"BLU"</formula>
    </cfRule>
    <cfRule type="cellIs" dxfId="5794" priority="22" operator="equal">
      <formula>"WHI"</formula>
    </cfRule>
    <cfRule type="cellIs" dxfId="5793" priority="23" operator="equal">
      <formula>"GRE"</formula>
    </cfRule>
    <cfRule type="cellIs" dxfId="5792" priority="24" operator="equal">
      <formula>"RED"</formula>
    </cfRule>
    <cfRule type="cellIs" dxfId="5791" priority="25" operator="equal">
      <formula>"BLA"</formula>
    </cfRule>
  </conditionalFormatting>
  <conditionalFormatting sqref="BV2">
    <cfRule type="cellIs" dxfId="5790" priority="31" operator="equal">
      <formula>"nc"</formula>
    </cfRule>
  </conditionalFormatting>
  <conditionalFormatting sqref="CD2:CF2 BZ2:CA2">
    <cfRule type="cellIs" dxfId="5789" priority="26" operator="greaterThan">
      <formula>0</formula>
    </cfRule>
  </conditionalFormatting>
  <conditionalFormatting sqref="IC2:IK2">
    <cfRule type="expression" dxfId="5788" priority="13">
      <formula>$IL2&gt;0</formula>
    </cfRule>
  </conditionalFormatting>
  <conditionalFormatting sqref="BX2:CA2 CD2:CF2">
    <cfRule type="cellIs" dxfId="5787" priority="1" operator="equal">
      <formula>"y"</formula>
    </cfRule>
    <cfRule type="cellIs" dxfId="5786" priority="2" operator="equal">
      <formula>"PIN"</formula>
    </cfRule>
    <cfRule type="cellIs" dxfId="5785" priority="3" operator="equal">
      <formula>"ORA"</formula>
    </cfRule>
    <cfRule type="cellIs" dxfId="5784" priority="4" operator="equal">
      <formula>"GRA"</formula>
    </cfRule>
    <cfRule type="cellIs" dxfId="5783" priority="5" operator="equal">
      <formula>"PUR"</formula>
    </cfRule>
    <cfRule type="cellIs" dxfId="5782" priority="6" operator="equal">
      <formula>"BRO"</formula>
    </cfRule>
    <cfRule type="cellIs" dxfId="5781" priority="7" operator="equal">
      <formula>"YEL"</formula>
    </cfRule>
    <cfRule type="cellIs" dxfId="5780" priority="8" operator="equal">
      <formula>"BLU"</formula>
    </cfRule>
    <cfRule type="cellIs" dxfId="5779" priority="9" operator="equal">
      <formula>"WHI"</formula>
    </cfRule>
    <cfRule type="cellIs" dxfId="5778" priority="10" operator="equal">
      <formula>"GRE"</formula>
    </cfRule>
    <cfRule type="cellIs" dxfId="5777" priority="11" operator="equal">
      <formula>"RED"</formula>
    </cfRule>
    <cfRule type="cellIs" dxfId="5776" priority="12" operator="equal">
      <formula>"BLA"</formula>
    </cfRule>
  </conditionalFormatting>
  <conditionalFormatting sqref="J2">
    <cfRule type="colorScale" priority="33">
      <colorScale>
        <cfvo type="min"/>
        <cfvo type="percentile" val="50"/>
        <cfvo type="max"/>
        <color rgb="FFF8696B"/>
        <color rgb="FFFFEB84"/>
        <color rgb="FF63BE7B"/>
      </colorScale>
    </cfRule>
  </conditionalFormatting>
  <conditionalFormatting sqref="S2">
    <cfRule type="colorScale" priority="34">
      <colorScale>
        <cfvo type="min"/>
        <cfvo type="max"/>
        <color rgb="FFFCFCFF"/>
        <color rgb="FF754BFB"/>
      </colorScale>
    </cfRule>
  </conditionalFormatting>
  <conditionalFormatting sqref="AT2">
    <cfRule type="colorScale" priority="35">
      <colorScale>
        <cfvo type="min"/>
        <cfvo type="max"/>
        <color rgb="FFFCFCFF"/>
        <color theme="8" tint="0.39997558519241921"/>
      </colorScale>
    </cfRule>
  </conditionalFormatting>
  <conditionalFormatting sqref="CG2">
    <cfRule type="colorScale" priority="36">
      <colorScale>
        <cfvo type="min"/>
        <cfvo type="max"/>
        <color rgb="FFFCFCFF"/>
        <color rgb="FF63BE7B"/>
      </colorScale>
    </cfRule>
  </conditionalFormatting>
  <hyperlinks>
    <hyperlink ref="A2" r:id="rId1" display="https://fbref.com/en/country/CTA/Central-African-Republic-Football" xr:uid="{7ABE93AD-7432-48FA-BA56-963F3C5A973C}"/>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35841" r:id="rId5"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35842" r:id="rId6"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35843" r:id="rId7"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671AF9-3DDA-4E9B-9F44-60C5D502CDCD}">
  <sheetPr codeName="Sheet47"/>
  <dimension ref="A1:IY6"/>
  <sheetViews>
    <sheetView zoomScale="70" zoomScaleNormal="70" workbookViewId="0">
      <pane xSplit="5" ySplit="1" topLeftCell="F2" activePane="bottomRight" state="frozen"/>
      <selection pane="topRight" activeCell="F1" sqref="F1"/>
      <selection pane="bottomLeft" activeCell="A2" sqref="A2"/>
      <selection pane="bottomRight" activeCell="M3" sqref="M3"/>
    </sheetView>
  </sheetViews>
  <sheetFormatPr defaultRowHeight="38.4" customHeight="1" x14ac:dyDescent="0.3"/>
  <cols>
    <col min="1" max="1" width="52.44140625" style="81" bestFit="1" customWidth="1"/>
    <col min="2" max="2" width="10.109375" style="81" customWidth="1"/>
    <col min="3" max="3" width="7.44140625" style="82" customWidth="1"/>
    <col min="4" max="4" width="4.77734375" style="83" customWidth="1"/>
    <col min="5" max="5" width="4.5546875" style="83" customWidth="1"/>
    <col min="6" max="6" width="5.77734375" style="83" customWidth="1"/>
    <col min="7" max="7" width="7.44140625" style="81" customWidth="1"/>
    <col min="8" max="8" width="11.44140625" style="81" customWidth="1"/>
    <col min="9" max="9" width="10" style="81" customWidth="1"/>
    <col min="10" max="10" width="4.21875" style="81" customWidth="1"/>
    <col min="11" max="11" width="5.6640625" style="83" customWidth="1"/>
    <col min="12" max="12" width="2.88671875" style="83" customWidth="1"/>
    <col min="13" max="13" width="6.44140625" style="83" customWidth="1"/>
    <col min="14" max="14" width="4.5546875" style="83" customWidth="1"/>
    <col min="15" max="15" width="10.5546875" style="84" customWidth="1"/>
    <col min="16" max="16" width="6.88671875" style="83" customWidth="1"/>
    <col min="17" max="17" width="4.77734375" style="83" customWidth="1"/>
    <col min="18" max="18" width="13.109375" style="82" customWidth="1"/>
    <col min="19" max="19" width="6.77734375" style="82" customWidth="1"/>
    <col min="20" max="46" width="8.44140625" style="81" customWidth="1"/>
    <col min="47" max="47" width="24.5546875" style="81" customWidth="1"/>
    <col min="48" max="51" width="16.6640625" style="81" customWidth="1"/>
    <col min="52" max="52" width="6.5546875" style="81" customWidth="1"/>
    <col min="53" max="54" width="5.88671875" style="81" customWidth="1"/>
    <col min="55" max="55" width="1.33203125" style="81" customWidth="1"/>
    <col min="56" max="56" width="7.44140625" style="81" customWidth="1"/>
    <col min="57" max="57" width="2.33203125" style="81" customWidth="1"/>
    <col min="58" max="62" width="6.109375" style="81" customWidth="1"/>
    <col min="63" max="63" width="2.33203125" style="81" customWidth="1"/>
    <col min="64" max="64" width="7" style="81" bestFit="1" customWidth="1"/>
    <col min="65" max="65" width="6.44140625" style="81" bestFit="1" customWidth="1"/>
    <col min="66" max="66" width="7.109375" style="81" bestFit="1" customWidth="1"/>
    <col min="67" max="71" width="6.44140625" style="81" bestFit="1" customWidth="1"/>
    <col min="72" max="73" width="6.44140625" style="81" customWidth="1"/>
    <col min="74" max="75" width="13.44140625" style="81" customWidth="1"/>
    <col min="76" max="84" width="14.6640625" style="81" customWidth="1"/>
    <col min="85" max="85" width="6.44140625" style="81" customWidth="1"/>
    <col min="86" max="87" width="11.6640625" style="81" bestFit="1" customWidth="1"/>
    <col min="88" max="88" width="11.6640625" style="81" customWidth="1"/>
    <col min="89" max="89" width="12.77734375" style="81" bestFit="1" customWidth="1"/>
    <col min="90" max="90" width="16.44140625" style="82" bestFit="1" customWidth="1"/>
    <col min="91" max="92" width="14.88671875" style="82" bestFit="1" customWidth="1"/>
    <col min="93" max="93" width="16" style="82" bestFit="1" customWidth="1"/>
    <col min="94" max="97" width="7.77734375" style="81" customWidth="1"/>
    <col min="98" max="98" width="33.21875" style="81" customWidth="1"/>
    <col min="99" max="99" width="18" style="81" customWidth="1"/>
    <col min="100" max="100" width="75.6640625" style="81" customWidth="1"/>
    <col min="101" max="125" width="33" style="81" customWidth="1"/>
    <col min="126" max="126" width="8.88671875" style="81"/>
    <col min="127" max="128" width="9.44140625" style="81" bestFit="1" customWidth="1"/>
    <col min="129" max="129" width="10.77734375" style="81" bestFit="1" customWidth="1"/>
    <col min="130" max="134" width="10.77734375" style="81" customWidth="1"/>
    <col min="135" max="135" width="10.109375" style="81" bestFit="1" customWidth="1"/>
    <col min="136" max="136" width="7.77734375" style="81" bestFit="1" customWidth="1"/>
    <col min="137" max="137" width="7.77734375" style="81" customWidth="1"/>
    <col min="138" max="138" width="9" style="81" bestFit="1" customWidth="1"/>
    <col min="139" max="139" width="11.33203125" style="81" bestFit="1" customWidth="1"/>
    <col min="140" max="140" width="9.109375" style="81" bestFit="1" customWidth="1"/>
    <col min="141" max="141" width="9" style="81" bestFit="1" customWidth="1"/>
    <col min="142" max="142" width="12" style="81" bestFit="1" customWidth="1"/>
    <col min="143" max="166" width="12" style="81" customWidth="1"/>
    <col min="167" max="167" width="17.21875" style="81" customWidth="1"/>
    <col min="168" max="191" width="12" style="81" customWidth="1"/>
    <col min="192" max="192" width="8.5546875" style="81" bestFit="1" customWidth="1"/>
    <col min="193" max="193" width="8.5546875" style="81" customWidth="1"/>
    <col min="194" max="194" width="7.109375" style="81" bestFit="1" customWidth="1"/>
    <col min="195" max="195" width="7.5546875" style="81" bestFit="1" customWidth="1"/>
    <col min="196" max="196" width="8.5546875" style="81" bestFit="1" customWidth="1"/>
    <col min="197" max="200" width="8.5546875" style="81" customWidth="1"/>
    <col min="201" max="201" width="188.88671875" style="81" customWidth="1"/>
    <col min="202" max="202" width="9.5546875" style="81" bestFit="1" customWidth="1"/>
    <col min="203" max="203" width="10.44140625" style="81" bestFit="1" customWidth="1"/>
    <col min="204" max="204" width="11.109375" style="81" bestFit="1" customWidth="1"/>
    <col min="205" max="205" width="10.44140625" style="81" bestFit="1" customWidth="1"/>
    <col min="206" max="210" width="10.44140625" style="81" customWidth="1"/>
    <col min="211" max="211" width="45.44140625" style="81" customWidth="1"/>
    <col min="212" max="212" width="47.5546875" style="81" bestFit="1" customWidth="1"/>
    <col min="213" max="213" width="9.33203125" style="85" customWidth="1"/>
    <col min="214" max="214" width="119.5546875" style="81" customWidth="1"/>
    <col min="215" max="215" width="69.6640625" style="81" customWidth="1"/>
    <col min="216" max="218" width="8.88671875" style="81"/>
    <col min="219" max="219" width="37.109375" style="81" customWidth="1"/>
    <col min="220" max="220" width="16.33203125" style="81" customWidth="1"/>
    <col min="221" max="222" width="8.88671875" style="81"/>
    <col min="223" max="223" width="10.109375" style="81" bestFit="1" customWidth="1"/>
    <col min="224" max="232" width="10.88671875" style="81" customWidth="1"/>
    <col min="233" max="234" width="30.77734375" style="81" customWidth="1"/>
    <col min="235" max="235" width="5.109375" style="81" customWidth="1"/>
    <col min="236" max="236" width="3" style="81" customWidth="1"/>
    <col min="237" max="245" width="6.77734375" style="86" customWidth="1"/>
    <col min="246" max="247" width="8.88671875" style="81"/>
    <col min="248" max="248" width="61.5546875" style="81" customWidth="1"/>
    <col min="249" max="253" width="8.88671875" style="81"/>
    <col min="254" max="254" width="9" style="81" customWidth="1"/>
    <col min="255" max="16384" width="8.88671875" style="8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747</v>
      </c>
      <c r="B2" s="40" t="e" vm="16">
        <v>#VALUE!</v>
      </c>
      <c r="C2" s="41">
        <v>1</v>
      </c>
      <c r="D2" s="42" t="s">
        <v>748</v>
      </c>
      <c r="E2" s="43" t="s">
        <v>749</v>
      </c>
      <c r="F2" s="44" t="s">
        <v>163</v>
      </c>
      <c r="G2" s="45">
        <f>COUNTIF($A$1:$A$8358,A2)</f>
        <v>1</v>
      </c>
      <c r="H2" s="46"/>
      <c r="I2" s="47" t="s">
        <v>750</v>
      </c>
      <c r="J2" s="48" t="str">
        <f>""</f>
        <v/>
      </c>
      <c r="K2" s="49">
        <v>28873034</v>
      </c>
      <c r="L2" s="50">
        <v>2070000</v>
      </c>
      <c r="M2" s="50" t="s">
        <v>756</v>
      </c>
      <c r="N2" s="51" t="s">
        <v>180</v>
      </c>
      <c r="O2" s="52" t="s">
        <v>390</v>
      </c>
      <c r="P2" s="53" t="s">
        <v>751</v>
      </c>
      <c r="Q2" s="54">
        <v>2</v>
      </c>
      <c r="R2" s="55" t="s">
        <v>180</v>
      </c>
      <c r="S2" s="56">
        <v>3</v>
      </c>
      <c r="T2" s="57" t="s">
        <v>164</v>
      </c>
      <c r="U2" s="58" t="s">
        <v>164</v>
      </c>
      <c r="V2" s="58" t="s">
        <v>164</v>
      </c>
      <c r="W2" s="58" t="s">
        <v>167</v>
      </c>
      <c r="X2" s="58" t="s">
        <v>164</v>
      </c>
      <c r="Y2" s="58" t="s">
        <v>164</v>
      </c>
      <c r="Z2" s="58" t="s">
        <v>164</v>
      </c>
      <c r="AA2" s="58" t="s">
        <v>164</v>
      </c>
      <c r="AB2" s="58" t="s">
        <v>164</v>
      </c>
      <c r="AC2" s="58" t="s">
        <v>164</v>
      </c>
      <c r="AD2" s="58" t="s">
        <v>164</v>
      </c>
      <c r="AE2" s="58" t="s">
        <v>164</v>
      </c>
      <c r="AF2" s="59" t="s">
        <v>164</v>
      </c>
      <c r="AG2" s="59" t="s">
        <v>164</v>
      </c>
      <c r="AH2" s="59" t="s">
        <v>164</v>
      </c>
      <c r="AI2" s="59" t="s">
        <v>164</v>
      </c>
      <c r="AJ2" s="59" t="s">
        <v>164</v>
      </c>
      <c r="AK2" s="59" t="s">
        <v>167</v>
      </c>
      <c r="AL2" s="59" t="s">
        <v>164</v>
      </c>
      <c r="AM2" s="59" t="s">
        <v>164</v>
      </c>
      <c r="AN2" s="59" t="s">
        <v>164</v>
      </c>
      <c r="AO2" s="59" t="s">
        <v>164</v>
      </c>
      <c r="AP2" s="59" t="s">
        <v>164</v>
      </c>
      <c r="AQ2" s="59" t="s">
        <v>164</v>
      </c>
      <c r="AR2" s="59" t="s">
        <v>164</v>
      </c>
      <c r="AS2" s="59" t="s">
        <v>164</v>
      </c>
      <c r="AT2" s="60">
        <v>0</v>
      </c>
      <c r="AU2" s="59"/>
      <c r="AV2" s="59" t="str">
        <f>IF(LEFT(A2,1)="[",LEFT(A2,5)&amp;AU2&amp;A2,"")</f>
        <v/>
      </c>
      <c r="AW2" s="59" t="str">
        <f t="shared" ref="AW2:AW3" si="0">C2&amp;H2&amp;A2</f>
        <v>1Ivory Coast</v>
      </c>
      <c r="AX2" s="61" t="str">
        <f>_xlfn.TEXTJOIN(";",TRUE,AU2:AW2)</f>
        <v>1Ivory Coast</v>
      </c>
      <c r="AY2" s="61"/>
      <c r="AZ2" s="62"/>
      <c r="BA2" s="62"/>
      <c r="BB2" s="62"/>
      <c r="BC2" s="63"/>
      <c r="BD2" s="64" t="s">
        <v>169</v>
      </c>
      <c r="BE2" s="47"/>
      <c r="BF2" s="64" t="s">
        <v>156</v>
      </c>
      <c r="BG2" s="64" t="s">
        <v>159</v>
      </c>
      <c r="BH2" s="64" t="s">
        <v>153</v>
      </c>
      <c r="BI2" s="64"/>
      <c r="BJ2" s="64"/>
      <c r="BK2" s="47"/>
      <c r="BL2" s="64" t="s">
        <v>156</v>
      </c>
      <c r="BM2" s="64" t="s">
        <v>159</v>
      </c>
      <c r="BN2" s="64" t="s">
        <v>153</v>
      </c>
      <c r="BO2" s="64"/>
      <c r="BP2" s="64"/>
      <c r="BQ2" s="64"/>
      <c r="BR2" s="64"/>
      <c r="BS2" s="64"/>
      <c r="BT2" s="64"/>
      <c r="BU2" s="65"/>
      <c r="BV2" s="66" t="s">
        <v>165</v>
      </c>
      <c r="BW2" s="66">
        <v>0</v>
      </c>
      <c r="BX2" s="47"/>
      <c r="CB2" s="6" t="s">
        <v>137</v>
      </c>
      <c r="CC2" s="6"/>
      <c r="CD2" s="67">
        <v>0</v>
      </c>
      <c r="CE2" s="67">
        <v>0</v>
      </c>
      <c r="CF2" s="67" t="e">
        <v>#REF!</v>
      </c>
      <c r="CG2" s="68" cm="1">
        <f t="array" ref="CG2">SUMPRODUCT(--(LEN(TRIM(BL2:BT2))&gt;0))</f>
        <v>3</v>
      </c>
      <c r="CH2" s="59" t="str">
        <f>IF(CG2=2,"y","n")</f>
        <v>n</v>
      </c>
      <c r="CI2" s="59" t="str">
        <f>IF(CG2=3,"y","n")</f>
        <v>y</v>
      </c>
      <c r="CJ2" s="59" t="str">
        <f>IF(CG2=4,"y","n")</f>
        <v>n</v>
      </c>
      <c r="CK2" s="59" t="str">
        <f>IF(CG2&gt;4,"y","n")</f>
        <v>n</v>
      </c>
      <c r="CL2" s="59" t="str">
        <f>IF(S2=0,"y","n")</f>
        <v>n</v>
      </c>
      <c r="CM2" s="59" t="str">
        <f>IF(S2=2,"y","n")</f>
        <v>n</v>
      </c>
      <c r="CN2" s="59" t="str">
        <f>IF(S2=3,"y","n")</f>
        <v>y</v>
      </c>
      <c r="CO2" s="59" t="str">
        <f>IF(S2&gt;=4,"y","n")</f>
        <v>n</v>
      </c>
      <c r="CP2" s="59" t="str">
        <f>IF(AT2=0,"y","n")</f>
        <v>y</v>
      </c>
      <c r="CQ2" s="59" t="str">
        <f>IF(AT2=1,"y","n")</f>
        <v>n</v>
      </c>
      <c r="CR2" s="59" t="str">
        <f>IF(AT2=2,"y","n")</f>
        <v>n</v>
      </c>
      <c r="CS2" s="59" t="str">
        <f>IF(AT2&gt;=3,"y","n")</f>
        <v>n</v>
      </c>
      <c r="CT2" s="69" t="str">
        <f>CHAR(34)&amp;A2&amp;CHAR(34)</f>
        <v>"Ivory Coast"</v>
      </c>
      <c r="CU2" s="70" t="str">
        <f>CHAR(34)&amp;"rgn_"&amp;R2&amp;CHAR(34)</f>
        <v>"rgn_Africa"</v>
      </c>
      <c r="CV2" s="48" t="str">
        <f>CHAR(34)&amp;D2&amp;CHAR(34)</f>
        <v>"https://i.ibb.co/YWGTcsw/Ivory-Coast-Flag.png"</v>
      </c>
      <c r="CW2" s="48" t="str">
        <f>IF(CH2="y",CHAR(34)&amp;CH$1&amp;CHAR(34)&amp;",","")</f>
        <v/>
      </c>
      <c r="CX2" s="48" t="str">
        <f>IF(CI2="y",CHAR(34)&amp;CI$1&amp;CHAR(34)&amp;",","")</f>
        <v>"3Color",</v>
      </c>
      <c r="CY2" s="48" t="str">
        <f>IF(CJ2="y",CHAR(34)&amp;CJ$1&amp;CHAR(34)&amp;",","")</f>
        <v/>
      </c>
      <c r="CZ2" s="48" t="str">
        <f>IF(CK2="y",CHAR(34)&amp;CK$1&amp;CHAR(34)&amp;",","")</f>
        <v/>
      </c>
      <c r="DA2" s="48" t="str">
        <f>IF(Q2&gt;1,CHAR(34)&amp;"words2"&amp;CHAR(34)&amp;",","")</f>
        <v>"words2",</v>
      </c>
      <c r="DB2" s="48" t="str">
        <f>IF(Q2&gt;2,CHAR(34)&amp;"words3"&amp;CHAR(34)&amp;",","")</f>
        <v/>
      </c>
      <c r="DC2" s="48" t="str">
        <f>IF(Q2=2,CHAR(34)&amp;"exact2"&amp;CHAR(34)&amp;",","")</f>
        <v>"exact2",</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"lets10",</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"startI",</v>
      </c>
      <c r="DF2" s="48" t="str">
        <f>IFERROR(IF(SEARCH("tan",A2)&gt;0,CHAR(34)&amp;"withtn"&amp;CHAR(34)&amp;",",""),"")</f>
        <v/>
      </c>
      <c r="DG2" s="48" t="str">
        <f>IFERROR(IF(SEARCH("q",A2)&gt;0,CHAR(34)&amp;"with_q"&amp;CHAR(34)&amp;",",""),"")</f>
        <v/>
      </c>
      <c r="DH2" s="48" t="str">
        <f>IFERROR(IF(SEARCH("v",A2)&gt;0,CHAR(34)&amp;"with_v"&amp;CHAR(34)&amp;",",""),"")</f>
        <v>"with_v",</v>
      </c>
      <c r="DI2" s="48" t="str">
        <f>IFERROR(IF(SEARCH("w",A2)&gt;0,CHAR(34)&amp;"with_w"&amp;CHAR(34)&amp;",",""),"")</f>
        <v/>
      </c>
      <c r="DJ2" s="48" t="str">
        <f>IFERROR(IF(SEARCH("y",A2)&gt;0,CHAR(34)&amp;"with_y"&amp;CHAR(34)&amp;",",""),"")</f>
        <v>"with_y",</v>
      </c>
      <c r="DK2" s="48" t="str">
        <f>IFERROR(IF(SEARCH("z",A2)&gt;0,CHAR(34)&amp;"with_z"&amp;CHAR(34)&amp;",",""),"")</f>
        <v/>
      </c>
      <c r="DL2" s="48" t="str">
        <f>IF(CG2=2, CHAR(34) &amp; _xlfn.TEXTJOIN("", TRUE, _xlfn._xlws.SORT(HP2:HX2)) &amp; CHAR(34) &amp; ",", "")</f>
        <v/>
      </c>
      <c r="DM2" s="48" t="str" cm="1">
        <f t="array" ref="DM2">IF(CG2=3,CHAR(34) &amp; _xlfn.TEXTJOIN("", TRUE, RIGHT(HP2:HX2, 2)) &amp; CHAR(34) &amp; ",", "")</f>
        <v>"RERAHI",</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
      </c>
      <c r="DS2" s="6" t="str">
        <f>IF(W2="y",IF(AND(V2="n",BY2&lt;&gt;"y"),CHAR(34)&amp;"allver"&amp;CHAR(34)&amp;",",""),"")</f>
        <v>"allver",</v>
      </c>
      <c r="DT2" s="6" t="str">
        <f>IF(V2="y",IF(AND(W2="n",BY2&lt;&gt;"y"),CHAR(34)&amp;"allhor"&amp;CHAR(34)&amp;",",""),"")</f>
        <v/>
      </c>
      <c r="DU2" s="6" t="str">
        <f>IF(BY2="y",IF(AND(W2="n",V2="n"),CHAR(34)&amp;"alldia"&amp;CHAR(34)&amp;",",""),"")</f>
        <v/>
      </c>
      <c r="DV2" s="48" t="str">
        <f>IF(IA2&lt;&gt;"",(IF(IA2="y",CHAR(34)&amp;"largec"&amp;CHAR(34)&amp;",",CHAR(34)&amp;"smallc"&amp;CHAR(34)&amp;",")),"")</f>
        <v/>
      </c>
      <c r="DW2" s="48" t="str">
        <f>IF(CL2="y",CHAR(34)&amp;CL$1&amp;CHAR(34)&amp;",","")</f>
        <v/>
      </c>
      <c r="DX2" s="48" t="str">
        <f>IF(CM2="y",CHAR(34)&amp;CM$1&amp;CHAR(34)&amp;",","")</f>
        <v/>
      </c>
      <c r="DY2" s="48" t="str">
        <f>IF(CN2="y",CHAR(34)&amp;CN$1&amp;CHAR(34)&amp;",","")</f>
        <v>"3Bands",</v>
      </c>
      <c r="DZ2" s="48" t="str">
        <f>IF(CO2="y",CHAR(34)&amp;CO$1&amp;CHAR(34)&amp;",","")</f>
        <v/>
      </c>
      <c r="EA2" s="48" t="str">
        <f>IF(T2="y",CHAR(34)&amp;T$1&amp;CHAR(34)&amp;",","")</f>
        <v/>
      </c>
      <c r="EB2" s="48" t="str">
        <f>IF(U2="y",CHAR(34)&amp;U$1&amp;CHAR(34)&amp;",","")</f>
        <v/>
      </c>
      <c r="EC2" s="48" t="str">
        <f>IF(V2="y",CHAR(34)&amp;V$1&amp;CHAR(34)&amp;",","")</f>
        <v/>
      </c>
      <c r="ED2" s="48" t="str">
        <f>IF(W2="y",CHAR(34)&amp;W$1&amp;CHAR(34)&amp;",","")</f>
        <v>"Vertic",</v>
      </c>
      <c r="EE2" s="48" t="str">
        <f>IF(X2="y",CHAR(34)&amp;X$1&amp;CHAR(34)&amp;",","")</f>
        <v/>
      </c>
      <c r="EF2" s="48" t="str">
        <f>IF(AND(Y2&lt;&gt;"n",Y2&lt;&gt;""),CHAR(34)&amp;Y$1&amp;CHAR(34)&amp;",","")</f>
        <v/>
      </c>
      <c r="EG2" s="48" t="str">
        <f>IF(Z2="y",CHAR(34)&amp;Z$1&amp;CHAR(34)&amp;",","")</f>
        <v/>
      </c>
      <c r="EH2" s="48" t="str">
        <f>IF(AA2="y",CHAR(34)&amp;AA$1&amp;CHAR(34)&amp;",","")</f>
        <v/>
      </c>
      <c r="EI2" s="48" t="str">
        <f>IF(AB2="y",CHAR(34)&amp;AB$1&amp;CHAR(34)&amp;",","")</f>
        <v/>
      </c>
      <c r="EJ2" s="48" t="str">
        <f>IF(AC2="y",CHAR(34)&amp;AC$1&amp;CHAR(34)&amp;",","")</f>
        <v/>
      </c>
      <c r="EK2" s="48" t="str">
        <f>IF(AD2="y",CHAR(34)&amp;AD$1&amp;CHAR(34)&amp;",","")</f>
        <v/>
      </c>
      <c r="EL2" s="48" t="str">
        <f>IF(AE2="y",CHAR(34)&amp;AE$1&amp;CHAR(34)&amp;",","")</f>
        <v/>
      </c>
      <c r="EM2" s="48" t="str">
        <f>IF(AF2="y",CHAR(34)&amp;AF$1&amp;CHAR(34)&amp;",","")</f>
        <v/>
      </c>
      <c r="EN2" s="48" t="str">
        <f>IF(AG2="y",CHAR(34)&amp;AG$1&amp;CHAR(34)&amp;",","")</f>
        <v/>
      </c>
      <c r="EO2" s="48" t="str">
        <f>IF(AH2="y",CHAR(34)&amp;AH$1&amp;CHAR(34)&amp;",","")</f>
        <v/>
      </c>
      <c r="EP2" s="48" t="str">
        <f>IF(AI2="y",CHAR(34)&amp;AI$1&amp;CHAR(34)&amp;",","")</f>
        <v/>
      </c>
      <c r="EQ2" s="48" t="str">
        <f>IF(AJ2="y",CHAR(34)&amp;AJ$1&amp;CHAR(34)&amp;",","")</f>
        <v/>
      </c>
      <c r="ER2" s="48" t="str">
        <f>IF(AK2="y",CHAR(34)&amp;AK$1&amp;CHAR(34)&amp;",","")</f>
        <v>"OnlyBa",</v>
      </c>
      <c r="ES2" s="48" t="str">
        <f>IF(AL2="y",CHAR(34)&amp;AL$1&amp;CHAR(34)&amp;",","")</f>
        <v/>
      </c>
      <c r="ET2" s="48" t="str">
        <f>IF(AM2="y",CHAR(34)&amp;AM$1&amp;CHAR(34)&amp;",","")</f>
        <v/>
      </c>
      <c r="EU2" s="48" t="str">
        <f>IF(AN2="y",CHAR(34)&amp;AN$1&amp;CHAR(34)&amp;",","")</f>
        <v/>
      </c>
      <c r="EV2" s="48" t="str">
        <f>IF(AO2="y",CHAR(34)&amp;AO$1&amp;CHAR(34)&amp;",","")</f>
        <v/>
      </c>
      <c r="EW2" s="48" t="str">
        <f>IF(AP2="y",CHAR(34)&amp;AP$1&amp;CHAR(34)&amp;",","")</f>
        <v/>
      </c>
      <c r="EX2" s="48" t="str">
        <f>IF(AQ2="y",CHAR(34)&amp;AQ$1&amp;CHAR(34)&amp;",","")</f>
        <v/>
      </c>
      <c r="EY2" s="48" t="str">
        <f>IF(AR2="y",CHAR(34)&amp;AR$1&amp;CHAR(34)&amp;",","")</f>
        <v/>
      </c>
      <c r="EZ2" s="48" t="str">
        <f>IF(AS2="y",CHAR(34)&amp;AS$1&amp;CHAR(34)&amp;",","")</f>
        <v/>
      </c>
      <c r="FA2" s="48" t="str">
        <f>IF(AT2&gt;0,CHAR(34)&amp;"sta"&amp;AZ2&amp;CHAR(34)&amp;",","")</f>
        <v/>
      </c>
      <c r="FB2" s="48" t="str">
        <f>IF(AND(AT2&gt;0,BA2&lt;&gt;""),CHAR(34)&amp;"sta"&amp;BA2&amp;CHAR(34)&amp;",","")</f>
        <v/>
      </c>
      <c r="FC2" s="48" t="str">
        <f>IF(AND(AT2&gt;0,BB2&lt;&gt;""),CHAR(34)&amp;"sta"&amp;BB2&amp;CHAR(34)&amp;",","")</f>
        <v/>
      </c>
      <c r="FD2" s="48" t="str">
        <f>IF(BV2="n",CHAR(34)&amp;"tcWHYE"&amp;CHAR(34)&amp;",",IF(BV2="y",CHAR(34)&amp;FD$1&amp;CHAR(34)&amp;",",""))</f>
        <v/>
      </c>
      <c r="FE2" s="48" t="str">
        <f>IF(COUNTIF(BL2:BT2,"BLU")=0,CHAR(34)&amp;"NO_BLU"&amp;CHAR(34)&amp;",", "")</f>
        <v>"NO_BLU",</v>
      </c>
      <c r="FF2" s="48" t="str">
        <f>IF(COUNTIF(BL2:BT2,"WHI")=0,CHAR(34)&amp;"NO_WHI"&amp;CHAR(34)&amp;",", "")</f>
        <v/>
      </c>
      <c r="FG2" s="48" t="str">
        <f>IF(COUNTIF(BL2:BT2,"RED")=0,CHAR(34)&amp;"NO_RED"&amp;CHAR(34)&amp;",", "")</f>
        <v>"NO_RED",</v>
      </c>
      <c r="FH2" s="48" t="str">
        <f>IF(COUNTIF(BL2:BS2,"GRE")=0,CHAR(34)&amp;"NO_GRE"&amp;CHAR(34)&amp;",", "")</f>
        <v/>
      </c>
      <c r="FI2" s="48" t="str">
        <f>IF(COUNTIF(BL2:BT2,"YEL")=0,CHAR(34)&amp;"NO_YEL"&amp;CHAR(34)&amp;",", "")</f>
        <v>"NO_YEL",</v>
      </c>
      <c r="FJ2" s="48" t="str">
        <f>IF(COUNTIF(BL2:BT2,"BLA")=0,CHAR(34)&amp;"NO_BLA"&amp;CHAR(34)&amp;",", "")</f>
        <v>"NO_BLA",</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"BLRENO",</v>
      </c>
      <c r="FP2" s="48" t="str">
        <f>IF(AND(FF2&lt;&gt;"",FF2&lt;&gt;""),CHAR(34)&amp;"WHRENO"&amp;CHAR(34)&amp;",","")</f>
        <v/>
      </c>
      <c r="FQ2" s="48" t="str">
        <f>IF(LEN(BF2)=3,CHAR(34)&amp;"001"&amp;BF2&amp;CHAR(34)&amp;",","")</f>
        <v>"001ORA",</v>
      </c>
      <c r="FR2" s="48" t="str">
        <f>IF(LEN(BG2)=3,CHAR(34)&amp;"002"&amp;BG2&amp;CHAR(34)&amp;",","")</f>
        <v>"002WHI",</v>
      </c>
      <c r="FS2" s="48" t="str">
        <f>IF(LEN(BH2)=3,CHAR(34)&amp;"003"&amp;BH2&amp;CHAR(34)&amp;",","")</f>
        <v>"003GRE",</v>
      </c>
      <c r="FT2" s="48" t="str">
        <f>CHAR(34)&amp;"myr"&amp;BD2&amp;CHAR(34)&amp;","</f>
        <v>"myrEQ",</v>
      </c>
      <c r="FU2" s="48" t="str">
        <f>IF(AY2="y",CHAR(34)&amp;"island"&amp;CHAR(34)&amp;",","")</f>
        <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
      </c>
      <c r="GA2" s="48" t="str">
        <f>IFERROR(IF(SEARCH("French",CB2)&gt;0,CHAR(34)&amp;"french"&amp;CHAR(34)&amp;",",""),"")</f>
        <v>"french",</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"NoStar",</v>
      </c>
      <c r="GK2" s="48" t="str">
        <f>IF(GJ2="",CHAR(34)&amp;"HasSta"&amp;CHAR(34)&amp;",","")</f>
        <v/>
      </c>
      <c r="GL2" s="48" t="str">
        <f>IF(CQ2="y",CHAR(34)&amp;CQ$1&amp;CHAR(34)&amp;",","")</f>
        <v/>
      </c>
      <c r="GM2" s="48" t="str">
        <f>IF(CR2="y",CHAR(34)&amp;CR$1&amp;CHAR(34)&amp;",","")</f>
        <v/>
      </c>
      <c r="GN2" s="48" t="str">
        <f>IF(CS2="y",CHAR(34)&amp;CS$1&amp;CHAR(34)&amp;",","")</f>
        <v/>
      </c>
      <c r="GP2" s="48" t="str">
        <f>CHAR(34)&amp;AU2&amp;CHAR(34)</f>
        <v>""</v>
      </c>
      <c r="GS2" s="48" t="str">
        <f>SUBSTITUTE("["&amp;_xlfn.CONCAT(CW2:GN2)&amp;"]",",]","]")</f>
        <v>["3Color","words2","exact2","lets10","startI","with_v","with_y","RERAHI","year19","allver","3Bands","Vertic","OnlyBa","NO_BLU","NO_RED","NO_YEL","NO_BLA","BLRENO","001ORA","002WHI","003GRE","myrEQ","french","NoStar"]</v>
      </c>
      <c r="GT2" s="48" t="str">
        <f>IF(BL2&lt;&gt;"",CHAR(34)&amp;"cl_"&amp;BL2&amp;CHAR(34)&amp;",","")</f>
        <v>"cl_ORA",</v>
      </c>
      <c r="GU2" s="48" t="str">
        <f>IF(BM2&lt;&gt;"",CHAR(34)&amp;"cl_"&amp;BM2&amp;CHAR(34)&amp;",","")</f>
        <v>"cl_WHI",</v>
      </c>
      <c r="GV2" s="48" t="str">
        <f>IF(BN2&lt;&gt;"",CHAR(34)&amp;"cl_"&amp;BN2&amp;CHAR(34)&amp;",","")</f>
        <v>"cl_GRE",</v>
      </c>
      <c r="GW2" s="48" t="str">
        <f>IF(BO2&lt;&gt;"",CHAR(34)&amp;"cl_"&amp;BO2&amp;CHAR(34)&amp;",","")</f>
        <v/>
      </c>
      <c r="GX2" s="48" t="str">
        <f>IF(BP2&lt;&gt;"",CHAR(34)&amp;"cl_"&amp;BP2&amp;CHAR(34)&amp;",","")</f>
        <v/>
      </c>
      <c r="GY2" s="48" t="str">
        <f>IF(BQ2&lt;&gt;"",CHAR(34)&amp;"cl_"&amp;BQ2&amp;CHAR(34)&amp;",","")</f>
        <v/>
      </c>
      <c r="GZ2" s="48" t="str">
        <f>IF(BR2&lt;&gt;"",CHAR(34)&amp;"cl_"&amp;BR2&amp;CHAR(34)&amp;",","")</f>
        <v/>
      </c>
      <c r="HA2" s="48" t="str">
        <f>IF(BS2&lt;&gt;"",CHAR(34)&amp;"cl_"&amp;BS2&amp;CHAR(34)&amp;",","")</f>
        <v/>
      </c>
      <c r="HB2" s="48" t="str">
        <f>IF(BT2&lt;&gt;"",CHAR(34)&amp;"cl_"&amp;BT2&amp;CHAR(34)&amp;",","")</f>
        <v/>
      </c>
      <c r="HC2" s="48" t="str">
        <f>SUBSTITUTE("["&amp;_xlfn.CONCAT(GT2:HB2)&amp;"]",",]","]")</f>
        <v>["cl_ORA","cl_WHI","cl_GRE"]</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{couname:"Ivory Coast",year:"1959 ",region:"rgn_Africa",Colors:["cl_ORA","cl_WHI","cl_GRE"],Items:["3Color","words2","exact2","lets10","startI","with_v","with_y","RERAHI","year19","allver","3Bands","Vertic","OnlyBa","NO_BLU","NO_RED","NO_YEL","NO_BLA","BLRENO","001ORA","002WHI","003GRE","myrEQ","french","NoStar"],Flag:"https://i.ibb.co/YWGTcsw/Ivory-Coast-Flag.png",HDFlag:"https://upload.wikimedia.org/wikipedia/commons/thumb/f/fe/Flag_of_C%C3%B4te_d%27Ivoire.svg/2560px-Flag_of_C%C3%B4te_d%27Ivoire.svg.png",type:"", describe: "\nThe flag unites the colors of the three great landscapes of the Ivory Coast: green forest, white lagoon and orange savanna", isnew:".", links: "https://en.wikipedia.org/wiki/Flag_of_Ivory_Coast"},</v>
      </c>
      <c r="HG2" s="73" t="str">
        <f>"{couname:"&amp;CT2&amp;(IF(HK2&lt;&gt;"",",subtype:"&amp;CHAR(34)&amp;HK2&amp;CHAR(34),""))&amp;",year:"&amp;HJ2&amp;",region:"&amp;CU2&amp;",Colors:"&amp;HC2&amp;",Items:"&amp;GS2&amp;",Flag:"&amp;CV2&amp;",HDFlag:"&amp;CHAR(34)&amp;E2&amp;CHAR(34)&amp;",type:"&amp;GP2&amp;", describe: "&amp;HI2&amp;", links: "&amp;HL2&amp;"},"</f>
        <v>{couname:"Ivory Coast",year:"1959 ",region:"rgn_Africa",Colors:["cl_ORA","cl_WHI","cl_GRE"],Items:["3Color","words2","exact2","lets10","startI","with_v","with_y","RERAHI","year19","allver","3Bands","Vertic","OnlyBa","NO_BLU","NO_RED","NO_YEL","NO_BLA","BLRENO","001ORA","002WHI","003GRE","myrEQ","french","NoStar"],Flag:"https://i.ibb.co/YWGTcsw/Ivory-Coast-Flag.png",HDFlag:"https://upload.wikimedia.org/wikipedia/commons/thumb/f/fe/Flag_of_C%C3%B4te_d%27Ivoire.svg/2560px-Flag_of_C%C3%B4te_d%27Ivoire.svg.png",type:"", describe: "\nThe flag unites the colors of the three great landscapes of the Ivory Coast: green forest, white lagoon and orange savanna", links: "https://en.wikipedia.org/wiki/Flag_of_Ivory_Coast"},</v>
      </c>
      <c r="HH2" s="48" t="str">
        <f>IF(P2&lt;&gt;"",CHAR(34)&amp;"\n"&amp;P2&amp;CHAR(34),CHAR(34)&amp;CHAR(34))</f>
        <v>"\nThe flag unites the colors of the three great landscapes of the Ivory Coast: green forest, white lagoon and orange savanna"</v>
      </c>
      <c r="HI2" s="48" t="str">
        <f>IF(J2=0,CHAR(34)&amp;CHAR(34),HH2)</f>
        <v>"\nThe flag unites the colors of the three great landscapes of the Ivory Coast: green forest, white lagoon and orange savanna"</v>
      </c>
      <c r="HJ2" s="48" t="str">
        <f>CHAR(34)&amp;O2&amp;CHAR(34)</f>
        <v>"1959 "</v>
      </c>
      <c r="HL2" s="48" t="str">
        <f>CHAR(34)&amp;I2&amp;CHAR(34)</f>
        <v>"https://en.wikipedia.org/wiki/Flag_of_Ivory_Coast"</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{"couname":"Ivory Coast","year":"1959 ","region":"rgn_Africa","Colors":["cl_ORA","cl_WHI","cl_GRE"],"Items":["3Color","words2","exact2","lets10","startI","with_v","with_y","RERAHI","year19","allver","3Bands","Vertic","OnlyBa","NO_BLU","NO_RED","NO_YEL","NO_BLA","BLRENO","001ORA","002WHI","003GRE","myrEQ","french","NoStar"],"Flag":"https://i.ibb.co/YWGTcsw/Ivory-Coast-Flag.png","HDFlag":"https://upload.wikimedia.org/wikipedia/commons/thumb/f/fe/Flag_of_C%C3%B4te_d%27Ivoire.svg/2560px-Flag_of_C%C3%B4te_d%27Ivoire.svg.png","type":"", "describe": "\nThe flag unites the colors of the three great landscapes of the Ivory Coast: green forest, white lagoon and orange savanna", "isnew": ".", "links": "https://en.wikipedia.org/wiki/Flag_of_Ivory_Coast"},</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{"couname":"Ivory Coast","year":"1959 ","region":"rgn_Africa","Colors":["cl_ORA","cl_WHI","cl_GRE"],"Items":["3Color","words2","exact2","lets10","startI","with_v","with_y","RERAHI","year19","allver","3Bands","Vertic","OnlyBa","NO_BLU","NO_RED","NO_YEL","NO_BLA","BLRENO","001ORA","002WHI","003GRE","myrEQ","french","NoStar"],"Flag":"https://i.ibb.co/YWGTcsw/Ivory-Coast-Flag.png","HDFlag":"https://upload.wikimedia.org/wikipedia/commons/thumb/f/fe/Flag_of_C%C3%B4te_d%27Ivoire.svg/2560px-Flag_of_C%C3%B4te_d%27Ivoire.svg.png","type":"", "describe": "\nThe flag unites the colors of the three great landscapes of the Ivory Coast: green forest, white lagoon and orange savanna", "isnew": ".", "links": "https://en.wikipedia.org/wiki/Flag_of_Ivory_Coast"},</v>
      </c>
      <c r="HO2" s="75"/>
      <c r="HP2" s="48" t="str" cm="1">
        <f t="array" ref="HP2">IF(_xlfn.TEXTJOIN(", ", TRUE, IF(ISNUMBER(SEARCH("BLA", BL2:BT2)), COLUMN(BL2:BT2) - COLUMN(BL2) + 1, ""))&lt;&gt;"","BLA","")</f>
        <v/>
      </c>
      <c r="HQ2" s="48" t="str" cm="1">
        <f t="array" ref="HQ2">IF(_xlfn.TEXTJOIN(", ", TRUE, IF(ISNUMBER(SEARCH("BLU", BL2:BT2)), COLUMN(BL2:BT2) - COLUMN(BL2) + 1, ""))&lt;&gt;"","BLU","")</f>
        <v/>
      </c>
      <c r="HR2" s="48" t="str" cm="1">
        <f t="array" ref="HR2">IF(_xlfn.TEXTJOIN(", ", TRUE, IF(ISNUMBER(SEARCH("GRE", BL2:BT2)), COLUMN(BL2:BT2) - COLUMN(BL2) + 1, ""))&lt;&gt;"","GRE","")</f>
        <v>GRE</v>
      </c>
      <c r="HS2" s="48" t="str" cm="1">
        <f t="array" ref="HS2">IF(_xlfn.TEXTJOIN(", ", TRUE, IF(ISNUMBER(SEARCH("RED", BL2:BT2)), COLUMN(BL2:BT2) - COLUMN(BL2) + 1, ""))&lt;&gt;"","RED","")</f>
        <v/>
      </c>
      <c r="HT2" s="48" t="str" cm="1">
        <f t="array" ref="HT2">IF(_xlfn.TEXTJOIN(", ", TRUE, IF(ISNUMBER(SEARCH("YEL", BL2:BT2)), COLUMN(BL2:BT2) - COLUMN(BL2) + 1, ""))&lt;&gt;"","YEL","")</f>
        <v/>
      </c>
      <c r="HU2" s="48" t="str" cm="1">
        <f t="array" ref="HU2">IF(_xlfn.TEXTJOIN(", ", TRUE, IF(ISNUMBER(SEARCH("ORA", BL2:BT2)), COLUMN(BL2:BT2) - COLUMN(BL2) + 1, ""))&lt;&gt;"","ORA","")</f>
        <v>ORA</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c r="IB2" s="6"/>
      <c r="IC2" s="77"/>
      <c r="ID2" s="77"/>
      <c r="IE2" s="77"/>
      <c r="IF2" s="77"/>
      <c r="IG2" s="77"/>
      <c r="IH2" s="77"/>
      <c r="II2" s="77"/>
      <c r="IJ2" s="77"/>
      <c r="IK2" s="77"/>
      <c r="IL2" s="48">
        <f>SUM(IC2:IK2)</f>
        <v>0</v>
      </c>
      <c r="IM2" s="45">
        <f>COUNTIF(IC2:IK2,"&gt;0")-CG2</f>
        <v>-3</v>
      </c>
      <c r="IN2" s="78" t="str">
        <f>"http://mkweb.bcgsc.ca/color-summarizer/?url="&amp;D2&amp;"&amp;precision=low&amp;num_clusters="&amp;CG2&amp;"&amp;text=1"</f>
        <v>http://mkweb.bcgsc.ca/color-summarizer/?url=https://i.ibb.co/YWGTcsw/Ivory-Coast-Flag.png&amp;precision=low&amp;num_clusters=3&amp;text=1</v>
      </c>
      <c r="IO2" s="48" t="str">
        <f>IF(HP2&lt;&gt;"",CHAR(34)&amp;"black"&amp;CHAR(34),"")</f>
        <v/>
      </c>
      <c r="IP2" s="48" t="str">
        <f>IF(HQ2&lt;&gt;"",CHAR(34)&amp;"blue"&amp;CHAR(34),"")</f>
        <v/>
      </c>
      <c r="IQ2" s="48" t="str">
        <f>IF(HR2&lt;&gt;"",CHAR(34)&amp;"green"&amp;CHAR(34),"")</f>
        <v>"green"</v>
      </c>
      <c r="IR2" s="48" t="str">
        <f>IF(HS2&lt;&gt;"",CHAR(34)&amp;"red"&amp;CHAR(34),"")</f>
        <v/>
      </c>
      <c r="IS2" s="48" t="str">
        <f>IF(HT2&lt;&gt;"",CHAR(34)&amp;"yellow"&amp;CHAR(34),"")</f>
        <v/>
      </c>
      <c r="IT2" s="48" t="str">
        <f>IF(HU2&lt;&gt;"",CHAR(34)&amp;"orange"&amp;CHAR(34),"")</f>
        <v>"orange"</v>
      </c>
      <c r="IU2" s="48" t="str">
        <f>IF(HV2&lt;&gt;"",CHAR(34)&amp;"brown"&amp;CHAR(34),"")</f>
        <v/>
      </c>
      <c r="IV2" s="48" t="str">
        <f>IF(HW2&lt;&gt;"",CHAR(34)&amp;"purple"&amp;CHAR(34),"")</f>
        <v/>
      </c>
      <c r="IW2" s="48" t="str">
        <f>IF(HX2&lt;&gt;"",CHAR(34)&amp;"white"&amp;CHAR(34),"")</f>
        <v>"white"</v>
      </c>
      <c r="IX2" s="48" t="str">
        <f>"{"&amp;CHAR(34)&amp;"url"&amp;CHAR(34)&amp;":"&amp;CHAR(34)&amp;IN2&amp;CHAR(34)&amp;","&amp;CHAR(34)&amp;"name"&amp;CHAR(34)&amp;":"&amp;CHAR(34)&amp;A2&amp;CHAR(34)&amp;"},"</f>
        <v>{"url":"http://mkweb.bcgsc.ca/color-summarizer/?url=https://i.ibb.co/YWGTcsw/Ivory-Coast-Flag.png&amp;precision=low&amp;num_clusters=3&amp;text=1","name":"Ivory Coast"},</v>
      </c>
      <c r="IY2" s="48">
        <v>107</v>
      </c>
    </row>
    <row r="3" spans="1:259" s="48" customFormat="1" ht="38.4" customHeight="1" thickBot="1" x14ac:dyDescent="0.35">
      <c r="A3" s="79" t="s">
        <v>752</v>
      </c>
      <c r="B3" s="40" t="e" vm="17">
        <v>#VALUE!</v>
      </c>
      <c r="C3" s="41">
        <v>2</v>
      </c>
      <c r="D3" s="42" t="s">
        <v>753</v>
      </c>
      <c r="E3" s="43" t="s">
        <v>754</v>
      </c>
      <c r="F3" s="44" t="s">
        <v>163</v>
      </c>
      <c r="G3" s="45">
        <f>COUNTIF($A$1:$A$8362,A3)</f>
        <v>1</v>
      </c>
      <c r="H3" s="46"/>
      <c r="I3" s="47" t="s">
        <v>755</v>
      </c>
      <c r="J3" s="48" t="str">
        <f>""</f>
        <v/>
      </c>
      <c r="K3" s="49"/>
      <c r="L3" s="50"/>
      <c r="M3" s="50"/>
      <c r="N3" s="51" t="s">
        <v>180</v>
      </c>
      <c r="O3" s="52" t="s">
        <v>170</v>
      </c>
      <c r="P3" s="53" t="s">
        <v>520</v>
      </c>
      <c r="Q3" s="54">
        <v>1</v>
      </c>
      <c r="R3" s="55" t="s">
        <v>180</v>
      </c>
      <c r="S3" s="56">
        <v>3</v>
      </c>
      <c r="T3" s="57" t="s">
        <v>164</v>
      </c>
      <c r="U3" s="58" t="s">
        <v>164</v>
      </c>
      <c r="V3" s="58" t="s">
        <v>164</v>
      </c>
      <c r="W3" s="58" t="s">
        <v>167</v>
      </c>
      <c r="X3" s="58" t="s">
        <v>167</v>
      </c>
      <c r="Y3" s="58" t="s">
        <v>164</v>
      </c>
      <c r="Z3" s="58" t="s">
        <v>164</v>
      </c>
      <c r="AA3" s="58" t="s">
        <v>167</v>
      </c>
      <c r="AB3" s="58" t="s">
        <v>167</v>
      </c>
      <c r="AC3" s="58" t="s">
        <v>164</v>
      </c>
      <c r="AD3" s="58" t="s">
        <v>167</v>
      </c>
      <c r="AE3" s="58" t="s">
        <v>164</v>
      </c>
      <c r="AF3" s="59" t="s">
        <v>164</v>
      </c>
      <c r="AG3" s="59" t="s">
        <v>164</v>
      </c>
      <c r="AH3" s="59" t="s">
        <v>167</v>
      </c>
      <c r="AI3" s="59" t="s">
        <v>164</v>
      </c>
      <c r="AJ3" s="59" t="s">
        <v>164</v>
      </c>
      <c r="AK3" s="59" t="s">
        <v>164</v>
      </c>
      <c r="AL3" s="59" t="s">
        <v>167</v>
      </c>
      <c r="AM3" s="59" t="s">
        <v>167</v>
      </c>
      <c r="AN3" s="59" t="s">
        <v>167</v>
      </c>
      <c r="AO3" s="59" t="s">
        <v>164</v>
      </c>
      <c r="AP3" s="59" t="s">
        <v>167</v>
      </c>
      <c r="AQ3" s="59" t="s">
        <v>164</v>
      </c>
      <c r="AR3" s="59" t="s">
        <v>164</v>
      </c>
      <c r="AS3" s="59" t="s">
        <v>167</v>
      </c>
      <c r="AT3" s="60">
        <v>0</v>
      </c>
      <c r="AU3" s="59" t="s">
        <v>256</v>
      </c>
      <c r="AV3" s="59" t="str">
        <f>IF(LEFT(A3,1)="[",LEFT(A3,5)&amp;AU3&amp;A3,"")</f>
        <v>[CIV]City[CIV] Abidjan</v>
      </c>
      <c r="AW3" s="59" t="str">
        <f t="shared" si="0"/>
        <v>2[CIV] Abidjan</v>
      </c>
      <c r="AX3" s="61"/>
      <c r="AY3" s="61"/>
      <c r="AZ3" s="62"/>
      <c r="BA3" s="62"/>
      <c r="BB3" s="62"/>
      <c r="BC3" s="63"/>
      <c r="BD3" s="64" t="s">
        <v>152</v>
      </c>
      <c r="BE3" s="47"/>
      <c r="BF3" s="64" t="s">
        <v>152</v>
      </c>
      <c r="BG3" s="64" t="s">
        <v>159</v>
      </c>
      <c r="BH3" s="64" t="s">
        <v>152</v>
      </c>
      <c r="BI3" s="64"/>
      <c r="BJ3" s="64"/>
      <c r="BK3" s="47"/>
      <c r="BL3" s="64" t="s">
        <v>152</v>
      </c>
      <c r="BM3" s="64" t="s">
        <v>159</v>
      </c>
      <c r="BN3" s="64" t="s">
        <v>153</v>
      </c>
      <c r="BO3" s="64" t="s">
        <v>155</v>
      </c>
      <c r="BP3" s="64" t="s">
        <v>156</v>
      </c>
      <c r="BQ3" s="64" t="s">
        <v>151</v>
      </c>
      <c r="BR3" s="64"/>
      <c r="BS3" s="64"/>
      <c r="BT3" s="64"/>
      <c r="BU3" s="65"/>
      <c r="BV3" s="66"/>
      <c r="BW3" s="66">
        <v>0</v>
      </c>
      <c r="BX3" s="47"/>
      <c r="CB3" s="6"/>
      <c r="CC3" s="6"/>
      <c r="CD3" s="67">
        <v>0</v>
      </c>
      <c r="CE3" s="67">
        <v>0</v>
      </c>
      <c r="CF3" s="67" t="e">
        <v>#REF!</v>
      </c>
      <c r="CG3" s="68" cm="1">
        <f t="array" ref="CG3">SUMPRODUCT(--(LEN(TRIM(BL3:BT3))&gt;0))</f>
        <v>6</v>
      </c>
      <c r="CH3" s="59" t="str">
        <f>IF(CG3=2,"y","n")</f>
        <v>n</v>
      </c>
      <c r="CI3" s="59" t="str">
        <f>IF(CG3=3,"y","n")</f>
        <v>n</v>
      </c>
      <c r="CJ3" s="59" t="str">
        <f>IF(CG3=4,"y","n")</f>
        <v>n</v>
      </c>
      <c r="CK3" s="59" t="str">
        <f>IF(CG3&gt;4,"y","n")</f>
        <v>y</v>
      </c>
      <c r="CL3" s="59" t="str">
        <f>IF(S3=0,"y","n")</f>
        <v>n</v>
      </c>
      <c r="CM3" s="59" t="str">
        <f>IF(S3=2,"y","n")</f>
        <v>n</v>
      </c>
      <c r="CN3" s="59" t="str">
        <f>IF(S3=3,"y","n")</f>
        <v>y</v>
      </c>
      <c r="CO3" s="59" t="str">
        <f>IF(S3&gt;=4,"y","n")</f>
        <v>n</v>
      </c>
      <c r="CP3" s="59" t="str">
        <f>IF(AT3=0,"y","n")</f>
        <v>y</v>
      </c>
      <c r="CQ3" s="59" t="str">
        <f>IF(AT3=1,"y","n")</f>
        <v>n</v>
      </c>
      <c r="CR3" s="59" t="str">
        <f>IF(AT3=2,"y","n")</f>
        <v>n</v>
      </c>
      <c r="CS3" s="59" t="str">
        <f>IF(AT3&gt;=3,"y","n")</f>
        <v>n</v>
      </c>
      <c r="CT3" s="69" t="str">
        <f>CHAR(34)&amp;A3&amp;CHAR(34)</f>
        <v>"[CIV] Abidjan"</v>
      </c>
      <c r="CU3" s="70" t="str">
        <f>CHAR(34)&amp;"rgn_"&amp;R3&amp;CHAR(34)</f>
        <v>"rgn_Africa"</v>
      </c>
      <c r="CV3" s="48" t="str">
        <f>CHAR(34)&amp;D3&amp;CHAR(34)</f>
        <v>"https://upload.wikimedia.org/wikipedia/commons/thumb/c/c3/Flag_of_Abidjan.png/640px-Flag_of_Abidjan.png"</v>
      </c>
      <c r="CW3" s="48" t="str">
        <f>IF(CH3="y",CHAR(34)&amp;CH$1&amp;CHAR(34)&amp;",","")</f>
        <v/>
      </c>
      <c r="CX3" s="48" t="str">
        <f>IF(CI3="y",CHAR(34)&amp;CI$1&amp;CHAR(34)&amp;",","")</f>
        <v/>
      </c>
      <c r="CY3" s="48" t="str">
        <f>IF(CJ3="y",CHAR(34)&amp;CJ$1&amp;CHAR(34)&amp;",","")</f>
        <v/>
      </c>
      <c r="CZ3" s="48" t="str">
        <f>IF(CK3="y",CHAR(34)&amp;CK$1&amp;CHAR(34)&amp;",","")</f>
        <v>"5+Colo",</v>
      </c>
      <c r="DA3" s="48" t="str">
        <f>IF(Q3&gt;1,CHAR(34)&amp;"words2"&amp;CHAR(34)&amp;",","")</f>
        <v/>
      </c>
      <c r="DB3" s="48" t="str">
        <f>IF(Q3&gt;2,CHAR(34)&amp;"words3"&amp;CHAR(34)&amp;",","")</f>
        <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"lets07",</v>
      </c>
      <c r="DE3" s="48" t="str">
        <f>CHAR(34)&amp;"start"&amp;IFERROR(LEFT(SUBSTITUTE(A3,"["&amp;MID(A3,FIND("[",A3)+1,FIND("]",A3)-FIND("[",A3)-1)&amp;"] ",""),1),LEFT(A3,1))&amp;CHAR(34)&amp;","</f>
        <v>"startA",</v>
      </c>
      <c r="DF3" s="48" t="str">
        <f>IFERROR(IF(SEARCH("tan",A3)&gt;0,CHAR(34)&amp;"withtn"&amp;CHAR(34)&amp;",",""),"")</f>
        <v/>
      </c>
      <c r="DG3" s="48" t="str">
        <f>IFERROR(IF(SEARCH("q",A3)&gt;0,CHAR(34)&amp;"with_q"&amp;CHAR(34)&amp;",",""),"")</f>
        <v/>
      </c>
      <c r="DH3" s="48" t="str">
        <f>IFERROR(IF(SEARCH("v",A3)&gt;0,CHAR(34)&amp;"with_v"&amp;CHAR(34)&amp;",",""),"")</f>
        <v>"with_v",</v>
      </c>
      <c r="DI3" s="48" t="str">
        <f>IFERROR(IF(SEARCH("w",A3)&gt;0,CHAR(34)&amp;"with_w"&amp;CHAR(34)&amp;",",""),"")</f>
        <v/>
      </c>
      <c r="DJ3" s="48" t="str">
        <f>IFERROR(IF(SEARCH("y",A3)&gt;0,CHAR(34)&amp;"with_y"&amp;CHAR(34)&amp;",",""),"")</f>
        <v/>
      </c>
      <c r="DK3" s="48" t="str">
        <f>IFERROR(IF(SEARCH("z",A3)&gt;0,CHAR(34)&amp;"with_z"&amp;CHAR(34)&amp;",",""),"")</f>
        <v/>
      </c>
      <c r="DL3" s="48" t="str">
        <f>IF(CG3=2, CHAR(34) &amp; _xlfn.TEXTJOIN("", TRUE, _xlfn._xlws.SORT(HP3:HX3)) &amp; CHAR(34) &amp; ",", "")</f>
        <v/>
      </c>
      <c r="DM3" s="48" t="str" cm="1">
        <f t="array" ref="DM3">IF(CG3=3,CHAR(34) &amp; _xlfn.TEXTJOIN("", TRUE, RIGHT(HP3:HX3, 2)) &amp; CHAR(34) &amp; ",", "")</f>
        <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
      </c>
      <c r="DP3" s="6" t="str">
        <f>IF(AND(ISNUMBER(SEARCH("20", O3)), ISERROR(SEARCH("1920", O3))), CHAR(34)&amp;"year00"&amp;CHAR(34)&amp;",", "")</f>
        <v/>
      </c>
      <c r="DQ3" s="6" t="str">
        <f>IF(CC3="y",CHAR(34)&amp;"soviet"&amp;CHAR(34)&amp;",","")</f>
        <v/>
      </c>
      <c r="DR3" s="6" t="str">
        <f>IF(BY3="y",CHAR(34)&amp;"dgband"&amp;CHAR(34)&amp;",","")</f>
        <v/>
      </c>
      <c r="DS3" s="6" t="str">
        <f>IF(W3="y",IF(AND(V3="n",BY3&lt;&gt;"y"),CHAR(34)&amp;"allver"&amp;CHAR(34)&amp;",",""),"")</f>
        <v>"allver",</v>
      </c>
      <c r="DT3" s="6" t="str">
        <f>IF(V3="y",IF(AND(W3="n",BY3&lt;&gt;"y"),CHAR(34)&amp;"allhor"&amp;CHAR(34)&amp;",",""),"")</f>
        <v/>
      </c>
      <c r="DU3" s="6" t="str">
        <f>IF(BY3="y",IF(AND(W3="n",V3="n"),CHAR(34)&amp;"alldia"&amp;CHAR(34)&amp;",",""),"")</f>
        <v/>
      </c>
      <c r="DW3" s="48" t="str">
        <f>IF(CL3="y",CHAR(34)&amp;CL$1&amp;CHAR(34)&amp;",","")</f>
        <v/>
      </c>
      <c r="DX3" s="48" t="str">
        <f>IF(CM3="y",CHAR(34)&amp;CM$1&amp;CHAR(34)&amp;",","")</f>
        <v/>
      </c>
      <c r="DY3" s="48" t="str">
        <f>IF(CN3="y",CHAR(34)&amp;CN$1&amp;CHAR(34)&amp;",","")</f>
        <v>"3Bands",</v>
      </c>
      <c r="DZ3" s="48" t="str">
        <f>IF(CO3="y",CHAR(34)&amp;CO$1&amp;CHAR(34)&amp;",","")</f>
        <v/>
      </c>
      <c r="EA3" s="48" t="str">
        <f>IF(T3="y",CHAR(34)&amp;T$1&amp;CHAR(34)&amp;",","")</f>
        <v/>
      </c>
      <c r="EB3" s="48" t="str">
        <f>IF(U3="y",CHAR(34)&amp;U$1&amp;CHAR(34)&amp;",","")</f>
        <v/>
      </c>
      <c r="EC3" s="48" t="str">
        <f>IF(V3="y",CHAR(34)&amp;V$1&amp;CHAR(34)&amp;",","")</f>
        <v/>
      </c>
      <c r="ED3" s="48" t="str">
        <f>IF(W3="y",CHAR(34)&amp;W$1&amp;CHAR(34)&amp;",","")</f>
        <v>"Vertic",</v>
      </c>
      <c r="EE3" s="48" t="str">
        <f>IF(X3="y",CHAR(34)&amp;X$1&amp;CHAR(34)&amp;",","")</f>
        <v>"Circle",</v>
      </c>
      <c r="EF3" s="48" t="str">
        <f>IF(AND(Y3&lt;&gt;"n",Y3&lt;&gt;""),CHAR(34)&amp;Y$1&amp;CHAR(34)&amp;",","")</f>
        <v/>
      </c>
      <c r="EG3" s="48" t="str">
        <f>IF(Z3="y",CHAR(34)&amp;Z$1&amp;CHAR(34)&amp;",","")</f>
        <v/>
      </c>
      <c r="EH3" s="48" t="str">
        <f>IF(AA3="y",CHAR(34)&amp;AA$1&amp;CHAR(34)&amp;",","")</f>
        <v>"Plants",</v>
      </c>
      <c r="EI3" s="48" t="str">
        <f>IF(AB3="y",CHAR(34)&amp;AB$1&amp;CHAR(34)&amp;",","")</f>
        <v>"Texted",</v>
      </c>
      <c r="EJ3" s="48" t="str">
        <f>IF(AC3="y",CHAR(34)&amp;AC$1&amp;CHAR(34)&amp;",","")</f>
        <v/>
      </c>
      <c r="EK3" s="48" t="str">
        <f>IF(AD3="y",CHAR(34)&amp;AD$1&amp;CHAR(34)&amp;",","")</f>
        <v>"HasSun",</v>
      </c>
      <c r="EL3" s="48" t="str">
        <f>IF(AE3="y",CHAR(34)&amp;AE$1&amp;CHAR(34)&amp;",","")</f>
        <v/>
      </c>
      <c r="EM3" s="48" t="str">
        <f>IF(AF3="y",CHAR(34)&amp;AF$1&amp;CHAR(34)&amp;",","")</f>
        <v/>
      </c>
      <c r="EN3" s="48" t="str">
        <f>IF(AG3="y",CHAR(34)&amp;AG$1&amp;CHAR(34)&amp;",","")</f>
        <v/>
      </c>
      <c r="EO3" s="48" t="str">
        <f>IF(AH3="y",CHAR(34)&amp;AH$1&amp;CHAR(34)&amp;",","")</f>
        <v>"Center",</v>
      </c>
      <c r="EP3" s="48" t="str">
        <f>IF(AI3="y",CHAR(34)&amp;AI$1&amp;CHAR(34)&amp;",","")</f>
        <v/>
      </c>
      <c r="EQ3" s="48" t="str">
        <f>IF(AJ3="y",CHAR(34)&amp;AJ$1&amp;CHAR(34)&amp;",","")</f>
        <v/>
      </c>
      <c r="ER3" s="48" t="str">
        <f>IF(AK3="y",CHAR(34)&amp;AK$1&amp;CHAR(34)&amp;",","")</f>
        <v/>
      </c>
      <c r="ES3" s="48" t="str">
        <f>IF(AL3="y",CHAR(34)&amp;AL$1&amp;CHAR(34)&amp;",","")</f>
        <v>"Wavess",</v>
      </c>
      <c r="ET3" s="48" t="str">
        <f>IF(AM3="y",CHAR(34)&amp;AM$1&amp;CHAR(34)&amp;",","")</f>
        <v>"Geogrh",</v>
      </c>
      <c r="EU3" s="48" t="str">
        <f>IF(AN3="y",CHAR(34)&amp;AN$1&amp;CHAR(34)&amp;",","")</f>
        <v>"Humans",</v>
      </c>
      <c r="EV3" s="48" t="str">
        <f>IF(AO3="y",CHAR(34)&amp;AO$1&amp;CHAR(34)&amp;",","")</f>
        <v/>
      </c>
      <c r="EW3" s="48" t="str">
        <f>IF(AP3="y",CHAR(34)&amp;AP$1&amp;CHAR(34)&amp;",","")</f>
        <v>"Ships!",</v>
      </c>
      <c r="EX3" s="48" t="str">
        <f>IF(AQ3="y",CHAR(34)&amp;AQ$1&amp;CHAR(34)&amp;",","")</f>
        <v/>
      </c>
      <c r="EY3" s="48" t="str">
        <f>IF(AR3="y",CHAR(34)&amp;AR$1&amp;CHAR(34)&amp;",","")</f>
        <v/>
      </c>
      <c r="EZ3" s="48" t="str">
        <f>IF(AS3="y",CHAR(34)&amp;AS$1&amp;CHAR(34)&amp;",","")</f>
        <v>"Waters",</v>
      </c>
      <c r="FA3" s="48" t="str">
        <f>IF(AT3&gt;0,CHAR(34)&amp;"sta"&amp;AZ3&amp;CHAR(34)&amp;",","")</f>
        <v/>
      </c>
      <c r="FB3" s="48" t="str">
        <f>IF(AND(AT3&gt;0,BA3&lt;&gt;""),CHAR(34)&amp;"sta"&amp;BA3&amp;CHAR(34)&amp;",","")</f>
        <v/>
      </c>
      <c r="FD3" s="48" t="str">
        <f>IF(BV3="n",CHAR(34)&amp;"tcWHYE"&amp;CHAR(34)&amp;",",IF(BV3="y",CHAR(34)&amp;FD$1&amp;CHAR(34)&amp;",",""))</f>
        <v/>
      </c>
      <c r="FE3" s="48" t="str">
        <f>IF(COUNTIF(BL3:BT3,"BLU")=0,CHAR(34)&amp;"NO_BLU"&amp;CHAR(34)&amp;",", "")</f>
        <v/>
      </c>
      <c r="FF3" s="48" t="str">
        <f>IF(COUNTIF(BL3:BT3,"WHI")=0,CHAR(34)&amp;"NO_WHI"&amp;CHAR(34)&amp;",", "")</f>
        <v/>
      </c>
      <c r="FG3" s="48" t="str">
        <f>IF(COUNTIF(BL3:BT3,"RED")=0,CHAR(34)&amp;"NO_RED"&amp;CHAR(34)&amp;",", "")</f>
        <v>"NO_RED",</v>
      </c>
      <c r="FH3" s="48" t="str">
        <f>IF(COUNTIF(BL3:BS3,"GRE")=0,CHAR(34)&amp;"NO_GRE"&amp;CHAR(34)&amp;",", "")</f>
        <v/>
      </c>
      <c r="FI3" s="48" t="str">
        <f>IF(COUNTIF(BL3:BT3,"YEL")=0,CHAR(34)&amp;"NO_YEL"&amp;CHAR(34)&amp;",", "")</f>
        <v/>
      </c>
      <c r="FJ3" s="48" t="str">
        <f>IF(COUNTIF(BL3:BT3,"BLA")=0,CHAR(34)&amp;"NO_BLA"&amp;CHAR(34)&amp;",", "")</f>
        <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
      </c>
      <c r="FQ3" s="48" t="str">
        <f>IF(LEN(BF3)=3,CHAR(34)&amp;"001"&amp;BF3&amp;CHAR(34)&amp;",","")</f>
        <v>"001BLU",</v>
      </c>
      <c r="FR3" s="48" t="str">
        <f>IF(LEN(BG3)=3,CHAR(34)&amp;"002"&amp;BG3&amp;CHAR(34)&amp;",","")</f>
        <v>"002WHI",</v>
      </c>
      <c r="FS3" s="48" t="str">
        <f>IF(LEN(BH3)=3,CHAR(34)&amp;"003"&amp;BH3&amp;CHAR(34)&amp;",","")</f>
        <v>"003BLU",</v>
      </c>
      <c r="FT3" s="48" t="str">
        <f>CHAR(34)&amp;"myr"&amp;BD3&amp;CHAR(34)&amp;","</f>
        <v>"myrBLU",</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
      </c>
      <c r="GG3" s="48" t="str">
        <f>IF(BU3="y",CHAR(34)&amp;"unjack"&amp;CHAR(34)&amp;",","")</f>
        <v/>
      </c>
      <c r="GH3" s="48" t="str">
        <f>IF(CD3=1,CHAR(34)&amp;"southc"&amp;CHAR(34)&amp;",","")</f>
        <v/>
      </c>
      <c r="GI3" s="48" t="str">
        <f>IF(CE3=1,CHAR(34)&amp;"hasmap"&amp;CHAR(34)&amp;",","")</f>
        <v/>
      </c>
      <c r="GJ3" s="48" t="str">
        <f>IF(CP3="y",CHAR(34)&amp;CP$1&amp;CHAR(34)&amp;",","")</f>
        <v>"NoStar",</v>
      </c>
      <c r="GK3" s="48" t="str">
        <f>IF(GJ3="",CHAR(34)&amp;"HasSta"&amp;CHAR(34)&amp;",","")</f>
        <v/>
      </c>
      <c r="GL3" s="48" t="str">
        <f>IF(CQ3="y",CHAR(34)&amp;CQ$1&amp;CHAR(34)&amp;",","")</f>
        <v/>
      </c>
      <c r="GM3" s="48" t="str">
        <f>IF(CR3="y",CHAR(34)&amp;CR$1&amp;CHAR(34)&amp;",","")</f>
        <v/>
      </c>
      <c r="GN3" s="48" t="str">
        <f>IF(CS3="y",CHAR(34)&amp;CS$1&amp;CHAR(34)&amp;",","")</f>
        <v/>
      </c>
      <c r="GP3" s="48" t="str">
        <f>CHAR(34)&amp;AU3&amp;CHAR(34)</f>
        <v>"City"</v>
      </c>
      <c r="GS3" s="48" t="str">
        <f>SUBSTITUTE("["&amp;_xlfn.CONCAT(CW3:GN3)&amp;"]",",]","]")</f>
        <v>["5+Colo","lets07","startA","with_v","allver","3Bands","Vertic","Circle","Plants","Texted","HasSun","Center","Wavess","Geogrh","Humans","Ships!","Waters","NO_RED","001BLU","002WHI","003BLU","myrBLU","NoStar"]</v>
      </c>
      <c r="GT3" s="48" t="str">
        <f>IF(BL3&lt;&gt;"",CHAR(34)&amp;"cl_"&amp;BL3&amp;CHAR(34)&amp;",","")</f>
        <v>"cl_BLU",</v>
      </c>
      <c r="GU3" s="48" t="str">
        <f>IF(BM3&lt;&gt;"",CHAR(34)&amp;"cl_"&amp;BM3&amp;CHAR(34)&amp;",","")</f>
        <v>"cl_WHI",</v>
      </c>
      <c r="GV3" s="48" t="str">
        <f>IF(BN3&lt;&gt;"",CHAR(34)&amp;"cl_"&amp;BN3&amp;CHAR(34)&amp;",","")</f>
        <v>"cl_GRE",</v>
      </c>
      <c r="GW3" s="48" t="str">
        <f>IF(BO3&lt;&gt;"",CHAR(34)&amp;"cl_"&amp;BO3&amp;CHAR(34)&amp;",","")</f>
        <v>"cl_YEL",</v>
      </c>
      <c r="GX3" s="48" t="str">
        <f>IF(BP3&lt;&gt;"",CHAR(34)&amp;"cl_"&amp;BP3&amp;CHAR(34)&amp;",","")</f>
        <v>"cl_ORA",</v>
      </c>
      <c r="GY3" s="48" t="str">
        <f>IF(BQ3&lt;&gt;"",CHAR(34)&amp;"cl_"&amp;BQ3&amp;CHAR(34)&amp;",","")</f>
        <v>"cl_BLA",</v>
      </c>
      <c r="GZ3" s="48" t="str">
        <f>IF(BR3&lt;&gt;"",CHAR(34)&amp;"cl_"&amp;BR3&amp;CHAR(34)&amp;",","")</f>
        <v/>
      </c>
      <c r="HA3" s="48" t="str">
        <f>IF(BS3&lt;&gt;"",CHAR(34)&amp;"cl_"&amp;BS3&amp;CHAR(34)&amp;",","")</f>
        <v/>
      </c>
      <c r="HB3" s="48" t="str">
        <f>IF(BT3&lt;&gt;"",CHAR(34)&amp;"cl_"&amp;BT3&amp;CHAR(34)&amp;",","")</f>
        <v/>
      </c>
      <c r="HC3" s="48" t="str">
        <f>SUBSTITUTE("["&amp;_xlfn.CONCAT(GT3:HB3)&amp;"]",",]","]")</f>
        <v>["cl_BLU","cl_WHI","cl_GRE","cl_YEL","cl_ORA","cl_BLA"]</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{couname:"[CIV] Abidjan",year:"???",region:"rgn_Africa",Colors:["cl_BLU","cl_WHI","cl_GRE","cl_YEL","cl_ORA","cl_BLA"],Items:["5+Colo","lets07","startA","with_v","allver","3Bands","Vertic","Circle","Plants","Texted","HasSun","Center","Wavess","Geogrh","Humans","Ships!","Waters","NO_RED","001BLU","002WHI","003BLU","myrBLU","NoStar"],Flag:"https://upload.wikimedia.org/wikipedia/commons/thumb/c/c3/Flag_of_Abidjan.png/640px-Flag_of_Abidjan.png",HDFlag:"https://upload.wikimedia.org/wikipedia/commons/c/c3/Flag_of_Abidjan.png",type:"City", describe: "\nN/A", isnew:".", links: "https://en.wikipedia.org/wiki/Abidjan"},</v>
      </c>
      <c r="HG3" s="73" t="str">
        <f>"{couname:"&amp;CT3&amp;(IF(HK3&lt;&gt;"",",subtype:"&amp;CHAR(34)&amp;HK3&amp;CHAR(34),""))&amp;",year:"&amp;HJ3&amp;",region:"&amp;CU3&amp;",Colors:"&amp;HC3&amp;",Items:"&amp;GS3&amp;",Flag:"&amp;CV3&amp;",HDFlag:"&amp;CHAR(34)&amp;E3&amp;CHAR(34)&amp;",type:"&amp;GP3&amp;", describe: "&amp;HI3&amp;", links: "&amp;HL3&amp;"},"</f>
        <v>{couname:"[CIV] Abidjan",year:"???",region:"rgn_Africa",Colors:["cl_BLU","cl_WHI","cl_GRE","cl_YEL","cl_ORA","cl_BLA"],Items:["5+Colo","lets07","startA","with_v","allver","3Bands","Vertic","Circle","Plants","Texted","HasSun","Center","Wavess","Geogrh","Humans","Ships!","Waters","NO_RED","001BLU","002WHI","003BLU","myrBLU","NoStar"],Flag:"https://upload.wikimedia.org/wikipedia/commons/thumb/c/c3/Flag_of_Abidjan.png/640px-Flag_of_Abidjan.png",HDFlag:"https://upload.wikimedia.org/wikipedia/commons/c/c3/Flag_of_Abidjan.png",type:"City", describe: "\nN/A", links: "https://en.wikipedia.org/wiki/Abidjan"},</v>
      </c>
      <c r="HH3" s="48" t="str">
        <f>IF(P3&lt;&gt;"",CHAR(34)&amp;"\n"&amp;P3&amp;CHAR(34),CHAR(34)&amp;CHAR(34))</f>
        <v>"\nN/A"</v>
      </c>
      <c r="HI3" s="48" t="str">
        <f>IF(J3=0,CHAR(34)&amp;CHAR(34),HH3)</f>
        <v>"\nN/A"</v>
      </c>
      <c r="HJ3" s="48" t="str">
        <f>CHAR(34)&amp;O3&amp;CHAR(34)</f>
        <v>"???"</v>
      </c>
      <c r="HL3" s="48" t="str">
        <f>CHAR(34)&amp;I3&amp;CHAR(34)</f>
        <v>"https://en.wikipedia.org/wiki/Abidjan"</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{"couname":"[CIV] Abidjan","year":"???","region":"rgn_Africa","Colors":["cl_BLU","cl_WHI","cl_GRE","cl_YEL","cl_ORA","cl_BLA"],"Items":["5+Colo","lets07","startA","with_v","allver","3Bands","Vertic","Circle","Plants","Texted","HasSun","Center","Wavess","Geogrh","Humans","Ships!","Waters","NO_RED","001BLU","002WHI","003BLU","myrBLU","NoStar"],"Flag":"https://upload.wikimedia.org/wikipedia/commons/thumb/c/c3/Flag_of_Abidjan.png/640px-Flag_of_Abidjan.png","HDFlag":"https://upload.wikimedia.org/wikipedia/commons/c/c3/Flag_of_Abidjan.png","type":"City", "describe": "\nN/A", "isnew": ".", "links": "https://en.wikipedia.org/wiki/Abidjan"},</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{"couname":"[CIV] Abidjan","year":"???","region":"rgn_Africa","Colors":["cl_BLU","cl_WHI","cl_GRE","cl_YEL","cl_ORA","cl_BLA"],"Items":["5+Colo","lets07","startA","with_v","allver","3Bands","Vertic","Circle","Plants","Texted","HasSun","Center","Wavess","Geogrh","Humans","Ships!","Waters","NO_RED","001BLU","002WHI","003BLU","myrBLU","NoStar"],"Flag":"https://upload.wikimedia.org/wikipedia/commons/thumb/c/c3/Flag_of_Abidjan.png/640px-Flag_of_Abidjan.png","HDFlag":"https://upload.wikimedia.org/wikipedia/commons/c/c3/Flag_of_Abidjan.png","type":"City", "describe": "\nN/A", "isnew": ".", "links": "https://en.wikipedia.org/wiki/Abidjan"},</v>
      </c>
      <c r="HO3" s="75">
        <v>45644</v>
      </c>
      <c r="HP3" s="48" t="str" cm="1">
        <f t="array" ref="HP3">IF(_xlfn.TEXTJOIN(", ", TRUE, IF(ISNUMBER(SEARCH("BLA", BL3:BT3)), COLUMN(BL3:BT3) - COLUMN(BL3) + 1, ""))&lt;&gt;"","BLA","")</f>
        <v>BLA</v>
      </c>
      <c r="HQ3" s="48" t="str" cm="1">
        <f t="array" ref="HQ3">IF(_xlfn.TEXTJOIN(", ", TRUE, IF(ISNUMBER(SEARCH("BLU", BL3:BT3)), COLUMN(BL3:BT3) - COLUMN(BL3) + 1, ""))&lt;&gt;"","BLU","")</f>
        <v>BLU</v>
      </c>
      <c r="HR3" s="48" t="str" cm="1">
        <f t="array" ref="HR3">IF(_xlfn.TEXTJOIN(", ", TRUE, IF(ISNUMBER(SEARCH("GRE", BL3:BT3)), COLUMN(BL3:BT3) - COLUMN(BL3) + 1, ""))&lt;&gt;"","GRE","")</f>
        <v>GRE</v>
      </c>
      <c r="HS3" s="48" t="str" cm="1">
        <f t="array" ref="HS3">IF(_xlfn.TEXTJOIN(", ", TRUE, IF(ISNUMBER(SEARCH("RED", BL3:BT3)), COLUMN(BL3:BT3) - COLUMN(BL3) + 1, ""))&lt;&gt;"","RED","")</f>
        <v/>
      </c>
      <c r="HT3" s="48" t="str" cm="1">
        <f t="array" ref="HT3">IF(_xlfn.TEXTJOIN(", ", TRUE, IF(ISNUMBER(SEARCH("YEL", BL3:BT3)), COLUMN(BL3:BT3) - COLUMN(BL3) + 1, ""))&lt;&gt;"","YEL","")</f>
        <v>YEL</v>
      </c>
      <c r="HU3" s="48" t="str" cm="1">
        <f t="array" ref="HU3">IF(_xlfn.TEXTJOIN(", ", TRUE, IF(ISNUMBER(SEARCH("ORA", BL3:BT3)), COLUMN(BL3:BT3) - COLUMN(BL3) + 1, ""))&lt;&gt;"","ORA","")</f>
        <v>ORA</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M3" s="45">
        <f>COUNTIF(IC3:IK3,"&gt;0")-CG3</f>
        <v>-6</v>
      </c>
      <c r="IN3" s="78" t="str">
        <f>"http://mkweb.bcgsc.ca/color-summarizer/?url="&amp;D3&amp;"&amp;precision=low&amp;num_clusters="&amp;CG3&amp;"&amp;text=1"</f>
        <v>http://mkweb.bcgsc.ca/color-summarizer/?url=https://upload.wikimedia.org/wikipedia/commons/thumb/c/c3/Flag_of_Abidjan.png/640px-Flag_of_Abidjan.png&amp;precision=low&amp;num_clusters=6&amp;text=1</v>
      </c>
      <c r="IO3" s="48" t="str">
        <f>IF(HP3&lt;&gt;"",CHAR(34)&amp;"black"&amp;CHAR(34),"")</f>
        <v>"black"</v>
      </c>
      <c r="IP3" s="48" t="str">
        <f>IF(HQ3&lt;&gt;"",CHAR(34)&amp;"blue"&amp;CHAR(34),"")</f>
        <v>"blue"</v>
      </c>
      <c r="IQ3" s="48" t="str">
        <f>IF(HR3&lt;&gt;"",CHAR(34)&amp;"green"&amp;CHAR(34),"")</f>
        <v>"green"</v>
      </c>
      <c r="IR3" s="48" t="str">
        <f>IF(HS3&lt;&gt;"",CHAR(34)&amp;"red"&amp;CHAR(34),"")</f>
        <v/>
      </c>
      <c r="IS3" s="48" t="str">
        <f>IF(HT3&lt;&gt;"",CHAR(34)&amp;"yellow"&amp;CHAR(34),"")</f>
        <v>"yellow"</v>
      </c>
      <c r="IT3" s="48" t="str">
        <f>IF(HU3&lt;&gt;"",CHAR(34)&amp;"orange"&amp;CHAR(34),"")</f>
        <v>"orange"</v>
      </c>
      <c r="IU3" s="48" t="str">
        <f>IF(HV3&lt;&gt;"",CHAR(34)&amp;"brown"&amp;CHAR(34),"")</f>
        <v/>
      </c>
      <c r="IV3" s="48" t="str">
        <f>IF(HW3&lt;&gt;"",CHAR(34)&amp;"purple"&amp;CHAR(34),"")</f>
        <v/>
      </c>
      <c r="IW3" s="48" t="str">
        <f>IF(HX3&lt;&gt;"",CHAR(34)&amp;"white"&amp;CHAR(34),"")</f>
        <v>"white"</v>
      </c>
      <c r="IX3" s="48" t="str">
        <f>"{"&amp;CHAR(34)&amp;"url"&amp;CHAR(34)&amp;":"&amp;CHAR(34)&amp;IN3&amp;CHAR(34)&amp;","&amp;CHAR(34)&amp;"name"&amp;CHAR(34)&amp;":"&amp;CHAR(34)&amp;A3&amp;CHAR(34)&amp;"},"</f>
        <v>{"url":"http://mkweb.bcgsc.ca/color-summarizer/?url=https://upload.wikimedia.org/wikipedia/commons/thumb/c/c3/Flag_of_Abidjan.png/640px-Flag_of_Abidjan.png&amp;precision=low&amp;num_clusters=6&amp;text=1","name":"[CIV] Abidjan"},</v>
      </c>
      <c r="IY3" s="48">
        <v>1503</v>
      </c>
    </row>
    <row r="4" spans="1:259" ht="38.4" customHeight="1" x14ac:dyDescent="0.3">
      <c r="F4" s="82"/>
      <c r="G4" s="82"/>
      <c r="H4" s="82"/>
      <c r="I4" s="82"/>
      <c r="J4" s="82"/>
      <c r="K4" s="82"/>
    </row>
    <row r="5" spans="1:259" ht="38.4" customHeight="1" x14ac:dyDescent="0.3">
      <c r="F5" s="82"/>
      <c r="G5" s="82"/>
      <c r="H5" s="82"/>
      <c r="I5" s="82"/>
      <c r="J5" s="82"/>
      <c r="K5" s="82"/>
    </row>
    <row r="6" spans="1:259" ht="38.4" customHeight="1" x14ac:dyDescent="0.3">
      <c r="F6" s="82"/>
      <c r="G6" s="82"/>
      <c r="H6" s="82"/>
      <c r="I6" s="82"/>
      <c r="J6" s="82"/>
      <c r="K6" s="82"/>
    </row>
  </sheetData>
  <autoFilter ref="A1:IY1" xr:uid="{A1051193-A95B-4CFB-A73C-F0184620C81F}">
    <sortState xmlns:xlrd2="http://schemas.microsoft.com/office/spreadsheetml/2017/richdata2" ref="A2:IY5">
      <sortCondition ref="AW1"/>
    </sortState>
  </autoFilter>
  <conditionalFormatting sqref="H1 CW1:GS1 IA1:IB1">
    <cfRule type="cellIs" dxfId="5775" priority="118" operator="greaterThan">
      <formula>0</formula>
    </cfRule>
  </conditionalFormatting>
  <conditionalFormatting sqref="H1 H7:H1048576">
    <cfRule type="cellIs" dxfId="5774" priority="84" stopIfTrue="1" operator="notEqual">
      <formula>""</formula>
    </cfRule>
  </conditionalFormatting>
  <conditionalFormatting sqref="T1:BK1">
    <cfRule type="cellIs" dxfId="5773" priority="121" operator="greaterThan">
      <formula>0</formula>
    </cfRule>
  </conditionalFormatting>
  <conditionalFormatting sqref="BV1:BW1 BV4:BW1048576">
    <cfRule type="cellIs" dxfId="5772" priority="120" operator="equal">
      <formula>"nc"</formula>
    </cfRule>
  </conditionalFormatting>
  <conditionalFormatting sqref="HF1:HG1">
    <cfRule type="cellIs" dxfId="5771" priority="122" operator="greaterThan">
      <formula>0</formula>
    </cfRule>
  </conditionalFormatting>
  <conditionalFormatting sqref="HK1">
    <cfRule type="cellIs" dxfId="5770" priority="119" operator="greaterThan">
      <formula>0</formula>
    </cfRule>
  </conditionalFormatting>
  <conditionalFormatting sqref="HP1:HX1">
    <cfRule type="cellIs" dxfId="5769" priority="96" operator="equal">
      <formula>"PIN"</formula>
    </cfRule>
    <cfRule type="cellIs" dxfId="5768" priority="97" operator="equal">
      <formula>"ORA"</formula>
    </cfRule>
    <cfRule type="cellIs" dxfId="5767" priority="98" operator="equal">
      <formula>"GRA"</formula>
    </cfRule>
    <cfRule type="cellIs" dxfId="5766" priority="99" operator="equal">
      <formula>"PUR"</formula>
    </cfRule>
    <cfRule type="cellIs" dxfId="5765" priority="100" operator="equal">
      <formula>"BRO"</formula>
    </cfRule>
    <cfRule type="cellIs" dxfId="5764" priority="101" operator="equal">
      <formula>"YEL"</formula>
    </cfRule>
    <cfRule type="cellIs" dxfId="5763" priority="102" operator="equal">
      <formula>"BLU"</formula>
    </cfRule>
    <cfRule type="cellIs" dxfId="5762" priority="103" operator="equal">
      <formula>"WHI"</formula>
    </cfRule>
    <cfRule type="cellIs" dxfId="5761" priority="104" operator="equal">
      <formula>"GRE"</formula>
    </cfRule>
    <cfRule type="cellIs" dxfId="5760" priority="105" operator="equal">
      <formula>"RED"</formula>
    </cfRule>
    <cfRule type="cellIs" dxfId="5759" priority="106" operator="equal">
      <formula>"BLA"</formula>
    </cfRule>
  </conditionalFormatting>
  <conditionalFormatting sqref="IC1:IK1">
    <cfRule type="cellIs" dxfId="5758" priority="107" operator="equal">
      <formula>"PIN"</formula>
    </cfRule>
    <cfRule type="cellIs" dxfId="5757" priority="108" operator="equal">
      <formula>"ORA"</formula>
    </cfRule>
    <cfRule type="cellIs" dxfId="5756" priority="109" operator="equal">
      <formula>"GRA"</formula>
    </cfRule>
    <cfRule type="cellIs" dxfId="5755" priority="110" operator="equal">
      <formula>"PUR"</formula>
    </cfRule>
    <cfRule type="cellIs" dxfId="5754" priority="111" operator="equal">
      <formula>"BRO"</formula>
    </cfRule>
    <cfRule type="cellIs" dxfId="5753" priority="112" operator="equal">
      <formula>"YEL"</formula>
    </cfRule>
    <cfRule type="cellIs" dxfId="5752" priority="113" operator="equal">
      <formula>"BLU"</formula>
    </cfRule>
    <cfRule type="cellIs" dxfId="5751" priority="114" operator="equal">
      <formula>"WHI"</formula>
    </cfRule>
    <cfRule type="cellIs" dxfId="5750" priority="115" operator="equal">
      <formula>"GRE"</formula>
    </cfRule>
    <cfRule type="cellIs" dxfId="5749" priority="116" operator="equal">
      <formula>"RED"</formula>
    </cfRule>
    <cfRule type="cellIs" dxfId="5748" priority="117" operator="equal">
      <formula>"BLA"</formula>
    </cfRule>
  </conditionalFormatting>
  <conditionalFormatting sqref="IO1:IW1">
    <cfRule type="cellIs" dxfId="5747" priority="85" operator="equal">
      <formula>"PIN"</formula>
    </cfRule>
    <cfRule type="cellIs" dxfId="5746" priority="86" operator="equal">
      <formula>"ORA"</formula>
    </cfRule>
    <cfRule type="cellIs" dxfId="5745" priority="87" operator="equal">
      <formula>"GRA"</formula>
    </cfRule>
    <cfRule type="cellIs" dxfId="5744" priority="88" operator="equal">
      <formula>"PUR"</formula>
    </cfRule>
    <cfRule type="cellIs" dxfId="5743" priority="89" operator="equal">
      <formula>"BRO"</formula>
    </cfRule>
    <cfRule type="cellIs" dxfId="5742" priority="90" operator="equal">
      <formula>"YEL"</formula>
    </cfRule>
    <cfRule type="cellIs" dxfId="5741" priority="91" operator="equal">
      <formula>"BLU"</formula>
    </cfRule>
    <cfRule type="cellIs" dxfId="5740" priority="92" operator="equal">
      <formula>"WHI"</formula>
    </cfRule>
    <cfRule type="cellIs" dxfId="5739" priority="93" operator="equal">
      <formula>"GRE"</formula>
    </cfRule>
    <cfRule type="cellIs" dxfId="5738" priority="94" operator="equal">
      <formula>"RED"</formula>
    </cfRule>
    <cfRule type="cellIs" dxfId="5737" priority="95" operator="equal">
      <formula>"BLA"</formula>
    </cfRule>
  </conditionalFormatting>
  <conditionalFormatting sqref="H2">
    <cfRule type="cellIs" dxfId="5736" priority="77" stopIfTrue="1" operator="notEqual">
      <formula>""</formula>
    </cfRule>
  </conditionalFormatting>
  <conditionalFormatting sqref="R2 CU2">
    <cfRule type="cellIs" dxfId="5735" priority="79" operator="greaterThan">
      <formula>0</formula>
    </cfRule>
  </conditionalFormatting>
  <conditionalFormatting sqref="T2:AS2 CH2:CS2">
    <cfRule type="cellIs" dxfId="5734" priority="74" stopIfTrue="1" operator="equal">
      <formula>"n"</formula>
    </cfRule>
    <cfRule type="cellIs" dxfId="5733" priority="75" stopIfTrue="1" operator="equal">
      <formula>"y"</formula>
    </cfRule>
    <cfRule type="cellIs" dxfId="5732" priority="76" operator="greaterThan">
      <formula>0</formula>
    </cfRule>
  </conditionalFormatting>
  <conditionalFormatting sqref="AZ2:BB2">
    <cfRule type="expression" dxfId="5731" priority="61">
      <formula>$AT2=0</formula>
    </cfRule>
  </conditionalFormatting>
  <conditionalFormatting sqref="AZ2:BU2">
    <cfRule type="cellIs" dxfId="5730" priority="62" operator="equal">
      <formula>"PIN"</formula>
    </cfRule>
    <cfRule type="cellIs" dxfId="5729" priority="63" operator="equal">
      <formula>"ORA"</formula>
    </cfRule>
    <cfRule type="cellIs" dxfId="5728" priority="64" operator="equal">
      <formula>"GRA"</formula>
    </cfRule>
    <cfRule type="cellIs" dxfId="5727" priority="65" operator="equal">
      <formula>"PUR"</formula>
    </cfRule>
    <cfRule type="cellIs" dxfId="5726" priority="66" operator="equal">
      <formula>"BRO"</formula>
    </cfRule>
    <cfRule type="cellIs" dxfId="5725" priority="67" operator="equal">
      <formula>"YEL"</formula>
    </cfRule>
    <cfRule type="cellIs" dxfId="5724" priority="68" operator="equal">
      <formula>"BLU"</formula>
    </cfRule>
    <cfRule type="cellIs" dxfId="5723" priority="69" operator="equal">
      <formula>"WHI"</formula>
    </cfRule>
    <cfRule type="cellIs" dxfId="5722" priority="70" operator="equal">
      <formula>"GRE"</formula>
    </cfRule>
    <cfRule type="cellIs" dxfId="5721" priority="71" operator="equal">
      <formula>"RED"</formula>
    </cfRule>
    <cfRule type="cellIs" dxfId="5720" priority="72" operator="equal">
      <formula>"BLA"</formula>
    </cfRule>
  </conditionalFormatting>
  <conditionalFormatting sqref="BV2">
    <cfRule type="cellIs" dxfId="5719" priority="78" operator="equal">
      <formula>"nc"</formula>
    </cfRule>
  </conditionalFormatting>
  <conditionalFormatting sqref="CD2:CF2 BZ2:CA2">
    <cfRule type="cellIs" dxfId="5718" priority="73" operator="greaterThan">
      <formula>0</formula>
    </cfRule>
  </conditionalFormatting>
  <conditionalFormatting sqref="IC2:IK2">
    <cfRule type="expression" dxfId="5717" priority="60">
      <formula>$IL2&gt;0</formula>
    </cfRule>
  </conditionalFormatting>
  <conditionalFormatting sqref="BX2:CA2 CD2:CF2">
    <cfRule type="cellIs" dxfId="5716" priority="48" operator="equal">
      <formula>"y"</formula>
    </cfRule>
    <cfRule type="cellIs" dxfId="5715" priority="49" operator="equal">
      <formula>"PIN"</formula>
    </cfRule>
    <cfRule type="cellIs" dxfId="5714" priority="50" operator="equal">
      <formula>"ORA"</formula>
    </cfRule>
    <cfRule type="cellIs" dxfId="5713" priority="51" operator="equal">
      <formula>"GRA"</formula>
    </cfRule>
    <cfRule type="cellIs" dxfId="5712" priority="52" operator="equal">
      <formula>"PUR"</formula>
    </cfRule>
    <cfRule type="cellIs" dxfId="5711" priority="53" operator="equal">
      <formula>"BRO"</formula>
    </cfRule>
    <cfRule type="cellIs" dxfId="5710" priority="54" operator="equal">
      <formula>"YEL"</formula>
    </cfRule>
    <cfRule type="cellIs" dxfId="5709" priority="55" operator="equal">
      <formula>"BLU"</formula>
    </cfRule>
    <cfRule type="cellIs" dxfId="5708" priority="56" operator="equal">
      <formula>"WHI"</formula>
    </cfRule>
    <cfRule type="cellIs" dxfId="5707" priority="57" operator="equal">
      <formula>"GRE"</formula>
    </cfRule>
    <cfRule type="cellIs" dxfId="5706" priority="58" operator="equal">
      <formula>"RED"</formula>
    </cfRule>
    <cfRule type="cellIs" dxfId="5705" priority="59" operator="equal">
      <formula>"BLA"</formula>
    </cfRule>
  </conditionalFormatting>
  <conditionalFormatting sqref="J2">
    <cfRule type="colorScale" priority="80">
      <colorScale>
        <cfvo type="min"/>
        <cfvo type="percentile" val="50"/>
        <cfvo type="max"/>
        <color rgb="FFF8696B"/>
        <color rgb="FFFFEB84"/>
        <color rgb="FF63BE7B"/>
      </colorScale>
    </cfRule>
  </conditionalFormatting>
  <conditionalFormatting sqref="S2">
    <cfRule type="colorScale" priority="81">
      <colorScale>
        <cfvo type="min"/>
        <cfvo type="max"/>
        <color rgb="FFFCFCFF"/>
        <color rgb="FF754BFB"/>
      </colorScale>
    </cfRule>
  </conditionalFormatting>
  <conditionalFormatting sqref="AT2">
    <cfRule type="colorScale" priority="82">
      <colorScale>
        <cfvo type="min"/>
        <cfvo type="max"/>
        <color rgb="FFFCFCFF"/>
        <color theme="8" tint="0.39997558519241921"/>
      </colorScale>
    </cfRule>
  </conditionalFormatting>
  <conditionalFormatting sqref="CG2">
    <cfRule type="colorScale" priority="83">
      <colorScale>
        <cfvo type="min"/>
        <cfvo type="max"/>
        <color rgb="FFFCFCFF"/>
        <color rgb="FF63BE7B"/>
      </colorScale>
    </cfRule>
  </conditionalFormatting>
  <conditionalFormatting sqref="H3">
    <cfRule type="cellIs" dxfId="5704" priority="40" stopIfTrue="1" operator="notEqual">
      <formula>""</formula>
    </cfRule>
  </conditionalFormatting>
  <conditionalFormatting sqref="R3 CU3">
    <cfRule type="cellIs" dxfId="5703" priority="43" operator="greaterThan">
      <formula>0</formula>
    </cfRule>
  </conditionalFormatting>
  <conditionalFormatting sqref="T3:AS3 CH3:CS3">
    <cfRule type="cellIs" dxfId="5702" priority="37" stopIfTrue="1" operator="equal">
      <formula>"n"</formula>
    </cfRule>
    <cfRule type="cellIs" dxfId="5701" priority="38" stopIfTrue="1" operator="equal">
      <formula>"y"</formula>
    </cfRule>
    <cfRule type="cellIs" dxfId="5700" priority="39" operator="greaterThan">
      <formula>0</formula>
    </cfRule>
  </conditionalFormatting>
  <conditionalFormatting sqref="AZ3:BB3">
    <cfRule type="expression" dxfId="5699" priority="24">
      <formula>$AT3=0</formula>
    </cfRule>
  </conditionalFormatting>
  <conditionalFormatting sqref="CD3:CF3 BX3:CA3 AZ3:BU3">
    <cfRule type="cellIs" dxfId="5698" priority="25" operator="equal">
      <formula>"PIN"</formula>
    </cfRule>
    <cfRule type="cellIs" dxfId="5697" priority="26" operator="equal">
      <formula>"ORA"</formula>
    </cfRule>
    <cfRule type="cellIs" dxfId="5696" priority="27" operator="equal">
      <formula>"GRA"</formula>
    </cfRule>
    <cfRule type="cellIs" dxfId="5695" priority="28" operator="equal">
      <formula>"PUR"</formula>
    </cfRule>
    <cfRule type="cellIs" dxfId="5694" priority="29" operator="equal">
      <formula>"BRO"</formula>
    </cfRule>
    <cfRule type="cellIs" dxfId="5693" priority="30" operator="equal">
      <formula>"YEL"</formula>
    </cfRule>
    <cfRule type="cellIs" dxfId="5692" priority="31" operator="equal">
      <formula>"BLU"</formula>
    </cfRule>
    <cfRule type="cellIs" dxfId="5691" priority="32" operator="equal">
      <formula>"WHI"</formula>
    </cfRule>
    <cfRule type="cellIs" dxfId="5690" priority="33" operator="equal">
      <formula>"GRE"</formula>
    </cfRule>
    <cfRule type="cellIs" dxfId="5689" priority="34" operator="equal">
      <formula>"RED"</formula>
    </cfRule>
    <cfRule type="cellIs" dxfId="5688" priority="35" operator="equal">
      <formula>"BLA"</formula>
    </cfRule>
  </conditionalFormatting>
  <conditionalFormatting sqref="BV3">
    <cfRule type="cellIs" dxfId="5687" priority="42" operator="equal">
      <formula>"nc"</formula>
    </cfRule>
  </conditionalFormatting>
  <conditionalFormatting sqref="CD3:CF3 BX3:CA3">
    <cfRule type="cellIs" dxfId="5686" priority="41" operator="equal">
      <formula>"y"</formula>
    </cfRule>
  </conditionalFormatting>
  <conditionalFormatting sqref="CD3:CF3 BZ3:CA3">
    <cfRule type="cellIs" dxfId="5685" priority="36" operator="greaterThan">
      <formula>0</formula>
    </cfRule>
  </conditionalFormatting>
  <conditionalFormatting sqref="IC3:IK3">
    <cfRule type="expression" dxfId="5684" priority="23">
      <formula>$IL3&gt;0</formula>
    </cfRule>
  </conditionalFormatting>
  <conditionalFormatting sqref="IC3">
    <cfRule type="cellIs" dxfId="5683" priority="17" stopIfTrue="1" operator="greaterThan">
      <formula>0</formula>
    </cfRule>
  </conditionalFormatting>
  <conditionalFormatting sqref="ID3">
    <cfRule type="cellIs" dxfId="5682" priority="15" stopIfTrue="1" operator="greaterThan">
      <formula>0</formula>
    </cfRule>
  </conditionalFormatting>
  <conditionalFormatting sqref="II3 IE3:IF3">
    <cfRule type="cellIs" dxfId="5681" priority="22" operator="greaterThan">
      <formula>0</formula>
    </cfRule>
  </conditionalFormatting>
  <conditionalFormatting sqref="II3 IF3">
    <cfRule type="cellIs" dxfId="5680" priority="16" stopIfTrue="1" operator="greaterThan">
      <formula>0</formula>
    </cfRule>
  </conditionalFormatting>
  <conditionalFormatting sqref="IG3">
    <cfRule type="cellIs" dxfId="5679" priority="21" operator="greaterThan">
      <formula>0</formula>
    </cfRule>
  </conditionalFormatting>
  <conditionalFormatting sqref="IH3:II3">
    <cfRule type="cellIs" dxfId="5678" priority="20" operator="greaterThan">
      <formula>0</formula>
    </cfRule>
  </conditionalFormatting>
  <conditionalFormatting sqref="IJ3">
    <cfRule type="cellIs" dxfId="5677" priority="19" operator="greaterThan">
      <formula>0</formula>
    </cfRule>
  </conditionalFormatting>
  <conditionalFormatting sqref="IK3">
    <cfRule type="cellIs" dxfId="5676" priority="18" operator="greaterThan">
      <formula>0</formula>
    </cfRule>
  </conditionalFormatting>
  <conditionalFormatting sqref="IF3">
    <cfRule type="cellIs" dxfId="5675" priority="14" stopIfTrue="1" operator="greaterThan">
      <formula>0</formula>
    </cfRule>
  </conditionalFormatting>
  <conditionalFormatting sqref="IM3">
    <cfRule type="cellIs" dxfId="5674" priority="13" operator="equal">
      <formula>0</formula>
    </cfRule>
  </conditionalFormatting>
  <conditionalFormatting sqref="BX3:CA3 CD3:CF3">
    <cfRule type="cellIs" dxfId="5673" priority="1" operator="equal">
      <formula>"y"</formula>
    </cfRule>
    <cfRule type="cellIs" dxfId="5672" priority="2" operator="equal">
      <formula>"PIN"</formula>
    </cfRule>
    <cfRule type="cellIs" dxfId="5671" priority="3" operator="equal">
      <formula>"ORA"</formula>
    </cfRule>
    <cfRule type="cellIs" dxfId="5670" priority="4" operator="equal">
      <formula>"GRA"</formula>
    </cfRule>
    <cfRule type="cellIs" dxfId="5669" priority="5" operator="equal">
      <formula>"PUR"</formula>
    </cfRule>
    <cfRule type="cellIs" dxfId="5668" priority="6" operator="equal">
      <formula>"BRO"</formula>
    </cfRule>
    <cfRule type="cellIs" dxfId="5667" priority="7" operator="equal">
      <formula>"YEL"</formula>
    </cfRule>
    <cfRule type="cellIs" dxfId="5666" priority="8" operator="equal">
      <formula>"BLU"</formula>
    </cfRule>
    <cfRule type="cellIs" dxfId="5665" priority="9" operator="equal">
      <formula>"WHI"</formula>
    </cfRule>
    <cfRule type="cellIs" dxfId="5664" priority="10" operator="equal">
      <formula>"GRE"</formula>
    </cfRule>
    <cfRule type="cellIs" dxfId="5663" priority="11" operator="equal">
      <formula>"RED"</formula>
    </cfRule>
    <cfRule type="cellIs" dxfId="5662" priority="12" operator="equal">
      <formula>"BLA"</formula>
    </cfRule>
  </conditionalFormatting>
  <conditionalFormatting sqref="AT3">
    <cfRule type="colorScale" priority="44">
      <colorScale>
        <cfvo type="min"/>
        <cfvo type="max"/>
        <color rgb="FFFCFCFF"/>
        <color theme="8" tint="0.39997558519241921"/>
      </colorScale>
    </cfRule>
  </conditionalFormatting>
  <conditionalFormatting sqref="S3">
    <cfRule type="colorScale" priority="45">
      <colorScale>
        <cfvo type="min"/>
        <cfvo type="max"/>
        <color rgb="FFFCFCFF"/>
        <color rgb="FF754BFB"/>
      </colorScale>
    </cfRule>
  </conditionalFormatting>
  <conditionalFormatting sqref="J3">
    <cfRule type="colorScale" priority="46">
      <colorScale>
        <cfvo type="min"/>
        <cfvo type="percentile" val="50"/>
        <cfvo type="max"/>
        <color rgb="FFF8696B"/>
        <color rgb="FFFFEB84"/>
        <color rgb="FF63BE7B"/>
      </colorScale>
    </cfRule>
  </conditionalFormatting>
  <conditionalFormatting sqref="CG3">
    <cfRule type="colorScale" priority="47">
      <colorScale>
        <cfvo type="min"/>
        <cfvo type="max"/>
        <color rgb="FFFCFCFF"/>
        <color rgb="FF63BE7B"/>
      </colorScale>
    </cfRule>
  </conditionalFormatting>
  <hyperlinks>
    <hyperlink ref="A2" r:id="rId1" display="https://fbref.com/en/country/CIV/Cote-dIvoire-Football" xr:uid="{BAB45A6B-7D44-457B-85CB-B1053BB5E9AB}"/>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34817" r:id="rId5"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34818" r:id="rId6"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34819" r:id="rId7"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EA0B0-ED77-499A-B97A-FF420B5F5F26}">
  <sheetPr codeName="Sheet19"/>
  <dimension ref="A1:IY10"/>
  <sheetViews>
    <sheetView zoomScale="70" zoomScaleNormal="70" workbookViewId="0">
      <pane xSplit="5" ySplit="1" topLeftCell="F2" activePane="bottomRight" state="frozen"/>
      <selection pane="topRight" activeCell="F1" sqref="F1"/>
      <selection pane="bottomLeft" activeCell="A2" sqref="A2"/>
      <selection pane="bottomRight" activeCell="M3" sqref="M3"/>
    </sheetView>
  </sheetViews>
  <sheetFormatPr defaultRowHeight="38.4" customHeight="1" x14ac:dyDescent="0.3"/>
  <cols>
    <col min="1" max="1" width="52.44140625" style="81" bestFit="1" customWidth="1"/>
    <col min="2" max="2" width="10.109375" style="81" customWidth="1"/>
    <col min="3" max="3" width="7.44140625" style="82" customWidth="1"/>
    <col min="4" max="4" width="4.77734375" style="83" customWidth="1"/>
    <col min="5" max="5" width="4.5546875" style="83" customWidth="1"/>
    <col min="6" max="6" width="5.77734375" style="83" customWidth="1"/>
    <col min="7" max="7" width="7.44140625" style="81" customWidth="1"/>
    <col min="8" max="8" width="11.44140625" style="81" customWidth="1"/>
    <col min="9" max="9" width="10" style="81" customWidth="1"/>
    <col min="10" max="10" width="4.21875" style="81" customWidth="1"/>
    <col min="11" max="11" width="5.6640625" style="83" customWidth="1"/>
    <col min="12" max="12" width="2.88671875" style="83" customWidth="1"/>
    <col min="13" max="13" width="6.44140625" style="83" customWidth="1"/>
    <col min="14" max="14" width="4.5546875" style="83" customWidth="1"/>
    <col min="15" max="15" width="10.5546875" style="84" customWidth="1"/>
    <col min="16" max="16" width="6.88671875" style="83" customWidth="1"/>
    <col min="17" max="17" width="4.77734375" style="83" customWidth="1"/>
    <col min="18" max="18" width="13.109375" style="82" customWidth="1"/>
    <col min="19" max="19" width="6.77734375" style="82" customWidth="1"/>
    <col min="20" max="46" width="8.44140625" style="81" customWidth="1"/>
    <col min="47" max="47" width="24.5546875" style="81" customWidth="1"/>
    <col min="48" max="51" width="16.6640625" style="81" customWidth="1"/>
    <col min="52" max="52" width="6.5546875" style="81" customWidth="1"/>
    <col min="53" max="54" width="5.88671875" style="81" customWidth="1"/>
    <col min="55" max="55" width="1.33203125" style="81" customWidth="1"/>
    <col min="56" max="56" width="7.44140625" style="81" customWidth="1"/>
    <col min="57" max="57" width="2.33203125" style="81" customWidth="1"/>
    <col min="58" max="62" width="6.109375" style="81" customWidth="1"/>
    <col min="63" max="63" width="2.33203125" style="81" customWidth="1"/>
    <col min="64" max="64" width="7" style="81" bestFit="1" customWidth="1"/>
    <col min="65" max="65" width="6.44140625" style="81" bestFit="1" customWidth="1"/>
    <col min="66" max="66" width="7.109375" style="81" bestFit="1" customWidth="1"/>
    <col min="67" max="71" width="6.44140625" style="81" bestFit="1" customWidth="1"/>
    <col min="72" max="73" width="6.44140625" style="81" customWidth="1"/>
    <col min="74" max="75" width="13.44140625" style="81" customWidth="1"/>
    <col min="76" max="84" width="14.6640625" style="81" customWidth="1"/>
    <col min="85" max="85" width="6.44140625" style="81" customWidth="1"/>
    <col min="86" max="87" width="11.6640625" style="81" bestFit="1" customWidth="1"/>
    <col min="88" max="88" width="11.6640625" style="81" customWidth="1"/>
    <col min="89" max="89" width="12.77734375" style="81" bestFit="1" customWidth="1"/>
    <col min="90" max="90" width="16.44140625" style="82" bestFit="1" customWidth="1"/>
    <col min="91" max="92" width="14.88671875" style="82" bestFit="1" customWidth="1"/>
    <col min="93" max="93" width="16" style="82" bestFit="1" customWidth="1"/>
    <col min="94" max="97" width="7.77734375" style="81" customWidth="1"/>
    <col min="98" max="98" width="33.21875" style="81" customWidth="1"/>
    <col min="99" max="99" width="18" style="81" customWidth="1"/>
    <col min="100" max="100" width="75.6640625" style="81" customWidth="1"/>
    <col min="101" max="125" width="33" style="81" customWidth="1"/>
    <col min="126" max="126" width="8.88671875" style="81"/>
    <col min="127" max="128" width="9.44140625" style="81" bestFit="1" customWidth="1"/>
    <col min="129" max="129" width="10.77734375" style="81" bestFit="1" customWidth="1"/>
    <col min="130" max="134" width="10.77734375" style="81" customWidth="1"/>
    <col min="135" max="135" width="10.109375" style="81" bestFit="1" customWidth="1"/>
    <col min="136" max="136" width="7.77734375" style="81" bestFit="1" customWidth="1"/>
    <col min="137" max="137" width="7.77734375" style="81" customWidth="1"/>
    <col min="138" max="138" width="9" style="81" bestFit="1" customWidth="1"/>
    <col min="139" max="139" width="11.33203125" style="81" bestFit="1" customWidth="1"/>
    <col min="140" max="140" width="9.109375" style="81" bestFit="1" customWidth="1"/>
    <col min="141" max="141" width="9" style="81" bestFit="1" customWidth="1"/>
    <col min="142" max="142" width="12" style="81" bestFit="1" customWidth="1"/>
    <col min="143" max="166" width="12" style="81" customWidth="1"/>
    <col min="167" max="167" width="17.21875" style="81" customWidth="1"/>
    <col min="168" max="191" width="12" style="81" customWidth="1"/>
    <col min="192" max="192" width="8.5546875" style="81" bestFit="1" customWidth="1"/>
    <col min="193" max="193" width="8.5546875" style="81" customWidth="1"/>
    <col min="194" max="194" width="7.109375" style="81" bestFit="1" customWidth="1"/>
    <col min="195" max="195" width="7.5546875" style="81" bestFit="1" customWidth="1"/>
    <col min="196" max="196" width="8.5546875" style="81" bestFit="1" customWidth="1"/>
    <col min="197" max="200" width="8.5546875" style="81" customWidth="1"/>
    <col min="201" max="201" width="188.88671875" style="81" customWidth="1"/>
    <col min="202" max="202" width="9.5546875" style="81" bestFit="1" customWidth="1"/>
    <col min="203" max="203" width="10.44140625" style="81" bestFit="1" customWidth="1"/>
    <col min="204" max="204" width="11.109375" style="81" bestFit="1" customWidth="1"/>
    <col min="205" max="205" width="10.44140625" style="81" bestFit="1" customWidth="1"/>
    <col min="206" max="210" width="10.44140625" style="81" customWidth="1"/>
    <col min="211" max="211" width="45.44140625" style="81" customWidth="1"/>
    <col min="212" max="212" width="47.5546875" style="81" bestFit="1" customWidth="1"/>
    <col min="213" max="213" width="9.33203125" style="85" customWidth="1"/>
    <col min="214" max="214" width="119.5546875" style="81" customWidth="1"/>
    <col min="215" max="215" width="69.6640625" style="81" customWidth="1"/>
    <col min="216" max="218" width="8.88671875" style="81"/>
    <col min="219" max="219" width="37.109375" style="81" customWidth="1"/>
    <col min="220" max="220" width="16.33203125" style="81" customWidth="1"/>
    <col min="221" max="222" width="8.88671875" style="81"/>
    <col min="223" max="223" width="10.109375" style="81" bestFit="1" customWidth="1"/>
    <col min="224" max="232" width="10.88671875" style="81" customWidth="1"/>
    <col min="233" max="234" width="30.77734375" style="81" customWidth="1"/>
    <col min="235" max="235" width="5.109375" style="81" customWidth="1"/>
    <col min="236" max="236" width="3" style="81" customWidth="1"/>
    <col min="237" max="245" width="6.77734375" style="86" customWidth="1"/>
    <col min="246" max="247" width="8.88671875" style="81"/>
    <col min="248" max="248" width="61.5546875" style="81" customWidth="1"/>
    <col min="249" max="253" width="8.88671875" style="81"/>
    <col min="254" max="254" width="9" style="81" customWidth="1"/>
    <col min="255" max="16384" width="8.88671875" style="8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308</v>
      </c>
      <c r="B2" s="40" t="e" vm="18">
        <v>#VALUE!</v>
      </c>
      <c r="C2" s="41">
        <v>1</v>
      </c>
      <c r="D2" s="42" t="s">
        <v>309</v>
      </c>
      <c r="E2" s="43" t="s">
        <v>310</v>
      </c>
      <c r="F2" s="44" t="s">
        <v>163</v>
      </c>
      <c r="G2" s="45">
        <f>COUNTIF($A$1:$A$8387,A2)</f>
        <v>1</v>
      </c>
      <c r="H2" s="46"/>
      <c r="I2" s="47" t="s">
        <v>311</v>
      </c>
      <c r="J2" s="48" t="str">
        <f>""</f>
        <v/>
      </c>
      <c r="K2" s="49">
        <v>28600000</v>
      </c>
      <c r="L2" s="50">
        <v>815000</v>
      </c>
      <c r="M2" s="50" t="s">
        <v>1107</v>
      </c>
      <c r="N2" s="51" t="s">
        <v>180</v>
      </c>
      <c r="O2" s="52" t="s">
        <v>312</v>
      </c>
      <c r="P2" s="53" t="s">
        <v>313</v>
      </c>
      <c r="Q2" s="54">
        <v>1</v>
      </c>
      <c r="R2" s="55" t="s">
        <v>180</v>
      </c>
      <c r="S2" s="56">
        <v>3</v>
      </c>
      <c r="T2" s="57" t="s">
        <v>164</v>
      </c>
      <c r="U2" s="58" t="s">
        <v>164</v>
      </c>
      <c r="V2" s="58" t="s">
        <v>164</v>
      </c>
      <c r="W2" s="58" t="s">
        <v>167</v>
      </c>
      <c r="X2" s="58" t="s">
        <v>164</v>
      </c>
      <c r="Y2" s="58" t="s">
        <v>164</v>
      </c>
      <c r="Z2" s="58" t="s">
        <v>164</v>
      </c>
      <c r="AA2" s="58" t="s">
        <v>164</v>
      </c>
      <c r="AB2" s="58" t="s">
        <v>164</v>
      </c>
      <c r="AC2" s="58" t="s">
        <v>164</v>
      </c>
      <c r="AD2" s="58" t="s">
        <v>164</v>
      </c>
      <c r="AE2" s="58" t="s">
        <v>164</v>
      </c>
      <c r="AF2" s="59" t="s">
        <v>164</v>
      </c>
      <c r="AG2" s="59" t="s">
        <v>164</v>
      </c>
      <c r="AH2" s="59" t="s">
        <v>167</v>
      </c>
      <c r="AI2" s="59" t="s">
        <v>164</v>
      </c>
      <c r="AJ2" s="59" t="s">
        <v>164</v>
      </c>
      <c r="AK2" s="59" t="s">
        <v>164</v>
      </c>
      <c r="AL2" s="59" t="s">
        <v>164</v>
      </c>
      <c r="AM2" s="59" t="s">
        <v>164</v>
      </c>
      <c r="AN2" s="59" t="s">
        <v>164</v>
      </c>
      <c r="AO2" s="59" t="s">
        <v>164</v>
      </c>
      <c r="AP2" s="59" t="s">
        <v>164</v>
      </c>
      <c r="AQ2" s="59" t="s">
        <v>164</v>
      </c>
      <c r="AR2" s="59" t="s">
        <v>164</v>
      </c>
      <c r="AS2" s="59" t="s">
        <v>164</v>
      </c>
      <c r="AT2" s="60">
        <v>1</v>
      </c>
      <c r="AU2" s="59"/>
      <c r="AV2" s="59" t="str">
        <f>IF(LEFT(A2,1)="[",LEFT(A2,5)&amp;AU2&amp;A2,"")</f>
        <v/>
      </c>
      <c r="AW2" s="59" t="str">
        <f t="shared" ref="AW2" si="0">C2&amp;H2&amp;A2</f>
        <v>1Cameroon</v>
      </c>
      <c r="AX2" s="61" t="str">
        <f>_xlfn.TEXTJOIN(";",TRUE,AU2:AW2)</f>
        <v>1Cameroon</v>
      </c>
      <c r="AY2" s="61"/>
      <c r="AZ2" s="62" t="s">
        <v>155</v>
      </c>
      <c r="BA2" s="62"/>
      <c r="BB2" s="62"/>
      <c r="BC2" s="63"/>
      <c r="BD2" s="64" t="s">
        <v>155</v>
      </c>
      <c r="BE2" s="47"/>
      <c r="BF2" s="64" t="s">
        <v>153</v>
      </c>
      <c r="BG2" s="64" t="s">
        <v>154</v>
      </c>
      <c r="BH2" s="64" t="s">
        <v>155</v>
      </c>
      <c r="BI2" s="64"/>
      <c r="BJ2" s="64"/>
      <c r="BK2" s="47"/>
      <c r="BL2" s="64" t="s">
        <v>153</v>
      </c>
      <c r="BM2" s="64" t="s">
        <v>154</v>
      </c>
      <c r="BN2" s="64" t="s">
        <v>155</v>
      </c>
      <c r="BO2" s="64"/>
      <c r="BP2" s="64"/>
      <c r="BQ2" s="64"/>
      <c r="BR2" s="64"/>
      <c r="BS2" s="64"/>
      <c r="BT2" s="64"/>
      <c r="BU2" s="65"/>
      <c r="BV2" s="66" t="s">
        <v>165</v>
      </c>
      <c r="BW2" s="66">
        <v>0</v>
      </c>
      <c r="BX2" s="47"/>
      <c r="CB2" s="6" t="s">
        <v>314</v>
      </c>
      <c r="CC2" s="6"/>
      <c r="CD2" s="67">
        <v>0</v>
      </c>
      <c r="CE2" s="67">
        <v>0</v>
      </c>
      <c r="CF2" s="67" t="e">
        <v>#REF!</v>
      </c>
      <c r="CG2" s="68" cm="1">
        <f t="array" ref="CG2">SUMPRODUCT(--(LEN(TRIM(BL2:BT2))&gt;0))</f>
        <v>3</v>
      </c>
      <c r="CH2" s="59" t="str">
        <f>IF(CG2=2,"y","n")</f>
        <v>n</v>
      </c>
      <c r="CI2" s="59" t="str">
        <f>IF(CG2=3,"y","n")</f>
        <v>y</v>
      </c>
      <c r="CJ2" s="59" t="str">
        <f>IF(CG2=4,"y","n")</f>
        <v>n</v>
      </c>
      <c r="CK2" s="59" t="str">
        <f>IF(CG2&gt;4,"y","n")</f>
        <v>n</v>
      </c>
      <c r="CL2" s="59" t="str">
        <f>IF(S2=0,"y","n")</f>
        <v>n</v>
      </c>
      <c r="CM2" s="59" t="str">
        <f>IF(S2=2,"y","n")</f>
        <v>n</v>
      </c>
      <c r="CN2" s="59" t="str">
        <f>IF(S2=3,"y","n")</f>
        <v>y</v>
      </c>
      <c r="CO2" s="59" t="str">
        <f>IF(S2&gt;=4,"y","n")</f>
        <v>n</v>
      </c>
      <c r="CP2" s="59" t="str">
        <f>IF(AT2=0,"y","n")</f>
        <v>n</v>
      </c>
      <c r="CQ2" s="59" t="str">
        <f>IF(AT2=1,"y","n")</f>
        <v>y</v>
      </c>
      <c r="CR2" s="59" t="str">
        <f>IF(AT2=2,"y","n")</f>
        <v>n</v>
      </c>
      <c r="CS2" s="59" t="str">
        <f>IF(AT2&gt;=3,"y","n")</f>
        <v>n</v>
      </c>
      <c r="CT2" s="69" t="str">
        <f>CHAR(34)&amp;A2&amp;CHAR(34)</f>
        <v>"Cameroon"</v>
      </c>
      <c r="CU2" s="70" t="str">
        <f>CHAR(34)&amp;"rgn_"&amp;R2&amp;CHAR(34)</f>
        <v>"rgn_Africa"</v>
      </c>
      <c r="CV2" s="48" t="str">
        <f>CHAR(34)&amp;D2&amp;CHAR(34)</f>
        <v>"https://i.ibb.co/vjJbmfZ/Cameroon-Flag.png"</v>
      </c>
      <c r="CW2" s="48" t="str">
        <f>IF(CH2="y",CHAR(34)&amp;CH$1&amp;CHAR(34)&amp;",","")</f>
        <v/>
      </c>
      <c r="CX2" s="48" t="str">
        <f>IF(CI2="y",CHAR(34)&amp;CI$1&amp;CHAR(34)&amp;",","")</f>
        <v>"3Color",</v>
      </c>
      <c r="CY2" s="48" t="str">
        <f>IF(CJ2="y",CHAR(34)&amp;CJ$1&amp;CHAR(34)&amp;",","")</f>
        <v/>
      </c>
      <c r="CZ2" s="48" t="str">
        <f>IF(CK2="y",CHAR(34)&amp;CK$1&amp;CHAR(34)&amp;",","")</f>
        <v/>
      </c>
      <c r="DA2" s="48" t="str">
        <f>IF(Q2&gt;1,CHAR(34)&amp;"words2"&amp;CHAR(34)&amp;",","")</f>
        <v/>
      </c>
      <c r="DB2" s="48" t="str">
        <f>IF(Q2&gt;2,CHAR(34)&amp;"words3"&amp;CHAR(34)&amp;",","")</f>
        <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"lets08",</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"startC",</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"REEDEL",</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
      </c>
      <c r="DS2" s="6" t="str">
        <f>IF(W2="y",IF(AND(V2="n",BY2&lt;&gt;"y"),CHAR(34)&amp;"allver"&amp;CHAR(34)&amp;",",""),"")</f>
        <v>"allver",</v>
      </c>
      <c r="DT2" s="6" t="str">
        <f>IF(V2="y",IF(AND(W2="n",BY2&lt;&gt;"y"),CHAR(34)&amp;"allhor"&amp;CHAR(34)&amp;",",""),"")</f>
        <v/>
      </c>
      <c r="DU2" s="6" t="str">
        <f>IF(BY2="y",IF(AND(W2="n",V2="n"),CHAR(34)&amp;"alldia"&amp;CHAR(34)&amp;",",""),"")</f>
        <v/>
      </c>
      <c r="DV2" s="48" t="str">
        <f>IF(IA2&lt;&gt;"",(IF(IA2="y",CHAR(34)&amp;"largec"&amp;CHAR(34)&amp;",",CHAR(34)&amp;"smallc"&amp;CHAR(34)&amp;",")),"")</f>
        <v/>
      </c>
      <c r="DW2" s="48" t="str">
        <f>IF(CL2="y",CHAR(34)&amp;CL$1&amp;CHAR(34)&amp;",","")</f>
        <v/>
      </c>
      <c r="DX2" s="48" t="str">
        <f>IF(CM2="y",CHAR(34)&amp;CM$1&amp;CHAR(34)&amp;",","")</f>
        <v/>
      </c>
      <c r="DY2" s="48" t="str">
        <f>IF(CN2="y",CHAR(34)&amp;CN$1&amp;CHAR(34)&amp;",","")</f>
        <v>"3Bands",</v>
      </c>
      <c r="DZ2" s="48" t="str">
        <f>IF(CO2="y",CHAR(34)&amp;CO$1&amp;CHAR(34)&amp;",","")</f>
        <v/>
      </c>
      <c r="EA2" s="48" t="str">
        <f>IF(T2="y",CHAR(34)&amp;T$1&amp;CHAR(34)&amp;",","")</f>
        <v/>
      </c>
      <c r="EB2" s="48" t="str">
        <f>IF(U2="y",CHAR(34)&amp;U$1&amp;CHAR(34)&amp;",","")</f>
        <v/>
      </c>
      <c r="EC2" s="48" t="str">
        <f>IF(V2="y",CHAR(34)&amp;V$1&amp;CHAR(34)&amp;",","")</f>
        <v/>
      </c>
      <c r="ED2" s="48" t="str">
        <f>IF(W2="y",CHAR(34)&amp;W$1&amp;CHAR(34)&amp;",","")</f>
        <v>"Vertic",</v>
      </c>
      <c r="EE2" s="48" t="str">
        <f>IF(X2="y",CHAR(34)&amp;X$1&amp;CHAR(34)&amp;",","")</f>
        <v/>
      </c>
      <c r="EF2" s="48" t="str">
        <f>IF(AND(Y2&lt;&gt;"n",Y2&lt;&gt;""),CHAR(34)&amp;Y$1&amp;CHAR(34)&amp;",","")</f>
        <v/>
      </c>
      <c r="EG2" s="48" t="str">
        <f>IF(Z2="y",CHAR(34)&amp;Z$1&amp;CHAR(34)&amp;",","")</f>
        <v/>
      </c>
      <c r="EH2" s="48" t="str">
        <f>IF(AA2="y",CHAR(34)&amp;AA$1&amp;CHAR(34)&amp;",","")</f>
        <v/>
      </c>
      <c r="EI2" s="48" t="str">
        <f>IF(AB2="y",CHAR(34)&amp;AB$1&amp;CHAR(34)&amp;",","")</f>
        <v/>
      </c>
      <c r="EJ2" s="48" t="str">
        <f>IF(AC2="y",CHAR(34)&amp;AC$1&amp;CHAR(34)&amp;",","")</f>
        <v/>
      </c>
      <c r="EK2" s="48" t="str">
        <f>IF(AD2="y",CHAR(34)&amp;AD$1&amp;CHAR(34)&amp;",","")</f>
        <v/>
      </c>
      <c r="EL2" s="48" t="str">
        <f>IF(AE2="y",CHAR(34)&amp;AE$1&amp;CHAR(34)&amp;",","")</f>
        <v/>
      </c>
      <c r="EM2" s="48" t="str">
        <f>IF(AF2="y",CHAR(34)&amp;AF$1&amp;CHAR(34)&amp;",","")</f>
        <v/>
      </c>
      <c r="EN2" s="48" t="str">
        <f>IF(AG2="y",CHAR(34)&amp;AG$1&amp;CHAR(34)&amp;",","")</f>
        <v/>
      </c>
      <c r="EO2" s="48" t="str">
        <f>IF(AH2="y",CHAR(34)&amp;AH$1&amp;CHAR(34)&amp;",","")</f>
        <v>"Center",</v>
      </c>
      <c r="EP2" s="48" t="str">
        <f>IF(AI2="y",CHAR(34)&amp;AI$1&amp;CHAR(34)&amp;",","")</f>
        <v/>
      </c>
      <c r="EQ2" s="48" t="str">
        <f>IF(AJ2="y",CHAR(34)&amp;AJ$1&amp;CHAR(34)&amp;",","")</f>
        <v/>
      </c>
      <c r="ER2" s="48" t="str">
        <f>IF(AK2="y",CHAR(34)&amp;AK$1&amp;CHAR(34)&amp;",","")</f>
        <v/>
      </c>
      <c r="ES2" s="48" t="str">
        <f>IF(AL2="y",CHAR(34)&amp;AL$1&amp;CHAR(34)&amp;",","")</f>
        <v/>
      </c>
      <c r="ET2" s="48" t="str">
        <f>IF(AM2="y",CHAR(34)&amp;AM$1&amp;CHAR(34)&amp;",","")</f>
        <v/>
      </c>
      <c r="EU2" s="48" t="str">
        <f>IF(AN2="y",CHAR(34)&amp;AN$1&amp;CHAR(34)&amp;",","")</f>
        <v/>
      </c>
      <c r="EV2" s="48" t="str">
        <f>IF(AO2="y",CHAR(34)&amp;AO$1&amp;CHAR(34)&amp;",","")</f>
        <v/>
      </c>
      <c r="EW2" s="48" t="str">
        <f>IF(AP2="y",CHAR(34)&amp;AP$1&amp;CHAR(34)&amp;",","")</f>
        <v/>
      </c>
      <c r="EX2" s="48" t="str">
        <f>IF(AQ2="y",CHAR(34)&amp;AQ$1&amp;CHAR(34)&amp;",","")</f>
        <v/>
      </c>
      <c r="EY2" s="48" t="str">
        <f>IF(AR2="y",CHAR(34)&amp;AR$1&amp;CHAR(34)&amp;",","")</f>
        <v/>
      </c>
      <c r="EZ2" s="48" t="str">
        <f>IF(AS2="y",CHAR(34)&amp;AS$1&amp;CHAR(34)&amp;",","")</f>
        <v/>
      </c>
      <c r="FA2" s="48" t="str">
        <f>IF(AT2&gt;0,CHAR(34)&amp;"sta"&amp;AZ2&amp;CHAR(34)&amp;",","")</f>
        <v>"staYEL",</v>
      </c>
      <c r="FB2" s="48" t="str">
        <f>IF(AND(AT2&gt;0,BA2&lt;&gt;""),CHAR(34)&amp;"sta"&amp;BA2&amp;CHAR(34)&amp;",","")</f>
        <v/>
      </c>
      <c r="FC2" s="48" t="str">
        <f>IF(AND(AT2&gt;0,BB2&lt;&gt;""),CHAR(34)&amp;"sta"&amp;BB2&amp;CHAR(34)&amp;",","")</f>
        <v/>
      </c>
      <c r="FD2" s="48" t="str">
        <f>IF(BV2="n",CHAR(34)&amp;"tcWHYE"&amp;CHAR(34)&amp;",",IF(BV2="y",CHAR(34)&amp;FD$1&amp;CHAR(34)&amp;",",""))</f>
        <v/>
      </c>
      <c r="FE2" s="48" t="str">
        <f>IF(COUNTIF(BL2:BT2,"BLU")=0,CHAR(34)&amp;"NO_BLU"&amp;CHAR(34)&amp;",", "")</f>
        <v>"NO_BLU",</v>
      </c>
      <c r="FF2" s="48" t="str">
        <f>IF(COUNTIF(BL2:BT2,"WHI")=0,CHAR(34)&amp;"NO_WHI"&amp;CHAR(34)&amp;",", "")</f>
        <v>"NO_WHI",</v>
      </c>
      <c r="FG2" s="48" t="str">
        <f>IF(COUNTIF(BL2:BT2,"RED")=0,CHAR(34)&amp;"NO_RED"&amp;CHAR(34)&amp;",", "")</f>
        <v/>
      </c>
      <c r="FH2" s="48" t="str">
        <f>IF(COUNTIF(BL2:BS2,"GRE")=0,CHAR(34)&amp;"NO_GRE"&amp;CHAR(34)&amp;",", "")</f>
        <v/>
      </c>
      <c r="FI2" s="48" t="str">
        <f>IF(COUNTIF(BL2:BT2,"YEL")=0,CHAR(34)&amp;"NO_YEL"&amp;CHAR(34)&amp;",", "")</f>
        <v/>
      </c>
      <c r="FJ2" s="48" t="str">
        <f>IF(COUNTIF(BL2:BT2,"BLA")=0,CHAR(34)&amp;"NO_BLA"&amp;CHAR(34)&amp;",", "")</f>
        <v>"NO_BLA",</v>
      </c>
      <c r="FK2" s="48" t="str">
        <f>IF(AND(FH2&lt;&gt;"",FF2&lt;&gt;""),CHAR(34)&amp;"WHGRNO"&amp;CHAR(34)&amp;",","")</f>
        <v/>
      </c>
      <c r="FL2" s="48" t="str">
        <f>IF(AND(FI2&lt;&gt;"",FF2&lt;&gt;""),CHAR(34)&amp;"WHYENO"&amp;CHAR(34)&amp;",","")</f>
        <v/>
      </c>
      <c r="FM2" s="48" t="str">
        <f>IF(AND(FJ2&lt;&gt;"",FF2&lt;&gt;""),CHAR(34)&amp;"BAWHNO"&amp;CHAR(34)&amp;",","")</f>
        <v>"BAWHNO",</v>
      </c>
      <c r="FN2" s="48" t="str">
        <f>IF(AND(FE2&lt;&gt;"",FF2&lt;&gt;""),CHAR(34)&amp;"BLWHNO"&amp;CHAR(34)&amp;",","")</f>
        <v>"BLWHNO",</v>
      </c>
      <c r="FO2" s="48" t="str">
        <f>IF(AND(FE2&lt;&gt;"",FG2&lt;&gt;""),CHAR(34)&amp;"BLRENO"&amp;CHAR(34)&amp;",","")</f>
        <v/>
      </c>
      <c r="FP2" s="48" t="str">
        <f>IF(AND(FF2&lt;&gt;"",FF2&lt;&gt;""),CHAR(34)&amp;"WHRENO"&amp;CHAR(34)&amp;",","")</f>
        <v>"WHRENO",</v>
      </c>
      <c r="FQ2" s="48" t="str">
        <f>IF(LEN(BF2)=3,CHAR(34)&amp;"001"&amp;BF2&amp;CHAR(34)&amp;",","")</f>
        <v>"001GRE",</v>
      </c>
      <c r="FR2" s="48" t="str">
        <f>IF(LEN(BG2)=3,CHAR(34)&amp;"002"&amp;BG2&amp;CHAR(34)&amp;",","")</f>
        <v>"002RED",</v>
      </c>
      <c r="FS2" s="48" t="str">
        <f>IF(LEN(BH2)=3,CHAR(34)&amp;"003"&amp;BH2&amp;CHAR(34)&amp;",","")</f>
        <v>"003YEL",</v>
      </c>
      <c r="FT2" s="48" t="str">
        <f>CHAR(34)&amp;"myr"&amp;BD2&amp;CHAR(34)&amp;","</f>
        <v>"myrYEL",</v>
      </c>
      <c r="FU2" s="48" t="str">
        <f>IF(AY2="y",CHAR(34)&amp;"island"&amp;CHAR(34)&amp;",","")</f>
        <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"englis",</v>
      </c>
      <c r="GA2" s="48" t="str">
        <f>IFERROR(IF(SEARCH("French",CB2)&gt;0,CHAR(34)&amp;"french"&amp;CHAR(34)&amp;",",""),"")</f>
        <v>"french",</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
      </c>
      <c r="GK2" s="48" t="str">
        <f>IF(GJ2="",CHAR(34)&amp;"HasSta"&amp;CHAR(34)&amp;",","")</f>
        <v>"HasSta",</v>
      </c>
      <c r="GL2" s="48" t="str">
        <f>IF(CQ2="y",CHAR(34)&amp;CQ$1&amp;CHAR(34)&amp;",","")</f>
        <v>"1Stars",</v>
      </c>
      <c r="GM2" s="48" t="str">
        <f>IF(CR2="y",CHAR(34)&amp;CR$1&amp;CHAR(34)&amp;",","")</f>
        <v/>
      </c>
      <c r="GN2" s="48" t="str">
        <f>IF(CS2="y",CHAR(34)&amp;CS$1&amp;CHAR(34)&amp;",","")</f>
        <v/>
      </c>
      <c r="GP2" s="48" t="str">
        <f>CHAR(34)&amp;AU2&amp;CHAR(34)</f>
        <v>""</v>
      </c>
      <c r="GS2" s="48" t="str">
        <f>SUBSTITUTE("["&amp;_xlfn.CONCAT(CW2:GN2)&amp;"]",",]","]")</f>
        <v>["3Color","lets08","startC","REEDEL","year19","allver","3Bands","Vertic","Center","staYEL","NO_BLU","NO_WHI","NO_BLA","BAWHNO","BLWHNO","WHRENO","001GRE","002RED","003YEL","myrYEL","englis","french","HasSta","1Stars"]</v>
      </c>
      <c r="GT2" s="48" t="str">
        <f>IF(BL2&lt;&gt;"",CHAR(34)&amp;"cl_"&amp;BL2&amp;CHAR(34)&amp;",","")</f>
        <v>"cl_GRE",</v>
      </c>
      <c r="GU2" s="48" t="str">
        <f>IF(BM2&lt;&gt;"",CHAR(34)&amp;"cl_"&amp;BM2&amp;CHAR(34)&amp;",","")</f>
        <v>"cl_RED",</v>
      </c>
      <c r="GV2" s="48" t="str">
        <f>IF(BN2&lt;&gt;"",CHAR(34)&amp;"cl_"&amp;BN2&amp;CHAR(34)&amp;",","")</f>
        <v>"cl_YEL",</v>
      </c>
      <c r="GW2" s="48" t="str">
        <f>IF(BO2&lt;&gt;"",CHAR(34)&amp;"cl_"&amp;BO2&amp;CHAR(34)&amp;",","")</f>
        <v/>
      </c>
      <c r="GX2" s="48" t="str">
        <f>IF(BP2&lt;&gt;"",CHAR(34)&amp;"cl_"&amp;BP2&amp;CHAR(34)&amp;",","")</f>
        <v/>
      </c>
      <c r="GY2" s="48" t="str">
        <f>IF(BQ2&lt;&gt;"",CHAR(34)&amp;"cl_"&amp;BQ2&amp;CHAR(34)&amp;",","")</f>
        <v/>
      </c>
      <c r="GZ2" s="48" t="str">
        <f>IF(BR2&lt;&gt;"",CHAR(34)&amp;"cl_"&amp;BR2&amp;CHAR(34)&amp;",","")</f>
        <v/>
      </c>
      <c r="HA2" s="48" t="str">
        <f>IF(BS2&lt;&gt;"",CHAR(34)&amp;"cl_"&amp;BS2&amp;CHAR(34)&amp;",","")</f>
        <v/>
      </c>
      <c r="HB2" s="48" t="str">
        <f>IF(BT2&lt;&gt;"",CHAR(34)&amp;"cl_"&amp;BT2&amp;CHAR(34)&amp;",","")</f>
        <v/>
      </c>
      <c r="HC2" s="48" t="str">
        <f>SUBSTITUTE("["&amp;_xlfn.CONCAT(GT2:HB2)&amp;"]",",]","]")</f>
        <v>["cl_GRE","cl_RED","cl_YEL"]</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{couname:"Cameroon",year:"1975 ",region:"rgn_Africa",Colors:["cl_GRE","cl_RED","cl_YEL"],Items:["3Color","lets08","startC","REEDEL","year19","allver","3Bands","Vertic","Center","staYEL","NO_BLU","NO_WHI","NO_BLA","BAWHNO","BLWHNO","WHRENO","001GRE","002RED","003YEL","myrYEL","englis","french","HasSta","1Stars"],Flag:"https://i.ibb.co/vjJbmfZ/Cameroon-Flag.png",HDFlag:"https://upload.wikimedia.org/wikipedia/commons/thumb/4/4f/Flag_of_Cameroon.svg/2560px-Flag_of_Cameroon.svg.png",type:"", describe: "\n\n • Green represents the lush vegetation of the southern part of the country and stands for hope.\n\n • Red symbolizes unity and independence.\n\n • Yellow reflects the savannas in the northern region and stands for the sun and the prosperity it brings.\n\n • The star, often referred to as the star of unity, signifies the unity of the country​ ", isnew:".", links: "https://en.wikipedia.org/wiki/Flag_of_Cameroon"},</v>
      </c>
      <c r="HG2" s="73" t="str">
        <f>"{couname:"&amp;CT2&amp;(IF(HK2&lt;&gt;"",",subtype:"&amp;CHAR(34)&amp;HK2&amp;CHAR(34),""))&amp;",year:"&amp;HJ2&amp;",region:"&amp;CU2&amp;",Colors:"&amp;HC2&amp;",Items:"&amp;GS2&amp;",Flag:"&amp;CV2&amp;",HDFlag:"&amp;CHAR(34)&amp;E2&amp;CHAR(34)&amp;",type:"&amp;GP2&amp;", describe: "&amp;HI2&amp;", links: "&amp;HL2&amp;"},"</f>
        <v>{couname:"Cameroon",year:"1975 ",region:"rgn_Africa",Colors:["cl_GRE","cl_RED","cl_YEL"],Items:["3Color","lets08","startC","REEDEL","year19","allver","3Bands","Vertic","Center","staYEL","NO_BLU","NO_WHI","NO_BLA","BAWHNO","BLWHNO","WHRENO","001GRE","002RED","003YEL","myrYEL","englis","french","HasSta","1Stars"],Flag:"https://i.ibb.co/vjJbmfZ/Cameroon-Flag.png",HDFlag:"https://upload.wikimedia.org/wikipedia/commons/thumb/4/4f/Flag_of_Cameroon.svg/2560px-Flag_of_Cameroon.svg.png",type:"", describe: "\n\n • Green represents the lush vegetation of the southern part of the country and stands for hope.\n\n • Red symbolizes unity and independence.\n\n • Yellow reflects the savannas in the northern region and stands for the sun and the prosperity it brings.\n\n • The star, often referred to as the star of unity, signifies the unity of the country​ ", links: "https://en.wikipedia.org/wiki/Flag_of_Cameroon"},</v>
      </c>
      <c r="HH2" s="48" t="str">
        <f>IF(P2&lt;&gt;"",CHAR(34)&amp;"\n"&amp;P2&amp;CHAR(34),CHAR(34)&amp;CHAR(34))</f>
        <v>"\n\n • Green represents the lush vegetation of the southern part of the country and stands for hope.\n\n • Red symbolizes unity and independence.\n\n • Yellow reflects the savannas in the northern region and stands for the sun and the prosperity it brings.\n\n • The star, often referred to as the star of unity, signifies the unity of the country​ "</v>
      </c>
      <c r="HI2" s="48" t="str">
        <f>IF(J2=0,CHAR(34)&amp;CHAR(34),HH2)</f>
        <v>"\n\n • Green represents the lush vegetation of the southern part of the country and stands for hope.\n\n • Red symbolizes unity and independence.\n\n • Yellow reflects the savannas in the northern region and stands for the sun and the prosperity it brings.\n\n • The star, often referred to as the star of unity, signifies the unity of the country​ "</v>
      </c>
      <c r="HJ2" s="48" t="str">
        <f>CHAR(34)&amp;O2&amp;CHAR(34)</f>
        <v>"1975 "</v>
      </c>
      <c r="HL2" s="48" t="str">
        <f>CHAR(34)&amp;I2&amp;CHAR(34)</f>
        <v>"https://en.wikipedia.org/wiki/Flag_of_Cameroon"</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{"couname":"Cameroon","year":"1975 ","region":"rgn_Africa","Colors":["cl_GRE","cl_RED","cl_YEL"],"Items":["3Color","lets08","startC","REEDEL","year19","allver","3Bands","Vertic","Center","staYEL","NO_BLU","NO_WHI","NO_BLA","BAWHNO","BLWHNO","WHRENO","001GRE","002RED","003YEL","myrYEL","englis","french","HasSta","1Stars"],"Flag":"https://i.ibb.co/vjJbmfZ/Cameroon-Flag.png","HDFlag":"https://upload.wikimedia.org/wikipedia/commons/thumb/4/4f/Flag_of_Cameroon.svg/2560px-Flag_of_Cameroon.svg.png","type":"", "describe": "\n\n • Green represents the lush vegetation of the southern part of the country and stands for hope.\n\n • Red symbolizes unity and independence.\n\n • Yellow reflects the savannas in the northern region and stands for the sun and the prosperity it brings.\n\n • The star, often referred to as the star of unity, signifies the unity of the country​ ", "isnew": ".", "links": "https://en.wikipedia.org/wiki/Flag_of_Cameroon"},</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{"couname":"Cameroon","year":"1975 ","region":"rgn_Africa","Colors":["cl_GRE","cl_RED","cl_YEL"],"Items":["3Color","lets08","startC","REEDEL","year19","allver","3Bands","Vertic","Center","staYEL","NO_BLU","NO_WHI","NO_BLA","BAWHNO","BLWHNO","WHRENO","001GRE","002RED","003YEL","myrYEL","englis","french","HasSta","1Stars"],"Flag":"https://i.ibb.co/vjJbmfZ/Cameroon-Flag.png","HDFlag":"https://upload.wikimedia.org/wikipedia/commons/thumb/4/4f/Flag_of_Cameroon.svg/2560px-Flag_of_Cameroon.svg.png","type":"", "describe": "\n\n • Green represents the lush vegetation of the southern part of the country and stands for hope.\n\n • Red symbolizes unity and independence.\n\n • Yellow reflects the savannas in the northern region and stands for the sun and the prosperity it brings.\n\n • The star, often referred to as the star of unity, signifies the unity of the country​ ", "isnew": ".", "links": "https://en.wikipedia.org/wiki/Flag_of_Cameroon"},</v>
      </c>
      <c r="HO2" s="75"/>
      <c r="HP2" s="48" t="str" cm="1">
        <f t="array" ref="HP2">IF(_xlfn.TEXTJOIN(", ", TRUE, IF(ISNUMBER(SEARCH("BLA", BL2:BT2)), COLUMN(BL2:BT2) - COLUMN(BL2) + 1, ""))&lt;&gt;"","BLA","")</f>
        <v/>
      </c>
      <c r="HQ2" s="48" t="str" cm="1">
        <f t="array" ref="HQ2">IF(_xlfn.TEXTJOIN(", ", TRUE, IF(ISNUMBER(SEARCH("BLU", BL2:BT2)), COLUMN(BL2:BT2) - COLUMN(BL2) + 1, ""))&lt;&gt;"","BLU","")</f>
        <v/>
      </c>
      <c r="HR2" s="48" t="str" cm="1">
        <f t="array" ref="HR2">IF(_xlfn.TEXTJOIN(", ", TRUE, IF(ISNUMBER(SEARCH("GRE", BL2:BT2)), COLUMN(BL2:BT2) - COLUMN(BL2) + 1, ""))&lt;&gt;"","GRE","")</f>
        <v>GRE</v>
      </c>
      <c r="HS2" s="48" t="str" cm="1">
        <f t="array" ref="HS2">IF(_xlfn.TEXTJOIN(", ", TRUE, IF(ISNUMBER(SEARCH("RED", BL2:BT2)), COLUMN(BL2:BT2) - COLUMN(BL2) + 1, ""))&lt;&gt;"","RED","")</f>
        <v>RED</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
      </c>
      <c r="HY2" s="76"/>
      <c r="HZ2" s="76"/>
      <c r="IA2" s="6"/>
      <c r="IB2" s="6"/>
      <c r="IC2" s="77"/>
      <c r="ID2" s="77"/>
      <c r="IE2" s="77"/>
      <c r="IF2" s="77"/>
      <c r="IG2" s="77"/>
      <c r="IH2" s="77"/>
      <c r="II2" s="77"/>
      <c r="IJ2" s="77"/>
      <c r="IK2" s="77"/>
      <c r="IL2" s="48">
        <f>SUM(IC2:IK2)</f>
        <v>0</v>
      </c>
      <c r="IM2" s="45">
        <f>COUNTIF(IC2:IK2,"&gt;0")-CG2</f>
        <v>-3</v>
      </c>
      <c r="IN2" s="78" t="str">
        <f>"http://mkweb.bcgsc.ca/color-summarizer/?url="&amp;D2&amp;"&amp;precision=low&amp;num_clusters="&amp;CG2&amp;"&amp;text=1"</f>
        <v>http://mkweb.bcgsc.ca/color-summarizer/?url=https://i.ibb.co/vjJbmfZ/Cameroon-Flag.png&amp;precision=low&amp;num_clusters=3&amp;text=1</v>
      </c>
      <c r="IO2" s="48" t="str">
        <f>IF(HP2&lt;&gt;"",CHAR(34)&amp;"black"&amp;CHAR(34),"")</f>
        <v/>
      </c>
      <c r="IP2" s="48" t="str">
        <f>IF(HQ2&lt;&gt;"",CHAR(34)&amp;"blue"&amp;CHAR(34),"")</f>
        <v/>
      </c>
      <c r="IQ2" s="48" t="str">
        <f>IF(HR2&lt;&gt;"",CHAR(34)&amp;"green"&amp;CHAR(34),"")</f>
        <v>"green"</v>
      </c>
      <c r="IR2" s="48" t="str">
        <f>IF(HS2&lt;&gt;"",CHAR(34)&amp;"red"&amp;CHAR(34),"")</f>
        <v>"red"</v>
      </c>
      <c r="IS2" s="48" t="str">
        <f>IF(HT2&lt;&gt;"",CHAR(34)&amp;"yellow"&amp;CHAR(34),"")</f>
        <v>"yellow"</v>
      </c>
      <c r="IT2" s="48" t="str">
        <f>IF(HU2&lt;&gt;"",CHAR(34)&amp;"orange"&amp;CHAR(34),"")</f>
        <v/>
      </c>
      <c r="IU2" s="48" t="str">
        <f>IF(HV2&lt;&gt;"",CHAR(34)&amp;"brown"&amp;CHAR(34),"")</f>
        <v/>
      </c>
      <c r="IV2" s="48" t="str">
        <f>IF(HW2&lt;&gt;"",CHAR(34)&amp;"purple"&amp;CHAR(34),"")</f>
        <v/>
      </c>
      <c r="IW2" s="48" t="str">
        <f>IF(HX2&lt;&gt;"",CHAR(34)&amp;"white"&amp;CHAR(34),"")</f>
        <v/>
      </c>
      <c r="IX2" s="48" t="str">
        <f>"{"&amp;CHAR(34)&amp;"url"&amp;CHAR(34)&amp;":"&amp;CHAR(34)&amp;IN2&amp;CHAR(34)&amp;","&amp;CHAR(34)&amp;"name"&amp;CHAR(34)&amp;":"&amp;CHAR(34)&amp;A2&amp;CHAR(34)&amp;"},"</f>
        <v>{"url":"http://mkweb.bcgsc.ca/color-summarizer/?url=https://i.ibb.co/vjJbmfZ/Cameroon-Flag.png&amp;precision=low&amp;num_clusters=3&amp;text=1","name":"Cameroon"},</v>
      </c>
      <c r="IY2" s="48">
        <v>39</v>
      </c>
    </row>
    <row r="3" spans="1:259" s="48" customFormat="1" ht="38.4" customHeight="1" thickBot="1" x14ac:dyDescent="0.35">
      <c r="A3" s="79" t="s">
        <v>293</v>
      </c>
      <c r="B3" s="40" t="e" vm="19">
        <v>#VALUE!</v>
      </c>
      <c r="C3" s="41">
        <v>2</v>
      </c>
      <c r="D3" s="42" t="s">
        <v>294</v>
      </c>
      <c r="E3" s="43" t="s">
        <v>295</v>
      </c>
      <c r="F3" s="44" t="s">
        <v>163</v>
      </c>
      <c r="G3" s="45">
        <f>COUNTIF($A$1:$A$8406,A3)</f>
        <v>1</v>
      </c>
      <c r="H3" s="46"/>
      <c r="I3" s="47" t="s">
        <v>296</v>
      </c>
      <c r="J3" s="48" t="str">
        <f>""</f>
        <v/>
      </c>
      <c r="K3" s="49"/>
      <c r="L3" s="50"/>
      <c r="M3" s="50"/>
      <c r="N3" s="51" t="s">
        <v>180</v>
      </c>
      <c r="O3" s="52">
        <v>1999</v>
      </c>
      <c r="P3" s="53" t="s">
        <v>297</v>
      </c>
      <c r="Q3" s="54">
        <v>1</v>
      </c>
      <c r="R3" s="55" t="s">
        <v>180</v>
      </c>
      <c r="S3" s="56">
        <v>9</v>
      </c>
      <c r="T3" s="57" t="s">
        <v>164</v>
      </c>
      <c r="U3" s="58" t="s">
        <v>164</v>
      </c>
      <c r="V3" s="58" t="s">
        <v>167</v>
      </c>
      <c r="W3" s="58" t="s">
        <v>164</v>
      </c>
      <c r="X3" s="58" t="s">
        <v>167</v>
      </c>
      <c r="Y3" s="58" t="s">
        <v>167</v>
      </c>
      <c r="Z3" s="58" t="s">
        <v>164</v>
      </c>
      <c r="AA3" s="58" t="s">
        <v>167</v>
      </c>
      <c r="AB3" s="58" t="s">
        <v>164</v>
      </c>
      <c r="AC3" s="58" t="s">
        <v>164</v>
      </c>
      <c r="AD3" s="58" t="s">
        <v>164</v>
      </c>
      <c r="AE3" s="58" t="s">
        <v>164</v>
      </c>
      <c r="AF3" s="59" t="s">
        <v>164</v>
      </c>
      <c r="AG3" s="59" t="s">
        <v>167</v>
      </c>
      <c r="AH3" s="59" t="s">
        <v>164</v>
      </c>
      <c r="AI3" s="59" t="s">
        <v>167</v>
      </c>
      <c r="AJ3" s="59" t="s">
        <v>164</v>
      </c>
      <c r="AK3" s="59" t="s">
        <v>164</v>
      </c>
      <c r="AL3" s="59" t="s">
        <v>164</v>
      </c>
      <c r="AM3" s="59" t="s">
        <v>164</v>
      </c>
      <c r="AN3" s="59" t="s">
        <v>164</v>
      </c>
      <c r="AO3" s="59" t="s">
        <v>164</v>
      </c>
      <c r="AP3" s="59" t="s">
        <v>164</v>
      </c>
      <c r="AQ3" s="59" t="s">
        <v>164</v>
      </c>
      <c r="AR3" s="59" t="s">
        <v>164</v>
      </c>
      <c r="AS3" s="59" t="s">
        <v>164</v>
      </c>
      <c r="AT3" s="60">
        <v>13</v>
      </c>
      <c r="AU3" s="59" t="s">
        <v>298</v>
      </c>
      <c r="AV3" s="59" t="str">
        <f>IF(LEFT(A3,1)="[",LEFT(A3,5)&amp;AU3&amp;A3,"")</f>
        <v>[CMR]Territory[CMR] Ambazonia</v>
      </c>
      <c r="AW3" s="59" t="str">
        <f t="shared" ref="AW3:AW5" si="1">C3&amp;H3&amp;A3</f>
        <v>2[CMR] Ambazonia</v>
      </c>
      <c r="AX3" s="61"/>
      <c r="AY3" s="61"/>
      <c r="AZ3" s="62" t="s">
        <v>155</v>
      </c>
      <c r="BA3" s="62" t="s">
        <v>172</v>
      </c>
      <c r="BB3" s="62"/>
      <c r="BC3" s="63"/>
      <c r="BD3" s="64" t="s">
        <v>152</v>
      </c>
      <c r="BE3" s="47"/>
      <c r="BF3" s="64" t="s">
        <v>152</v>
      </c>
      <c r="BG3" s="64" t="s">
        <v>152</v>
      </c>
      <c r="BH3" s="64" t="s">
        <v>152</v>
      </c>
      <c r="BI3" s="64"/>
      <c r="BJ3" s="64"/>
      <c r="BK3" s="47"/>
      <c r="BL3" s="64" t="s">
        <v>151</v>
      </c>
      <c r="BM3" s="64" t="s">
        <v>152</v>
      </c>
      <c r="BN3" s="64" t="s">
        <v>153</v>
      </c>
      <c r="BO3" s="64" t="s">
        <v>172</v>
      </c>
      <c r="BP3" s="64" t="s">
        <v>155</v>
      </c>
      <c r="BQ3" s="64" t="s">
        <v>172</v>
      </c>
      <c r="BR3" s="64" t="s">
        <v>172</v>
      </c>
      <c r="BS3" s="64" t="s">
        <v>172</v>
      </c>
      <c r="BT3" s="64" t="s">
        <v>159</v>
      </c>
      <c r="BU3" s="65" t="s">
        <v>164</v>
      </c>
      <c r="BV3" s="66"/>
      <c r="BW3" s="66">
        <v>0</v>
      </c>
      <c r="BX3" s="47"/>
      <c r="CB3" s="6"/>
      <c r="CC3" s="6"/>
      <c r="CD3" s="67">
        <v>0</v>
      </c>
      <c r="CE3" s="67">
        <v>0</v>
      </c>
      <c r="CF3" s="67" t="e">
        <v>#REF!</v>
      </c>
      <c r="CG3" s="68" cm="1">
        <f t="array" ref="CG3">SUMPRODUCT(--(LEN(TRIM(BL3:BT3))&gt;0))</f>
        <v>5</v>
      </c>
      <c r="CH3" s="59" t="str">
        <f>IF(CG3=2,"y","n")</f>
        <v>n</v>
      </c>
      <c r="CI3" s="59" t="str">
        <f>IF(CG3=3,"y","n")</f>
        <v>n</v>
      </c>
      <c r="CJ3" s="59" t="str">
        <f>IF(CG3=4,"y","n")</f>
        <v>n</v>
      </c>
      <c r="CK3" s="59" t="str">
        <f>IF(CG3&gt;4,"y","n")</f>
        <v>y</v>
      </c>
      <c r="CL3" s="59" t="str">
        <f>IF(S3=0,"y","n")</f>
        <v>n</v>
      </c>
      <c r="CM3" s="59" t="str">
        <f>IF(S3=2,"y","n")</f>
        <v>n</v>
      </c>
      <c r="CN3" s="59" t="str">
        <f>IF(S3=3,"y","n")</f>
        <v>n</v>
      </c>
      <c r="CO3" s="59" t="str">
        <f>IF(S3&gt;=4,"y","n")</f>
        <v>y</v>
      </c>
      <c r="CP3" s="59" t="str">
        <f>IF(AT3=0,"y","n")</f>
        <v>n</v>
      </c>
      <c r="CQ3" s="59" t="str">
        <f>IF(AT3=1,"y","n")</f>
        <v>n</v>
      </c>
      <c r="CR3" s="59" t="str">
        <f>IF(AT3=2,"y","n")</f>
        <v>n</v>
      </c>
      <c r="CS3" s="59" t="str">
        <f>IF(AT3&gt;=3,"y","n")</f>
        <v>y</v>
      </c>
      <c r="CT3" s="69" t="str">
        <f>CHAR(34)&amp;A3&amp;CHAR(34)</f>
        <v>"[CMR] Ambazonia"</v>
      </c>
      <c r="CU3" s="70" t="str">
        <f>CHAR(34)&amp;"rgn_"&amp;R3&amp;CHAR(34)</f>
        <v>"rgn_Africa"</v>
      </c>
      <c r="CV3" s="48" t="str">
        <f>CHAR(34)&amp;D3&amp;CHAR(34)</f>
        <v>"https://upload.wikimedia.org/wikipedia/commons/thumb/d/d9/Flag_of_the_Federal_Republic_of_Southern_Cameroons.svg/640px-Flag_of_the_Federal_Republic_of_Southern_Cameroons.svg.png"</v>
      </c>
      <c r="CW3" s="48" t="str">
        <f>IF(CH3="y",CHAR(34)&amp;CH$1&amp;CHAR(34)&amp;",","")</f>
        <v/>
      </c>
      <c r="CX3" s="48" t="str">
        <f>IF(CI3="y",CHAR(34)&amp;CI$1&amp;CHAR(34)&amp;",","")</f>
        <v/>
      </c>
      <c r="CY3" s="48" t="str">
        <f>IF(CJ3="y",CHAR(34)&amp;CJ$1&amp;CHAR(34)&amp;",","")</f>
        <v/>
      </c>
      <c r="CZ3" s="48" t="str">
        <f>IF(CK3="y",CHAR(34)&amp;CK$1&amp;CHAR(34)&amp;",","")</f>
        <v>"5+Colo",</v>
      </c>
      <c r="DA3" s="48" t="str">
        <f>IF(Q3&gt;1,CHAR(34)&amp;"words2"&amp;CHAR(34)&amp;",","")</f>
        <v/>
      </c>
      <c r="DB3" s="48" t="str">
        <f>IF(Q3&gt;2,CHAR(34)&amp;"words3"&amp;CHAR(34)&amp;",","")</f>
        <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"lets09",</v>
      </c>
      <c r="DE3" s="48" t="str">
        <f>CHAR(34)&amp;"start"&amp;IFERROR(LEFT(SUBSTITUTE(A3,"["&amp;MID(A3,FIND("[",A3)+1,FIND("]",A3)-FIND("[",A3)-1)&amp;"] ",""),1),LEFT(A3,1))&amp;CHAR(34)&amp;","</f>
        <v>"startA",</v>
      </c>
      <c r="DF3" s="48" t="str">
        <f>IFERROR(IF(SEARCH("tan",A3)&gt;0,CHAR(34)&amp;"withtn"&amp;CHAR(34)&amp;",",""),"")</f>
        <v/>
      </c>
      <c r="DG3" s="48" t="str">
        <f>IFERROR(IF(SEARCH("q",A3)&gt;0,CHAR(34)&amp;"with_q"&amp;CHAR(34)&amp;",",""),"")</f>
        <v/>
      </c>
      <c r="DH3" s="48" t="str">
        <f>IFERROR(IF(SEARCH("v",A3)&gt;0,CHAR(34)&amp;"with_v"&amp;CHAR(34)&amp;",",""),"")</f>
        <v/>
      </c>
      <c r="DI3" s="48" t="str">
        <f>IFERROR(IF(SEARCH("w",A3)&gt;0,CHAR(34)&amp;"with_w"&amp;CHAR(34)&amp;",",""),"")</f>
        <v/>
      </c>
      <c r="DJ3" s="48" t="str">
        <f>IFERROR(IF(SEARCH("y",A3)&gt;0,CHAR(34)&amp;"with_y"&amp;CHAR(34)&amp;",",""),"")</f>
        <v/>
      </c>
      <c r="DK3" s="48" t="str">
        <f>IFERROR(IF(SEARCH("z",A3)&gt;0,CHAR(34)&amp;"with_z"&amp;CHAR(34)&amp;",",""),"")</f>
        <v>"with_z",</v>
      </c>
      <c r="DL3" s="48" t="str">
        <f>IF(CG3=2, CHAR(34) &amp; _xlfn.TEXTJOIN("", TRUE, _xlfn._xlws.SORT(HP3:HX3)) &amp; CHAR(34) &amp; ",", "")</f>
        <v/>
      </c>
      <c r="DM3" s="48" t="str" cm="1">
        <f t="array" ref="DM3">IF(CG3=3,CHAR(34) &amp; _xlfn.TEXTJOIN("", TRUE, RIGHT(HP3:HX3, 2)) &amp; CHAR(34) &amp; ",", "")</f>
        <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"year19",</v>
      </c>
      <c r="DP3" s="6" t="str">
        <f>IF(AND(ISNUMBER(SEARCH("20", O3)), ISERROR(SEARCH("1920", O3))), CHAR(34)&amp;"year00"&amp;CHAR(34)&amp;",", "")</f>
        <v/>
      </c>
      <c r="DQ3" s="6" t="str">
        <f>IF(CC3="y",CHAR(34)&amp;"soviet"&amp;CHAR(34)&amp;",","")</f>
        <v/>
      </c>
      <c r="DR3" s="6" t="str">
        <f>IF(BY3="y",CHAR(34)&amp;"dgband"&amp;CHAR(34)&amp;",","")</f>
        <v/>
      </c>
      <c r="DS3" s="6" t="str">
        <f>IF(W3="y",IF(AND(V3="n",BY3&lt;&gt;"y"),CHAR(34)&amp;"allver"&amp;CHAR(34)&amp;",",""),"")</f>
        <v/>
      </c>
      <c r="DT3" s="6" t="str">
        <f>IF(V3="y",IF(AND(W3="n",BY3&lt;&gt;"y"),CHAR(34)&amp;"allhor"&amp;CHAR(34)&amp;",",""),"")</f>
        <v>"allhor",</v>
      </c>
      <c r="DU3" s="6" t="str">
        <f>IF(BY3="y",IF(AND(W3="n",V3="n"),CHAR(34)&amp;"alldia"&amp;CHAR(34)&amp;",",""),"")</f>
        <v/>
      </c>
      <c r="DW3" s="48" t="str">
        <f>IF(CL3="y",CHAR(34)&amp;CL$1&amp;CHAR(34)&amp;",","")</f>
        <v/>
      </c>
      <c r="DX3" s="48" t="str">
        <f>IF(CM3="y",CHAR(34)&amp;CM$1&amp;CHAR(34)&amp;",","")</f>
        <v/>
      </c>
      <c r="DY3" s="48" t="str">
        <f>IF(CN3="y",CHAR(34)&amp;CN$1&amp;CHAR(34)&amp;",","")</f>
        <v/>
      </c>
      <c r="DZ3" s="48" t="str">
        <f>IF(CO3="y",CHAR(34)&amp;CO$1&amp;CHAR(34)&amp;",","")</f>
        <v>"4+Band",</v>
      </c>
      <c r="EA3" s="48" t="str">
        <f>IF(T3="y",CHAR(34)&amp;T$1&amp;CHAR(34)&amp;",","")</f>
        <v/>
      </c>
      <c r="EB3" s="48" t="str">
        <f>IF(U3="y",CHAR(34)&amp;U$1&amp;CHAR(34)&amp;",","")</f>
        <v/>
      </c>
      <c r="EC3" s="48" t="str">
        <f>IF(V3="y",CHAR(34)&amp;V$1&amp;CHAR(34)&amp;",","")</f>
        <v>"Horizo",</v>
      </c>
      <c r="ED3" s="48" t="str">
        <f>IF(W3="y",CHAR(34)&amp;W$1&amp;CHAR(34)&amp;",","")</f>
        <v/>
      </c>
      <c r="EE3" s="48" t="str">
        <f>IF(X3="y",CHAR(34)&amp;X$1&amp;CHAR(34)&amp;",","")</f>
        <v>"Circle",</v>
      </c>
      <c r="EF3" s="48" t="str">
        <f>IF(AND(Y3&lt;&gt;"n",Y3&lt;&gt;""),CHAR(34)&amp;Y$1&amp;CHAR(34)&amp;",","")</f>
        <v>"Animal",</v>
      </c>
      <c r="EG3" s="48" t="str">
        <f>IF(Z3="y",CHAR(34)&amp;Z$1&amp;CHAR(34)&amp;",","")</f>
        <v/>
      </c>
      <c r="EH3" s="48" t="str">
        <f>IF(AA3="y",CHAR(34)&amp;AA$1&amp;CHAR(34)&amp;",","")</f>
        <v>"Plants",</v>
      </c>
      <c r="EI3" s="48" t="str">
        <f>IF(AB3="y",CHAR(34)&amp;AB$1&amp;CHAR(34)&amp;",","")</f>
        <v/>
      </c>
      <c r="EJ3" s="48" t="str">
        <f>IF(AC3="y",CHAR(34)&amp;AC$1&amp;CHAR(34)&amp;",","")</f>
        <v/>
      </c>
      <c r="EK3" s="48" t="str">
        <f>IF(AD3="y",CHAR(34)&amp;AD$1&amp;CHAR(34)&amp;",","")</f>
        <v/>
      </c>
      <c r="EL3" s="48" t="str">
        <f>IF(AE3="y",CHAR(34)&amp;AE$1&amp;CHAR(34)&amp;",","")</f>
        <v/>
      </c>
      <c r="EM3" s="48" t="str">
        <f>IF(AF3="y",CHAR(34)&amp;AF$1&amp;CHAR(34)&amp;",","")</f>
        <v/>
      </c>
      <c r="EN3" s="48" t="str">
        <f>IF(AG3="y",CHAR(34)&amp;AG$1&amp;CHAR(34)&amp;",","")</f>
        <v>"Unequa",</v>
      </c>
      <c r="EO3" s="48" t="str">
        <f>IF(AH3="y",CHAR(34)&amp;AH$1&amp;CHAR(34)&amp;",","")</f>
        <v/>
      </c>
      <c r="EP3" s="48" t="str">
        <f>IF(AI3="y",CHAR(34)&amp;AI$1&amp;CHAR(34)&amp;",","")</f>
        <v>"Canton",</v>
      </c>
      <c r="EQ3" s="48" t="str">
        <f>IF(AJ3="y",CHAR(34)&amp;AJ$1&amp;CHAR(34)&amp;",","")</f>
        <v/>
      </c>
      <c r="ER3" s="48" t="str">
        <f>IF(AK3="y",CHAR(34)&amp;AK$1&amp;CHAR(34)&amp;",","")</f>
        <v/>
      </c>
      <c r="ES3" s="48" t="str">
        <f>IF(AL3="y",CHAR(34)&amp;AL$1&amp;CHAR(34)&amp;",","")</f>
        <v/>
      </c>
      <c r="ET3" s="48" t="str">
        <f>IF(AM3="y",CHAR(34)&amp;AM$1&amp;CHAR(34)&amp;",","")</f>
        <v/>
      </c>
      <c r="EU3" s="48" t="str">
        <f>IF(AN3="y",CHAR(34)&amp;AN$1&amp;CHAR(34)&amp;",","")</f>
        <v/>
      </c>
      <c r="EV3" s="48" t="str">
        <f>IF(AO3="y",CHAR(34)&amp;AO$1&amp;CHAR(34)&amp;",","")</f>
        <v/>
      </c>
      <c r="EW3" s="48" t="str">
        <f>IF(AP3="y",CHAR(34)&amp;AP$1&amp;CHAR(34)&amp;",","")</f>
        <v/>
      </c>
      <c r="EX3" s="48" t="str">
        <f>IF(AQ3="y",CHAR(34)&amp;AQ$1&amp;CHAR(34)&amp;",","")</f>
        <v/>
      </c>
      <c r="EY3" s="48" t="str">
        <f>IF(AR3="y",CHAR(34)&amp;AR$1&amp;CHAR(34)&amp;",","")</f>
        <v/>
      </c>
      <c r="EZ3" s="48" t="str">
        <f>IF(AS3="y",CHAR(34)&amp;AS$1&amp;CHAR(34)&amp;",","")</f>
        <v/>
      </c>
      <c r="FA3" s="48" t="str">
        <f>IF(AT3&gt;0,CHAR(34)&amp;"sta"&amp;AZ3&amp;CHAR(34)&amp;",","")</f>
        <v>"staYEL",</v>
      </c>
      <c r="FB3" s="48" t="str">
        <f>IF(AND(AT3&gt;0,BA3&lt;&gt;""),CHAR(34)&amp;"sta"&amp;BA3&amp;CHAR(34)&amp;",","")</f>
        <v/>
      </c>
      <c r="FD3" s="48" t="str">
        <f>IF(BV3="n",CHAR(34)&amp;"tcWHYE"&amp;CHAR(34)&amp;",",IF(BV3="y",CHAR(34)&amp;FD$1&amp;CHAR(34)&amp;",",""))</f>
        <v/>
      </c>
      <c r="FE3" s="48" t="str">
        <f>IF(COUNTIF(BL3:BT3,"BLU")=0,CHAR(34)&amp;"NO_BLU"&amp;CHAR(34)&amp;",", "")</f>
        <v/>
      </c>
      <c r="FF3" s="48" t="str">
        <f>IF(COUNTIF(BL3:BT3,"WHI")=0,CHAR(34)&amp;"NO_WHI"&amp;CHAR(34)&amp;",", "")</f>
        <v/>
      </c>
      <c r="FG3" s="48" t="str">
        <f>IF(COUNTIF(BL3:BT3,"RED")=0,CHAR(34)&amp;"NO_RED"&amp;CHAR(34)&amp;",", "")</f>
        <v>"NO_RED",</v>
      </c>
      <c r="FH3" s="48" t="str">
        <f>IF(COUNTIF(BL3:BS3,"GRE")=0,CHAR(34)&amp;"NO_GRE"&amp;CHAR(34)&amp;",", "")</f>
        <v/>
      </c>
      <c r="FI3" s="48" t="str">
        <f>IF(COUNTIF(BL3:BT3,"YEL")=0,CHAR(34)&amp;"NO_YEL"&amp;CHAR(34)&amp;",", "")</f>
        <v/>
      </c>
      <c r="FJ3" s="48" t="str">
        <f>IF(COUNTIF(BL3:BT3,"BLA")=0,CHAR(34)&amp;"NO_BLA"&amp;CHAR(34)&amp;",", "")</f>
        <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
      </c>
      <c r="FQ3" s="48" t="str">
        <f>IF(LEN(BF3)=3,CHAR(34)&amp;"001"&amp;BF3&amp;CHAR(34)&amp;",","")</f>
        <v>"001BLU",</v>
      </c>
      <c r="FR3" s="48" t="str">
        <f>IF(LEN(BG3)=3,CHAR(34)&amp;"002"&amp;BG3&amp;CHAR(34)&amp;",","")</f>
        <v>"002BLU",</v>
      </c>
      <c r="FS3" s="48" t="str">
        <f>IF(LEN(BH3)=3,CHAR(34)&amp;"003"&amp;BH3&amp;CHAR(34)&amp;",","")</f>
        <v>"003BLU",</v>
      </c>
      <c r="FT3" s="48" t="str">
        <f>CHAR(34)&amp;"myr"&amp;BD3&amp;CHAR(34)&amp;","</f>
        <v>"myrBLU",</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
      </c>
      <c r="GG3" s="48" t="str">
        <f>IF(BU3="y",CHAR(34)&amp;"unjack"&amp;CHAR(34)&amp;",","")</f>
        <v/>
      </c>
      <c r="GH3" s="48" t="str">
        <f>IF(CD3=1,CHAR(34)&amp;"southc"&amp;CHAR(34)&amp;",","")</f>
        <v/>
      </c>
      <c r="GI3" s="48" t="str">
        <f>IF(CE3=1,CHAR(34)&amp;"hasmap"&amp;CHAR(34)&amp;",","")</f>
        <v/>
      </c>
      <c r="GJ3" s="48" t="str">
        <f>IF(CP3="y",CHAR(34)&amp;CP$1&amp;CHAR(34)&amp;",","")</f>
        <v/>
      </c>
      <c r="GK3" s="48" t="str">
        <f>IF(GJ3="",CHAR(34)&amp;"HasSta"&amp;CHAR(34)&amp;",","")</f>
        <v>"HasSta",</v>
      </c>
      <c r="GL3" s="48" t="str">
        <f>IF(CQ3="y",CHAR(34)&amp;CQ$1&amp;CHAR(34)&amp;",","")</f>
        <v/>
      </c>
      <c r="GM3" s="48" t="str">
        <f>IF(CR3="y",CHAR(34)&amp;CR$1&amp;CHAR(34)&amp;",","")</f>
        <v/>
      </c>
      <c r="GN3" s="48" t="str">
        <f>IF(CS3="y",CHAR(34)&amp;CS$1&amp;CHAR(34)&amp;",","")</f>
        <v>"3+Star",</v>
      </c>
      <c r="GP3" s="48" t="str">
        <f>CHAR(34)&amp;AU3&amp;CHAR(34)</f>
        <v>"Territory"</v>
      </c>
      <c r="GS3" s="48" t="str">
        <f>SUBSTITUTE("["&amp;_xlfn.CONCAT(CW3:GN3)&amp;"]",",]","]")</f>
        <v>["5+Colo","lets09","startA","with_z","year19","allhor","4+Band","Horizo","Circle","Animal","Plants","Unequa","Canton","staYEL","NO_RED","001BLU","002BLU","003BLU","myrBLU","HasSta","3+Star"]</v>
      </c>
      <c r="GT3" s="48" t="str">
        <f>IF(BL3&lt;&gt;"",CHAR(34)&amp;"cl_"&amp;BL3&amp;CHAR(34)&amp;",","")</f>
        <v>"cl_BLA",</v>
      </c>
      <c r="GU3" s="48" t="str">
        <f>IF(BM3&lt;&gt;"",CHAR(34)&amp;"cl_"&amp;BM3&amp;CHAR(34)&amp;",","")</f>
        <v>"cl_BLU",</v>
      </c>
      <c r="GV3" s="48" t="str">
        <f>IF(BN3&lt;&gt;"",CHAR(34)&amp;"cl_"&amp;BN3&amp;CHAR(34)&amp;",","")</f>
        <v>"cl_GRE",</v>
      </c>
      <c r="GW3" s="48" t="str">
        <f>IF(BO3&lt;&gt;"",CHAR(34)&amp;"cl_"&amp;BO3&amp;CHAR(34)&amp;",","")</f>
        <v/>
      </c>
      <c r="GX3" s="48" t="str">
        <f>IF(BP3&lt;&gt;"",CHAR(34)&amp;"cl_"&amp;BP3&amp;CHAR(34)&amp;",","")</f>
        <v>"cl_YEL",</v>
      </c>
      <c r="GY3" s="48" t="str">
        <f>IF(BQ3&lt;&gt;"",CHAR(34)&amp;"cl_"&amp;BQ3&amp;CHAR(34)&amp;",","")</f>
        <v/>
      </c>
      <c r="GZ3" s="48" t="str">
        <f>IF(BR3&lt;&gt;"",CHAR(34)&amp;"cl_"&amp;BR3&amp;CHAR(34)&amp;",","")</f>
        <v/>
      </c>
      <c r="HA3" s="48" t="str">
        <f>IF(BS3&lt;&gt;"",CHAR(34)&amp;"cl_"&amp;BS3&amp;CHAR(34)&amp;",","")</f>
        <v/>
      </c>
      <c r="HB3" s="48" t="str">
        <f>IF(BT3&lt;&gt;"",CHAR(34)&amp;"cl_"&amp;BT3&amp;CHAR(34)&amp;",","")</f>
        <v>"cl_WHI",</v>
      </c>
      <c r="HC3" s="48" t="str">
        <f>SUBSTITUTE("["&amp;_xlfn.CONCAT(GT3:HB3)&amp;"]",",]","]")</f>
        <v>["cl_BLA","cl_BLU","cl_GRE","cl_YEL","cl_WHI"]</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{couname:"[CMR] Ambazonia",year:"1999",region:"rgn_Africa",Colors:["cl_BLA","cl_BLU","cl_GRE","cl_YEL","cl_WHI"],Items:["5+Colo","lets09","startA","with_z","year19","allhor","4+Band","Horizo","Circle","Animal","Plants","Unequa","Canton","staYEL","NO_RED","001BLU","002BLU","003BLU","myrBLU","HasSta","3+Star"],Flag:"https://upload.wikimedia.org/wikipedia/commons/thumb/d/d9/Flag_of_the_Federal_Republic_of_Southern_Cameroons.svg/640px-Flag_of_the_Federal_Republic_of_Southern_Cameroons.svg.png",HDFlag:"https://upload.wikimedia.org/wikipedia/commons/thumb/d/d9/Flag_of_the_Federal_Republic_of_Southern_Cameroons.svg/2560px-Flag_of_the_Federal_Republic_of_Southern_Cameroons.svg.png",type:"Territory", describe: "\n9 alternating blue and white stripes with a blue canton, a dove with an olive branch in its mouth and a circle of stars around it.", isnew:".", links: "https://en.wikipedia.org/wiki/Flag_of_Ambazonia"},</v>
      </c>
      <c r="HG3" s="73" t="str">
        <f>"{couname:"&amp;CT3&amp;(IF(HK3&lt;&gt;"",",subtype:"&amp;CHAR(34)&amp;HK3&amp;CHAR(34),""))&amp;",year:"&amp;HJ3&amp;",region:"&amp;CU3&amp;",Colors:"&amp;HC3&amp;",Items:"&amp;GS3&amp;",Flag:"&amp;CV3&amp;",HDFlag:"&amp;CHAR(34)&amp;E3&amp;CHAR(34)&amp;",type:"&amp;GP3&amp;", describe: "&amp;HI3&amp;", links: "&amp;HL3&amp;"},"</f>
        <v>{couname:"[CMR] Ambazonia",year:"1999",region:"rgn_Africa",Colors:["cl_BLA","cl_BLU","cl_GRE","cl_YEL","cl_WHI"],Items:["5+Colo","lets09","startA","with_z","year19","allhor","4+Band","Horizo","Circle","Animal","Plants","Unequa","Canton","staYEL","NO_RED","001BLU","002BLU","003BLU","myrBLU","HasSta","3+Star"],Flag:"https://upload.wikimedia.org/wikipedia/commons/thumb/d/d9/Flag_of_the_Federal_Republic_of_Southern_Cameroons.svg/640px-Flag_of_the_Federal_Republic_of_Southern_Cameroons.svg.png",HDFlag:"https://upload.wikimedia.org/wikipedia/commons/thumb/d/d9/Flag_of_the_Federal_Republic_of_Southern_Cameroons.svg/2560px-Flag_of_the_Federal_Republic_of_Southern_Cameroons.svg.png",type:"Territory", describe: "\n9 alternating blue and white stripes with a blue canton, a dove with an olive branch in its mouth and a circle of stars around it.", links: "https://en.wikipedia.org/wiki/Flag_of_Ambazonia"},</v>
      </c>
      <c r="HH3" s="48" t="str">
        <f>IF(P3&lt;&gt;"",CHAR(34)&amp;"\n"&amp;P3&amp;CHAR(34),CHAR(34)&amp;CHAR(34))</f>
        <v>"\n9 alternating blue and white stripes with a blue canton, a dove with an olive branch in its mouth and a circle of stars around it."</v>
      </c>
      <c r="HI3" s="48" t="str">
        <f>IF(J3=0,CHAR(34)&amp;CHAR(34),HH3)</f>
        <v>"\n9 alternating blue and white stripes with a blue canton, a dove with an olive branch in its mouth and a circle of stars around it."</v>
      </c>
      <c r="HJ3" s="48" t="str">
        <f>CHAR(34)&amp;O3&amp;CHAR(34)</f>
        <v>"1999"</v>
      </c>
      <c r="HL3" s="48" t="str">
        <f>CHAR(34)&amp;I3&amp;CHAR(34)</f>
        <v>"https://en.wikipedia.org/wiki/Flag_of_Ambazonia"</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{"couname":"[CMR] Ambazonia","year":"1999","region":"rgn_Africa","Colors":["cl_BLA","cl_BLU","cl_GRE","cl_YEL","cl_WHI"],"Items":["5+Colo","lets09","startA","with_z","year19","allhor","4+Band","Horizo","Circle","Animal","Plants","Unequa","Canton","staYEL","NO_RED","001BLU","002BLU","003BLU","myrBLU","HasSta","3+Star"],"Flag":"https://upload.wikimedia.org/wikipedia/commons/thumb/d/d9/Flag_of_the_Federal_Republic_of_Southern_Cameroons.svg/640px-Flag_of_the_Federal_Republic_of_Southern_Cameroons.svg.png","HDFlag":"https://upload.wikimedia.org/wikipedia/commons/thumb/d/d9/Flag_of_the_Federal_Republic_of_Southern_Cameroons.svg/2560px-Flag_of_the_Federal_Republic_of_Southern_Cameroons.svg.png","type":"Territory", "describe": "\n9 alternating blue and white stripes with a blue canton, a dove with an olive branch in its mouth and a circle of stars around it.", "isnew": ".", "links": "https://en.wikipedia.org/wiki/Flag_of_Ambazonia"},</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{"couname":"[CMR] Ambazonia","year":"1999","region":"rgn_Africa","Colors":["cl_BLA","cl_BLU","cl_GRE","cl_YEL","cl_WHI"],"Items":["5+Colo","lets09","startA","with_z","year19","allhor","4+Band","Horizo","Circle","Animal","Plants","Unequa","Canton","staYEL","NO_RED","001BLU","002BLU","003BLU","myrBLU","HasSta","3+Star"],"Flag":"https://upload.wikimedia.org/wikipedia/commons/thumb/d/d9/Flag_of_the_Federal_Republic_of_Southern_Cameroons.svg/640px-Flag_of_the_Federal_Republic_of_Southern_Cameroons.svg.png","HDFlag":"https://upload.wikimedia.org/wikipedia/commons/thumb/d/d9/Flag_of_the_Federal_Republic_of_Southern_Cameroons.svg/2560px-Flag_of_the_Federal_Republic_of_Southern_Cameroons.svg.png","type":"Territory", "describe": "\n9 alternating blue and white stripes with a blue canton, a dove with an olive branch in its mouth and a circle of stars around it.", "isnew": ".", "links": "https://en.wikipedia.org/wiki/Flag_of_Ambazonia"},</v>
      </c>
      <c r="HO3" s="75">
        <v>45644</v>
      </c>
      <c r="HP3" s="48" t="str" cm="1">
        <f t="array" ref="HP3">IF(_xlfn.TEXTJOIN(", ", TRUE, IF(ISNUMBER(SEARCH("BLA", BL3:BT3)), COLUMN(BL3:BT3) - COLUMN(BL3) + 1, ""))&lt;&gt;"","BLA","")</f>
        <v>BLA</v>
      </c>
      <c r="HQ3" s="48" t="str" cm="1">
        <f t="array" ref="HQ3">IF(_xlfn.TEXTJOIN(", ", TRUE, IF(ISNUMBER(SEARCH("BLU", BL3:BT3)), COLUMN(BL3:BT3) - COLUMN(BL3) + 1, ""))&lt;&gt;"","BLU","")</f>
        <v>BLU</v>
      </c>
      <c r="HR3" s="48" t="str" cm="1">
        <f t="array" ref="HR3">IF(_xlfn.TEXTJOIN(", ", TRUE, IF(ISNUMBER(SEARCH("GRE", BL3:BT3)), COLUMN(BL3:BT3) - COLUMN(BL3) + 1, ""))&lt;&gt;"","GRE","")</f>
        <v>GRE</v>
      </c>
      <c r="HS3" s="48" t="str" cm="1">
        <f t="array" ref="HS3">IF(_xlfn.TEXTJOIN(", ", TRUE, IF(ISNUMBER(SEARCH("RED", BL3:BT3)), COLUMN(BL3:BT3) - COLUMN(BL3) + 1, ""))&lt;&gt;"","RED","")</f>
        <v/>
      </c>
      <c r="HT3" s="48" t="str" cm="1">
        <f t="array" ref="HT3">IF(_xlfn.TEXTJOIN(", ", TRUE, IF(ISNUMBER(SEARCH("YEL", BL3:BT3)), COLUMN(BL3:BT3) - COLUMN(BL3) + 1, ""))&lt;&gt;"","YEL","")</f>
        <v>YEL</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M3" s="45">
        <f>COUNTIF(IC3:IK3,"&gt;0")-CG3</f>
        <v>-5</v>
      </c>
      <c r="IN3" s="78" t="str">
        <f>"http://mkweb.bcgsc.ca/color-summarizer/?url="&amp;D3&amp;"&amp;precision=low&amp;num_clusters="&amp;CG3&amp;"&amp;text=1"</f>
        <v>http://mkweb.bcgsc.ca/color-summarizer/?url=https://upload.wikimedia.org/wikipedia/commons/thumb/d/d9/Flag_of_the_Federal_Republic_of_Southern_Cameroons.svg/640px-Flag_of_the_Federal_Republic_of_Southern_Cameroons.svg.png&amp;precision=low&amp;num_clusters=5&amp;text=1</v>
      </c>
      <c r="IO3" s="48" t="str">
        <f>IF(HP3&lt;&gt;"",CHAR(34)&amp;"black"&amp;CHAR(34),"")</f>
        <v>"black"</v>
      </c>
      <c r="IP3" s="48" t="str">
        <f>IF(HQ3&lt;&gt;"",CHAR(34)&amp;"blue"&amp;CHAR(34),"")</f>
        <v>"blue"</v>
      </c>
      <c r="IQ3" s="48" t="str">
        <f>IF(HR3&lt;&gt;"",CHAR(34)&amp;"green"&amp;CHAR(34),"")</f>
        <v>"green"</v>
      </c>
      <c r="IR3" s="48" t="str">
        <f>IF(HS3&lt;&gt;"",CHAR(34)&amp;"red"&amp;CHAR(34),"")</f>
        <v/>
      </c>
      <c r="IS3" s="48" t="str">
        <f>IF(HT3&lt;&gt;"",CHAR(34)&amp;"yellow"&amp;CHAR(34),"")</f>
        <v>"yellow"</v>
      </c>
      <c r="IT3" s="48" t="str">
        <f>IF(HU3&lt;&gt;"",CHAR(34)&amp;"orange"&amp;CHAR(34),"")</f>
        <v/>
      </c>
      <c r="IU3" s="48" t="str">
        <f>IF(HV3&lt;&gt;"",CHAR(34)&amp;"brown"&amp;CHAR(34),"")</f>
        <v/>
      </c>
      <c r="IV3" s="48" t="str">
        <f>IF(HW3&lt;&gt;"",CHAR(34)&amp;"purple"&amp;CHAR(34),"")</f>
        <v/>
      </c>
      <c r="IW3" s="48" t="str">
        <f>IF(HX3&lt;&gt;"",CHAR(34)&amp;"white"&amp;CHAR(34),"")</f>
        <v>"white"</v>
      </c>
      <c r="IX3" s="48" t="str">
        <f>"{"&amp;CHAR(34)&amp;"url"&amp;CHAR(34)&amp;":"&amp;CHAR(34)&amp;IN3&amp;CHAR(34)&amp;","&amp;CHAR(34)&amp;"name"&amp;CHAR(34)&amp;":"&amp;CHAR(34)&amp;A3&amp;CHAR(34)&amp;"},"</f>
        <v>{"url":"http://mkweb.bcgsc.ca/color-summarizer/?url=https://upload.wikimedia.org/wikipedia/commons/thumb/d/d9/Flag_of_the_Federal_Republic_of_Southern_Cameroons.svg/640px-Flag_of_the_Federal_Republic_of_Southern_Cameroons.svg.png&amp;precision=low&amp;num_clusters=5&amp;text=1","name":"[CMR] Ambazonia"},</v>
      </c>
      <c r="IY3" s="48">
        <v>1503</v>
      </c>
    </row>
    <row r="4" spans="1:259" s="48" customFormat="1" ht="38.4" customHeight="1" thickBot="1" x14ac:dyDescent="0.35">
      <c r="A4" s="80" t="s">
        <v>299</v>
      </c>
      <c r="B4" s="40" t="e" vm="20">
        <v>#VALUE!</v>
      </c>
      <c r="C4" s="41" t="s">
        <v>173</v>
      </c>
      <c r="D4" s="42" t="s">
        <v>300</v>
      </c>
      <c r="E4" s="43" t="s">
        <v>301</v>
      </c>
      <c r="F4" s="44" t="s">
        <v>163</v>
      </c>
      <c r="G4" s="45">
        <f>COUNTIF($A$1:$A$8406,A4)</f>
        <v>1</v>
      </c>
      <c r="H4" s="46" t="s">
        <v>315</v>
      </c>
      <c r="I4" s="47" t="s">
        <v>302</v>
      </c>
      <c r="J4" s="48" t="str">
        <f>""</f>
        <v/>
      </c>
      <c r="K4" s="49"/>
      <c r="L4" s="50"/>
      <c r="M4" s="50"/>
      <c r="N4" s="51" t="s">
        <v>180</v>
      </c>
      <c r="O4" s="52">
        <v>1960</v>
      </c>
      <c r="P4" s="53" t="s">
        <v>303</v>
      </c>
      <c r="Q4" s="54">
        <v>2</v>
      </c>
      <c r="R4" s="55" t="s">
        <v>180</v>
      </c>
      <c r="S4" s="56">
        <v>3</v>
      </c>
      <c r="T4" s="57" t="s">
        <v>164</v>
      </c>
      <c r="U4" s="58" t="s">
        <v>164</v>
      </c>
      <c r="V4" s="58" t="s">
        <v>164</v>
      </c>
      <c r="W4" s="58" t="s">
        <v>167</v>
      </c>
      <c r="X4" s="58" t="s">
        <v>164</v>
      </c>
      <c r="Y4" s="58" t="s">
        <v>164</v>
      </c>
      <c r="Z4" s="58" t="s">
        <v>164</v>
      </c>
      <c r="AA4" s="58" t="s">
        <v>164</v>
      </c>
      <c r="AB4" s="58" t="s">
        <v>164</v>
      </c>
      <c r="AC4" s="58" t="s">
        <v>164</v>
      </c>
      <c r="AD4" s="58" t="s">
        <v>164</v>
      </c>
      <c r="AE4" s="58" t="s">
        <v>164</v>
      </c>
      <c r="AF4" s="59" t="s">
        <v>164</v>
      </c>
      <c r="AG4" s="59" t="s">
        <v>167</v>
      </c>
      <c r="AH4" s="59" t="s">
        <v>164</v>
      </c>
      <c r="AI4" s="59" t="s">
        <v>164</v>
      </c>
      <c r="AJ4" s="59" t="s">
        <v>164</v>
      </c>
      <c r="AK4" s="59" t="s">
        <v>167</v>
      </c>
      <c r="AL4" s="59" t="s">
        <v>164</v>
      </c>
      <c r="AM4" s="59" t="s">
        <v>164</v>
      </c>
      <c r="AN4" s="59" t="s">
        <v>164</v>
      </c>
      <c r="AO4" s="59" t="s">
        <v>164</v>
      </c>
      <c r="AP4" s="59" t="s">
        <v>164</v>
      </c>
      <c r="AQ4" s="59" t="s">
        <v>164</v>
      </c>
      <c r="AR4" s="59" t="s">
        <v>164</v>
      </c>
      <c r="AS4" s="59" t="s">
        <v>164</v>
      </c>
      <c r="AT4" s="60">
        <v>0</v>
      </c>
      <c r="AU4" s="59" t="s">
        <v>174</v>
      </c>
      <c r="AV4" s="59" t="str">
        <f>IF(LEFT(A4,1)="[",LEFT(A4,5)&amp;AU4&amp;A4,"")</f>
        <v>[CMR]Historical[CMR] Cameroon (1960–1961)</v>
      </c>
      <c r="AW4" s="59" t="str">
        <f t="shared" si="1"/>
        <v>3b[CMR] Other[CMR] Cameroon (1960–1961)</v>
      </c>
      <c r="AX4" s="61"/>
      <c r="AY4" s="61"/>
      <c r="AZ4" s="62" t="s">
        <v>172</v>
      </c>
      <c r="BA4" s="62" t="s">
        <v>172</v>
      </c>
      <c r="BB4" s="62"/>
      <c r="BC4" s="63"/>
      <c r="BD4" s="64" t="s">
        <v>169</v>
      </c>
      <c r="BE4" s="47"/>
      <c r="BF4" s="64" t="s">
        <v>153</v>
      </c>
      <c r="BG4" s="64" t="s">
        <v>154</v>
      </c>
      <c r="BH4" s="64" t="s">
        <v>155</v>
      </c>
      <c r="BI4" s="64"/>
      <c r="BJ4" s="64"/>
      <c r="BK4" s="47"/>
      <c r="BL4" s="64" t="s">
        <v>172</v>
      </c>
      <c r="BM4" s="64" t="s">
        <v>172</v>
      </c>
      <c r="BN4" s="64" t="s">
        <v>153</v>
      </c>
      <c r="BO4" s="64" t="s">
        <v>154</v>
      </c>
      <c r="BP4" s="64" t="s">
        <v>155</v>
      </c>
      <c r="BQ4" s="64" t="s">
        <v>172</v>
      </c>
      <c r="BR4" s="64" t="s">
        <v>172</v>
      </c>
      <c r="BS4" s="64" t="s">
        <v>172</v>
      </c>
      <c r="BT4" s="64" t="s">
        <v>172</v>
      </c>
      <c r="BU4" s="65"/>
      <c r="BV4" s="66"/>
      <c r="BW4" s="66">
        <v>0</v>
      </c>
      <c r="BX4" s="47"/>
      <c r="CB4" s="6"/>
      <c r="CC4" s="6"/>
      <c r="CD4" s="67">
        <v>0</v>
      </c>
      <c r="CE4" s="67">
        <v>0</v>
      </c>
      <c r="CF4" s="67" t="e">
        <v>#REF!</v>
      </c>
      <c r="CG4" s="68" cm="1">
        <f t="array" ref="CG4">SUMPRODUCT(--(LEN(TRIM(BL4:BT4))&gt;0))</f>
        <v>3</v>
      </c>
      <c r="CH4" s="59" t="str">
        <f>IF(CG4=2,"y","n")</f>
        <v>n</v>
      </c>
      <c r="CI4" s="59" t="str">
        <f>IF(CG4=3,"y","n")</f>
        <v>y</v>
      </c>
      <c r="CJ4" s="59" t="str">
        <f>IF(CG4=4,"y","n")</f>
        <v>n</v>
      </c>
      <c r="CK4" s="59" t="str">
        <f>IF(CG4&gt;4,"y","n")</f>
        <v>n</v>
      </c>
      <c r="CL4" s="59" t="str">
        <f>IF(S4=0,"y","n")</f>
        <v>n</v>
      </c>
      <c r="CM4" s="59" t="str">
        <f>IF(S4=2,"y","n")</f>
        <v>n</v>
      </c>
      <c r="CN4" s="59" t="str">
        <f>IF(S4=3,"y","n")</f>
        <v>y</v>
      </c>
      <c r="CO4" s="59" t="str">
        <f>IF(S4&gt;=4,"y","n")</f>
        <v>n</v>
      </c>
      <c r="CP4" s="59" t="str">
        <f>IF(AT4=0,"y","n")</f>
        <v>y</v>
      </c>
      <c r="CQ4" s="59" t="str">
        <f>IF(AT4=1,"y","n")</f>
        <v>n</v>
      </c>
      <c r="CR4" s="59" t="str">
        <f>IF(AT4=2,"y","n")</f>
        <v>n</v>
      </c>
      <c r="CS4" s="59" t="str">
        <f>IF(AT4&gt;=3,"y","n")</f>
        <v>n</v>
      </c>
      <c r="CT4" s="69" t="str">
        <f>CHAR(34)&amp;A4&amp;CHAR(34)</f>
        <v>"[CMR] Cameroon (1960–1961)"</v>
      </c>
      <c r="CU4" s="70" t="str">
        <f>CHAR(34)&amp;"rgn_"&amp;R4&amp;CHAR(34)</f>
        <v>"rgn_Africa"</v>
      </c>
      <c r="CV4" s="48" t="str">
        <f>CHAR(34)&amp;D4&amp;CHAR(34)</f>
        <v>"https://upload.wikimedia.org/wikipedia/commons/thumb/9/90/Flag_of_Cameroon_%281957%E2%80%931961%29.svg/640px-Flag_of_Cameroon_%281957%E2%80%931961%29.svg.png"</v>
      </c>
      <c r="CW4" s="48" t="str">
        <f>IF(CH4="y",CHAR(34)&amp;CH$1&amp;CHAR(34)&amp;",","")</f>
        <v/>
      </c>
      <c r="CX4" s="48" t="str">
        <f>IF(CI4="y",CHAR(34)&amp;CI$1&amp;CHAR(34)&amp;",","")</f>
        <v>"3Color",</v>
      </c>
      <c r="CY4" s="48" t="str">
        <f>IF(CJ4="y",CHAR(34)&amp;CJ$1&amp;CHAR(34)&amp;",","")</f>
        <v/>
      </c>
      <c r="CZ4" s="48" t="str">
        <f>IF(CK4="y",CHAR(34)&amp;CK$1&amp;CHAR(34)&amp;",","")</f>
        <v/>
      </c>
      <c r="DA4" s="48" t="str">
        <f>IF(Q4&gt;1,CHAR(34)&amp;"words2"&amp;CHAR(34)&amp;",","")</f>
        <v>"words2",</v>
      </c>
      <c r="DB4" s="48" t="str">
        <f>IF(Q4&gt;2,CHAR(34)&amp;"words3"&amp;CHAR(34)&amp;",","")</f>
        <v/>
      </c>
      <c r="DD4" s="48" t="str">
        <f>IF(LEN(CHAR(34)&amp;"lets"&amp;LEN(SUBSTITUTE(SUBSTITUTE(IFERROR(TRIM(SUBSTITUTE(A4,MID(A4,FIND("[",A4),FIND("]",A4)-FIND("[",A4)+1),"")),A4)," ",""),"-",""))&amp;CHAR(34)&amp;",")=9,CHAR(34)&amp;"lets"&amp;LEN(SUBSTITUTE(SUBSTITUTE(IFERROR(TRIM(SUBSTITUTE(A4,MID(A4,FIND("[",A4),FIND("]",A4)-FIND("[",A4)+1),"")),A4)," ",""),"-",""))&amp;CHAR(34)&amp;",",CHAR(34)&amp;"lets0"&amp;LEN(SUBSTITUTE(SUBSTITUTE(IFERROR(TRIM(SUBSTITUTE(A4,MID(A4,FIND("[",A4),FIND("]",A4)-FIND("[",A4)+1),"")),A4)," ",""),"-",""))&amp;CHAR(34)&amp;",")</f>
        <v>"lets19",</v>
      </c>
      <c r="DE4" s="48" t="str">
        <f>CHAR(34)&amp;"start"&amp;IFERROR(LEFT(SUBSTITUTE(A4,"["&amp;MID(A4,FIND("[",A4)+1,FIND("]",A4)-FIND("[",A4)-1)&amp;"] ",""),1),LEFT(A4,1))&amp;CHAR(34)&amp;","</f>
        <v>"startC",</v>
      </c>
      <c r="DF4" s="48" t="str">
        <f>IFERROR(IF(SEARCH("tan",A4)&gt;0,CHAR(34)&amp;"withtn"&amp;CHAR(34)&amp;",",""),"")</f>
        <v/>
      </c>
      <c r="DG4" s="48" t="str">
        <f>IFERROR(IF(SEARCH("q",A4)&gt;0,CHAR(34)&amp;"with_q"&amp;CHAR(34)&amp;",",""),"")</f>
        <v/>
      </c>
      <c r="DH4" s="48" t="str">
        <f>IFERROR(IF(SEARCH("v",A4)&gt;0,CHAR(34)&amp;"with_v"&amp;CHAR(34)&amp;",",""),"")</f>
        <v/>
      </c>
      <c r="DI4" s="48" t="str">
        <f>IFERROR(IF(SEARCH("w",A4)&gt;0,CHAR(34)&amp;"with_w"&amp;CHAR(34)&amp;",",""),"")</f>
        <v/>
      </c>
      <c r="DJ4" s="48" t="str">
        <f>IFERROR(IF(SEARCH("y",A4)&gt;0,CHAR(34)&amp;"with_y"&amp;CHAR(34)&amp;",",""),"")</f>
        <v/>
      </c>
      <c r="DK4" s="48" t="str">
        <f>IFERROR(IF(SEARCH("z",A4)&gt;0,CHAR(34)&amp;"with_z"&amp;CHAR(34)&amp;",",""),"")</f>
        <v/>
      </c>
      <c r="DL4" s="48" t="str">
        <f>IF(CG4=2, CHAR(34) &amp; _xlfn.TEXTJOIN("", TRUE, _xlfn._xlws.SORT(HP4:HX4)) &amp; CHAR(34) &amp; ",", "")</f>
        <v/>
      </c>
      <c r="DM4" s="48" t="str" cm="1">
        <f t="array" ref="DM4">IF(CG4=3,CHAR(34) &amp; _xlfn.TEXTJOIN("", TRUE, RIGHT(HP4:HX4, 2)) &amp; CHAR(34) &amp; ",", "")</f>
        <v>"REEDEL",</v>
      </c>
      <c r="DN4" s="48" t="str">
        <f>IF(AND(ISNUMBER(SEARCH("18", O4)), ISERROR(SEARCH("1918", O4)), ISERROR(SEARCH("2018", O4))), CHAR(34) &amp; "year18" &amp; CHAR(34) &amp; ",", "")</f>
        <v/>
      </c>
      <c r="DO4" s="48" t="str">
        <f>IF(AND(ISNUMBER(SEARCH("19", O4)), ISERROR(SEARCH("1819", O4)),  ISERROR(SEARCH("1219", O4)),ISERROR(SEARCH("1119", O4)),ISERROR(SEARCH("1190", O4)),ISERROR(SEARCH("2019", O4))), CHAR(34) &amp; "year19" &amp; CHAR(34) &amp; ",", "")</f>
        <v>"year19",</v>
      </c>
      <c r="DP4" s="6" t="str">
        <f>IF(AND(ISNUMBER(SEARCH("20", O4)), ISERROR(SEARCH("1920", O4))), CHAR(34)&amp;"year00"&amp;CHAR(34)&amp;",", "")</f>
        <v/>
      </c>
      <c r="DQ4" s="6" t="str">
        <f>IF(CC4="y",CHAR(34)&amp;"soviet"&amp;CHAR(34)&amp;",","")</f>
        <v/>
      </c>
      <c r="DR4" s="6" t="str">
        <f>IF(BY4="y",CHAR(34)&amp;"dgband"&amp;CHAR(34)&amp;",","")</f>
        <v/>
      </c>
      <c r="DS4" s="6" t="str">
        <f>IF(W4="y",IF(AND(V4="n",BY4&lt;&gt;"y"),CHAR(34)&amp;"allver"&amp;CHAR(34)&amp;",",""),"")</f>
        <v>"allver",</v>
      </c>
      <c r="DT4" s="6" t="str">
        <f>IF(V4="y",IF(AND(W4="n",BY4&lt;&gt;"y"),CHAR(34)&amp;"allhor"&amp;CHAR(34)&amp;",",""),"")</f>
        <v/>
      </c>
      <c r="DU4" s="6" t="str">
        <f>IF(BY4="y",IF(AND(W4="n",V4="n"),CHAR(34)&amp;"alldia"&amp;CHAR(34)&amp;",",""),"")</f>
        <v/>
      </c>
      <c r="DW4" s="48" t="str">
        <f>IF(CL4="y",CHAR(34)&amp;CL$1&amp;CHAR(34)&amp;",","")</f>
        <v/>
      </c>
      <c r="DX4" s="48" t="str">
        <f>IF(CM4="y",CHAR(34)&amp;CM$1&amp;CHAR(34)&amp;",","")</f>
        <v/>
      </c>
      <c r="DY4" s="48" t="str">
        <f>IF(CN4="y",CHAR(34)&amp;CN$1&amp;CHAR(34)&amp;",","")</f>
        <v>"3Bands",</v>
      </c>
      <c r="DZ4" s="48" t="str">
        <f>IF(CO4="y",CHAR(34)&amp;CO$1&amp;CHAR(34)&amp;",","")</f>
        <v/>
      </c>
      <c r="EA4" s="48" t="str">
        <f>IF(T4="y",CHAR(34)&amp;T$1&amp;CHAR(34)&amp;",","")</f>
        <v/>
      </c>
      <c r="EB4" s="48" t="str">
        <f>IF(U4="y",CHAR(34)&amp;U$1&amp;CHAR(34)&amp;",","")</f>
        <v/>
      </c>
      <c r="EC4" s="48" t="str">
        <f>IF(V4="y",CHAR(34)&amp;V$1&amp;CHAR(34)&amp;",","")</f>
        <v/>
      </c>
      <c r="ED4" s="48" t="str">
        <f>IF(W4="y",CHAR(34)&amp;W$1&amp;CHAR(34)&amp;",","")</f>
        <v>"Vertic",</v>
      </c>
      <c r="EE4" s="48" t="str">
        <f>IF(X4="y",CHAR(34)&amp;X$1&amp;CHAR(34)&amp;",","")</f>
        <v/>
      </c>
      <c r="EF4" s="48" t="str">
        <f>IF(AND(Y4&lt;&gt;"n",Y4&lt;&gt;""),CHAR(34)&amp;Y$1&amp;CHAR(34)&amp;",","")</f>
        <v/>
      </c>
      <c r="EG4" s="48" t="str">
        <f>IF(Z4="y",CHAR(34)&amp;Z$1&amp;CHAR(34)&amp;",","")</f>
        <v/>
      </c>
      <c r="EH4" s="48" t="str">
        <f>IF(AA4="y",CHAR(34)&amp;AA$1&amp;CHAR(34)&amp;",","")</f>
        <v/>
      </c>
      <c r="EI4" s="48" t="str">
        <f>IF(AB4="y",CHAR(34)&amp;AB$1&amp;CHAR(34)&amp;",","")</f>
        <v/>
      </c>
      <c r="EJ4" s="48" t="str">
        <f>IF(AC4="y",CHAR(34)&amp;AC$1&amp;CHAR(34)&amp;",","")</f>
        <v/>
      </c>
      <c r="EK4" s="48" t="str">
        <f>IF(AD4="y",CHAR(34)&amp;AD$1&amp;CHAR(34)&amp;",","")</f>
        <v/>
      </c>
      <c r="EL4" s="48" t="str">
        <f>IF(AE4="y",CHAR(34)&amp;AE$1&amp;CHAR(34)&amp;",","")</f>
        <v/>
      </c>
      <c r="EM4" s="48" t="str">
        <f>IF(AF4="y",CHAR(34)&amp;AF$1&amp;CHAR(34)&amp;",","")</f>
        <v/>
      </c>
      <c r="EN4" s="48" t="str">
        <f>IF(AG4="y",CHAR(34)&amp;AG$1&amp;CHAR(34)&amp;",","")</f>
        <v>"Unequa",</v>
      </c>
      <c r="EO4" s="48" t="str">
        <f>IF(AH4="y",CHAR(34)&amp;AH$1&amp;CHAR(34)&amp;",","")</f>
        <v/>
      </c>
      <c r="EP4" s="48" t="str">
        <f>IF(AI4="y",CHAR(34)&amp;AI$1&amp;CHAR(34)&amp;",","")</f>
        <v/>
      </c>
      <c r="EQ4" s="48" t="str">
        <f>IF(AJ4="y",CHAR(34)&amp;AJ$1&amp;CHAR(34)&amp;",","")</f>
        <v/>
      </c>
      <c r="ER4" s="48" t="str">
        <f>IF(AK4="y",CHAR(34)&amp;AK$1&amp;CHAR(34)&amp;",","")</f>
        <v>"OnlyBa",</v>
      </c>
      <c r="ES4" s="48" t="str">
        <f>IF(AL4="y",CHAR(34)&amp;AL$1&amp;CHAR(34)&amp;",","")</f>
        <v/>
      </c>
      <c r="ET4" s="48" t="str">
        <f>IF(AM4="y",CHAR(34)&amp;AM$1&amp;CHAR(34)&amp;",","")</f>
        <v/>
      </c>
      <c r="EU4" s="48" t="str">
        <f>IF(AN4="y",CHAR(34)&amp;AN$1&amp;CHAR(34)&amp;",","")</f>
        <v/>
      </c>
      <c r="EV4" s="48" t="str">
        <f>IF(AO4="y",CHAR(34)&amp;AO$1&amp;CHAR(34)&amp;",","")</f>
        <v/>
      </c>
      <c r="EW4" s="48" t="str">
        <f>IF(AP4="y",CHAR(34)&amp;AP$1&amp;CHAR(34)&amp;",","")</f>
        <v/>
      </c>
      <c r="EX4" s="48" t="str">
        <f>IF(AQ4="y",CHAR(34)&amp;AQ$1&amp;CHAR(34)&amp;",","")</f>
        <v/>
      </c>
      <c r="EY4" s="48" t="str">
        <f>IF(AR4="y",CHAR(34)&amp;AR$1&amp;CHAR(34)&amp;",","")</f>
        <v/>
      </c>
      <c r="EZ4" s="48" t="str">
        <f>IF(AS4="y",CHAR(34)&amp;AS$1&amp;CHAR(34)&amp;",","")</f>
        <v/>
      </c>
      <c r="FA4" s="48" t="str">
        <f>IF(AT4&gt;0,CHAR(34)&amp;"sta"&amp;AZ4&amp;CHAR(34)&amp;",","")</f>
        <v/>
      </c>
      <c r="FB4" s="48" t="str">
        <f>IF(AND(AT4&gt;0,BA4&lt;&gt;""),CHAR(34)&amp;"sta"&amp;BA4&amp;CHAR(34)&amp;",","")</f>
        <v/>
      </c>
      <c r="FD4" s="48" t="str">
        <f>IF(BV4="n",CHAR(34)&amp;"tcWHYE"&amp;CHAR(34)&amp;",",IF(BV4="y",CHAR(34)&amp;FD$1&amp;CHAR(34)&amp;",",""))</f>
        <v/>
      </c>
      <c r="FE4" s="48" t="str">
        <f>IF(COUNTIF(BL4:BT4,"BLU")=0,CHAR(34)&amp;"NO_BLU"&amp;CHAR(34)&amp;",", "")</f>
        <v>"NO_BLU",</v>
      </c>
      <c r="FF4" s="48" t="str">
        <f>IF(COUNTIF(BL4:BT4,"WHI")=0,CHAR(34)&amp;"NO_WHI"&amp;CHAR(34)&amp;",", "")</f>
        <v>"NO_WHI",</v>
      </c>
      <c r="FG4" s="48" t="str">
        <f>IF(COUNTIF(BL4:BT4,"RED")=0,CHAR(34)&amp;"NO_RED"&amp;CHAR(34)&amp;",", "")</f>
        <v/>
      </c>
      <c r="FH4" s="48" t="str">
        <f>IF(COUNTIF(BL4:BS4,"GRE")=0,CHAR(34)&amp;"NO_GRE"&amp;CHAR(34)&amp;",", "")</f>
        <v/>
      </c>
      <c r="FI4" s="48" t="str">
        <f>IF(COUNTIF(BL4:BT4,"YEL")=0,CHAR(34)&amp;"NO_YEL"&amp;CHAR(34)&amp;",", "")</f>
        <v/>
      </c>
      <c r="FJ4" s="48" t="str">
        <f>IF(COUNTIF(BL4:BT4,"BLA")=0,CHAR(34)&amp;"NO_BLA"&amp;CHAR(34)&amp;",", "")</f>
        <v>"NO_BLA",</v>
      </c>
      <c r="FK4" s="48" t="str">
        <f>IF(AND(FH4&lt;&gt;"",FF4&lt;&gt;""),CHAR(34)&amp;"WHGRNO"&amp;CHAR(34)&amp;",","")</f>
        <v/>
      </c>
      <c r="FL4" s="48" t="str">
        <f>IF(AND(FI4&lt;&gt;"",FF4&lt;&gt;""),CHAR(34)&amp;"WHYENO"&amp;CHAR(34)&amp;",","")</f>
        <v/>
      </c>
      <c r="FM4" s="48" t="str">
        <f>IF(AND(FJ4&lt;&gt;"",FF4&lt;&gt;""),CHAR(34)&amp;"BAWHNO"&amp;CHAR(34)&amp;",","")</f>
        <v>"BAWHNO",</v>
      </c>
      <c r="FN4" s="48" t="str">
        <f>IF(AND(FE4&lt;&gt;"",FF4&lt;&gt;""),CHAR(34)&amp;"BLWHNO"&amp;CHAR(34)&amp;",","")</f>
        <v>"BLWHNO",</v>
      </c>
      <c r="FO4" s="48" t="str">
        <f>IF(AND(FE4&lt;&gt;"",FG4&lt;&gt;""),CHAR(34)&amp;"BLRENO"&amp;CHAR(34)&amp;",","")</f>
        <v/>
      </c>
      <c r="FP4" s="48" t="str">
        <f>IF(AND(FF4&lt;&gt;"",FF4&lt;&gt;""),CHAR(34)&amp;"WHRENO"&amp;CHAR(34)&amp;",","")</f>
        <v>"WHRENO",</v>
      </c>
      <c r="FQ4" s="48" t="str">
        <f>IF(LEN(BF4)=3,CHAR(34)&amp;"001"&amp;BF4&amp;CHAR(34)&amp;",","")</f>
        <v>"001GRE",</v>
      </c>
      <c r="FR4" s="48" t="str">
        <f>IF(LEN(BG4)=3,CHAR(34)&amp;"002"&amp;BG4&amp;CHAR(34)&amp;",","")</f>
        <v>"002RED",</v>
      </c>
      <c r="FS4" s="48" t="str">
        <f>IF(LEN(BH4)=3,CHAR(34)&amp;"003"&amp;BH4&amp;CHAR(34)&amp;",","")</f>
        <v>"003YEL",</v>
      </c>
      <c r="FT4" s="48" t="str">
        <f>CHAR(34)&amp;"myr"&amp;BD4&amp;CHAR(34)&amp;","</f>
        <v>"myrEQ",</v>
      </c>
      <c r="FU4" s="48" t="str">
        <f>IF(AY4="y",CHAR(34)&amp;"island"&amp;CHAR(34)&amp;",","")</f>
        <v/>
      </c>
      <c r="FV4" s="48" t="str">
        <f>IF(BZ4="y",CHAR(34)&amp;"landlo"&amp;CHAR(34)&amp;",","")</f>
        <v/>
      </c>
      <c r="FW4" s="48" t="str">
        <f>IF(CA4="y",CHAR(34)&amp;"eunion"&amp;CHAR(34)&amp;",","")</f>
        <v/>
      </c>
      <c r="FY4" s="48" t="str">
        <f>IFERROR(IF(SEARCH("Arabic",CB4)&gt;0,CHAR(34)&amp;"arabic"&amp;CHAR(34)&amp;",",""),"")</f>
        <v/>
      </c>
      <c r="FZ4" s="48" t="str">
        <f>IFERROR(IF(SEARCH("English",CB4)&gt;0,CHAR(34)&amp;"englis"&amp;CHAR(34)&amp;",",""),"")</f>
        <v/>
      </c>
      <c r="GA4" s="48" t="str">
        <f>IFERROR(IF(SEARCH("French",CB4)&gt;0,CHAR(34)&amp;"french"&amp;CHAR(34)&amp;",",""),"")</f>
        <v/>
      </c>
      <c r="GB4" s="48" t="str">
        <f>IFERROR(IF(SEARCH("Spanish",CB4)&gt;0,CHAR(34)&amp;"spanis"&amp;CHAR(34)&amp;",",""),"")</f>
        <v/>
      </c>
      <c r="GE4" s="48" t="str">
        <f>IFERROR(IF(SEARCH("Dutch",CB4)&gt;0,CHAR(34)&amp;"dutchs"&amp;CHAR(34)&amp;",",""),"")</f>
        <v/>
      </c>
      <c r="GF4" s="48" t="str">
        <f>IFERROR(IF(SEARCH("Historical",AU4)&gt;0,CHAR(34)&amp;"histor"&amp;CHAR(34)&amp;",",""),"")</f>
        <v>"histor",</v>
      </c>
      <c r="GG4" s="48" t="str">
        <f>IF(BU4="y",CHAR(34)&amp;"unjack"&amp;CHAR(34)&amp;",","")</f>
        <v/>
      </c>
      <c r="GH4" s="48" t="str">
        <f>IF(CD4=1,CHAR(34)&amp;"southc"&amp;CHAR(34)&amp;",","")</f>
        <v/>
      </c>
      <c r="GI4" s="48" t="str">
        <f>IF(CE4=1,CHAR(34)&amp;"hasmap"&amp;CHAR(34)&amp;",","")</f>
        <v/>
      </c>
      <c r="GJ4" s="48" t="str">
        <f>IF(CP4="y",CHAR(34)&amp;CP$1&amp;CHAR(34)&amp;",","")</f>
        <v>"NoStar",</v>
      </c>
      <c r="GK4" s="48" t="str">
        <f>IF(GJ4="",CHAR(34)&amp;"HasSta"&amp;CHAR(34)&amp;",","")</f>
        <v/>
      </c>
      <c r="GL4" s="48" t="str">
        <f>IF(CQ4="y",CHAR(34)&amp;CQ$1&amp;CHAR(34)&amp;",","")</f>
        <v/>
      </c>
      <c r="GM4" s="48" t="str">
        <f>IF(CR4="y",CHAR(34)&amp;CR$1&amp;CHAR(34)&amp;",","")</f>
        <v/>
      </c>
      <c r="GN4" s="48" t="str">
        <f>IF(CS4="y",CHAR(34)&amp;CS$1&amp;CHAR(34)&amp;",","")</f>
        <v/>
      </c>
      <c r="GP4" s="48" t="str">
        <f>CHAR(34)&amp;AU4&amp;CHAR(34)</f>
        <v>"Historical"</v>
      </c>
      <c r="GS4" s="48" t="str">
        <f>SUBSTITUTE("["&amp;_xlfn.CONCAT(CW4:GN4)&amp;"]",",]","]")</f>
        <v>["3Color","words2","lets19","startC","REEDEL","year19","allver","3Bands","Vertic","Unequa","OnlyBa","NO_BLU","NO_WHI","NO_BLA","BAWHNO","BLWHNO","WHRENO","001GRE","002RED","003YEL","myrEQ","histor","NoStar"]</v>
      </c>
      <c r="GT4" s="48" t="str">
        <f>IF(BL4&lt;&gt;"",CHAR(34)&amp;"cl_"&amp;BL4&amp;CHAR(34)&amp;",","")</f>
        <v/>
      </c>
      <c r="GU4" s="48" t="str">
        <f>IF(BM4&lt;&gt;"",CHAR(34)&amp;"cl_"&amp;BM4&amp;CHAR(34)&amp;",","")</f>
        <v/>
      </c>
      <c r="GV4" s="48" t="str">
        <f>IF(BN4&lt;&gt;"",CHAR(34)&amp;"cl_"&amp;BN4&amp;CHAR(34)&amp;",","")</f>
        <v>"cl_GRE",</v>
      </c>
      <c r="GW4" s="48" t="str">
        <f>IF(BO4&lt;&gt;"",CHAR(34)&amp;"cl_"&amp;BO4&amp;CHAR(34)&amp;",","")</f>
        <v>"cl_RED",</v>
      </c>
      <c r="GX4" s="48" t="str">
        <f>IF(BP4&lt;&gt;"",CHAR(34)&amp;"cl_"&amp;BP4&amp;CHAR(34)&amp;",","")</f>
        <v>"cl_YEL",</v>
      </c>
      <c r="GY4" s="48" t="str">
        <f>IF(BQ4&lt;&gt;"",CHAR(34)&amp;"cl_"&amp;BQ4&amp;CHAR(34)&amp;",","")</f>
        <v/>
      </c>
      <c r="GZ4" s="48" t="str">
        <f>IF(BR4&lt;&gt;"",CHAR(34)&amp;"cl_"&amp;BR4&amp;CHAR(34)&amp;",","")</f>
        <v/>
      </c>
      <c r="HA4" s="48" t="str">
        <f>IF(BS4&lt;&gt;"",CHAR(34)&amp;"cl_"&amp;BS4&amp;CHAR(34)&amp;",","")</f>
        <v/>
      </c>
      <c r="HB4" s="48" t="str">
        <f>IF(BT4&lt;&gt;"",CHAR(34)&amp;"cl_"&amp;BT4&amp;CHAR(34)&amp;",","")</f>
        <v/>
      </c>
      <c r="HC4" s="48" t="str">
        <f>SUBSTITUTE("["&amp;_xlfn.CONCAT(GT4:HB4)&amp;"]",",]","]")</f>
        <v>["cl_GRE","cl_RED","cl_YEL"]</v>
      </c>
      <c r="HE4" s="71"/>
      <c r="HF4" s="72" t="str">
        <f>"{couname:"&amp;CT4&amp;(IF(HK4&lt;&gt;"",",subtype:"&amp;CHAR(34)&amp;HK4&amp;CHAR(34),""))&amp;",year:"&amp;HJ4&amp;",region:"&amp;CU4&amp;",Colors:"&amp;HC4&amp;",Items:"&amp;GS4&amp;",Flag:"&amp;CV4&amp;",HDFlag:"&amp;CHAR(34)&amp;E4&amp;CHAR(34)&amp;",type:"&amp;GP4&amp;", describe: "&amp;HH4&amp;", isnew:"&amp;CHAR(34)&amp;F4&amp;CHAR(34)&amp;", links: "&amp;HL4&amp;"},"</f>
        <v>{couname:"[CMR] Cameroon (1960–1961)",year:"1960",region:"rgn_Africa",Colors:["cl_GRE","cl_RED","cl_YEL"],Items:["3Color","words2","lets19","startC","REEDEL","year19","allver","3Bands","Vertic","Unequa","OnlyBa","NO_BLU","NO_WHI","NO_BLA","BAWHNO","BLWHNO","WHRENO","001GRE","002RED","003YEL","myrEQ","histor","NoStar"],Flag:"https://upload.wikimedia.org/wikipedia/commons/thumb/9/90/Flag_of_Cameroon_%281957%E2%80%931961%29.svg/640px-Flag_of_Cameroon_%281957%E2%80%931961%29.svg.png",HDFlag:"https://upload.wikimedia.org/wikipedia/commons/thumb/9/90/Flag_of_Cameroon_%281957%E2%80%931961%29.svg/2560px-Flag_of_Cameroon_%281957%E2%80%931961%29.svg.png",type:"Historical", describe: "\nA Green - Red - Yellow vertical tricolor", isnew:".", links: "https://en.wikipedia.org/wiki/List_of_Cameroonian_flags"},</v>
      </c>
      <c r="HG4" s="73" t="str">
        <f>"{couname:"&amp;CT4&amp;(IF(HK4&lt;&gt;"",",subtype:"&amp;CHAR(34)&amp;HK4&amp;CHAR(34),""))&amp;",year:"&amp;HJ4&amp;",region:"&amp;CU4&amp;",Colors:"&amp;HC4&amp;",Items:"&amp;GS4&amp;",Flag:"&amp;CV4&amp;",HDFlag:"&amp;CHAR(34)&amp;E4&amp;CHAR(34)&amp;",type:"&amp;GP4&amp;", describe: "&amp;HI4&amp;", links: "&amp;HL4&amp;"},"</f>
        <v>{couname:"[CMR] Cameroon (1960–1961)",year:"1960",region:"rgn_Africa",Colors:["cl_GRE","cl_RED","cl_YEL"],Items:["3Color","words2","lets19","startC","REEDEL","year19","allver","3Bands","Vertic","Unequa","OnlyBa","NO_BLU","NO_WHI","NO_BLA","BAWHNO","BLWHNO","WHRENO","001GRE","002RED","003YEL","myrEQ","histor","NoStar"],Flag:"https://upload.wikimedia.org/wikipedia/commons/thumb/9/90/Flag_of_Cameroon_%281957%E2%80%931961%29.svg/640px-Flag_of_Cameroon_%281957%E2%80%931961%29.svg.png",HDFlag:"https://upload.wikimedia.org/wikipedia/commons/thumb/9/90/Flag_of_Cameroon_%281957%E2%80%931961%29.svg/2560px-Flag_of_Cameroon_%281957%E2%80%931961%29.svg.png",type:"Historical", describe: "\nA Green - Red - Yellow vertical tricolor", links: "https://en.wikipedia.org/wiki/List_of_Cameroonian_flags"},</v>
      </c>
      <c r="HH4" s="48" t="str">
        <f>IF(P4&lt;&gt;"",CHAR(34)&amp;"\n"&amp;P4&amp;CHAR(34),CHAR(34)&amp;CHAR(34))</f>
        <v>"\nA Green - Red - Yellow vertical tricolor"</v>
      </c>
      <c r="HI4" s="48" t="str">
        <f>IF(J4=0,CHAR(34)&amp;CHAR(34),HH4)</f>
        <v>"\nA Green - Red - Yellow vertical tricolor"</v>
      </c>
      <c r="HJ4" s="48" t="str">
        <f>CHAR(34)&amp;O4&amp;CHAR(34)</f>
        <v>"1960"</v>
      </c>
      <c r="HL4" s="48" t="str">
        <f>CHAR(34)&amp;I4&amp;CHAR(34)</f>
        <v>"https://en.wikipedia.org/wiki/List_of_Cameroonian_flags"</v>
      </c>
      <c r="HM4" s="72"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"&amp;HH4&amp;", "&amp;CHAR(34)&amp;"isnew"&amp;CHAR(34)&amp;": "&amp;CHAR(34)&amp;F4&amp;CHAR(34)&amp;", "&amp;CHAR(34)&amp;"links"&amp;CHAR(34)&amp;": "&amp;HL4&amp;"},"</f>
        <v>{"couname":"[CMR] Cameroon (1960–1961)","subtype":"[CMR] Other","year":"1960","region":"rgn_Africa","Colors":["cl_GRE","cl_RED","cl_YEL"],"Items":["3Color","words2","lets19","startC","REEDEL","year19","allver","3Bands","Vertic","Unequa","OnlyBa","NO_BLU","NO_WHI","NO_BLA","BAWHNO","BLWHNO","WHRENO","001GRE","002RED","003YEL","myrEQ","histor","NoStar"],"Flag":"https://upload.wikimedia.org/wikipedia/commons/thumb/9/90/Flag_of_Cameroon_%281957%E2%80%931961%29.svg/640px-Flag_of_Cameroon_%281957%E2%80%931961%29.svg.png","HDFlag":"https://upload.wikimedia.org/wikipedia/commons/thumb/9/90/Flag_of_Cameroon_%281957%E2%80%931961%29.svg/2560px-Flag_of_Cameroon_%281957%E2%80%931961%29.svg.png","type":"Historical", "describe": "\nA Green - Red - Yellow vertical tricolor", "isnew": ".", "links": "https://en.wikipedia.org/wiki/List_of_Cameroonian_flags"},</v>
      </c>
      <c r="HN4" s="74"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"&amp;HI4&amp;", "&amp;CHAR(34)&amp;"isnew"&amp;CHAR(34)&amp;": "&amp;CHAR(34)&amp;F4&amp;CHAR(34)&amp;", "&amp;CHAR(34)&amp;"links"&amp;CHAR(34)&amp;": "&amp;HL4&amp;"},"</f>
        <v>{"couname":"[CMR] Cameroon (1960–1961)","subtype":"[CMR] Other","year":"1960","region":"rgn_Africa","Colors":["cl_GRE","cl_RED","cl_YEL"],"Items":["3Color","words2","lets19","startC","REEDEL","year19","allver","3Bands","Vertic","Unequa","OnlyBa","NO_BLU","NO_WHI","NO_BLA","BAWHNO","BLWHNO","WHRENO","001GRE","002RED","003YEL","myrEQ","histor","NoStar"],"Flag":"https://upload.wikimedia.org/wikipedia/commons/thumb/9/90/Flag_of_Cameroon_%281957%E2%80%931961%29.svg/640px-Flag_of_Cameroon_%281957%E2%80%931961%29.svg.png","HDFlag":"https://upload.wikimedia.org/wikipedia/commons/thumb/9/90/Flag_of_Cameroon_%281957%E2%80%931961%29.svg/2560px-Flag_of_Cameroon_%281957%E2%80%931961%29.svg.png","type":"Historical", "describe": "\nA Green - Red - Yellow vertical tricolor", "isnew": ".", "links": "https://en.wikipedia.org/wiki/List_of_Cameroonian_flags"},</v>
      </c>
      <c r="HO4" s="75">
        <v>45644</v>
      </c>
      <c r="HP4" s="48" t="str" cm="1">
        <f t="array" ref="HP4">IF(_xlfn.TEXTJOIN(", ", TRUE, IF(ISNUMBER(SEARCH("BLA", BL4:BT4)), COLUMN(BL4:BT4) - COLUMN(BL4) + 1, ""))&lt;&gt;"","BLA","")</f>
        <v/>
      </c>
      <c r="HQ4" s="48" t="str" cm="1">
        <f t="array" ref="HQ4">IF(_xlfn.TEXTJOIN(", ", TRUE, IF(ISNUMBER(SEARCH("BLU", BL4:BT4)), COLUMN(BL4:BT4) - COLUMN(BL4) + 1, ""))&lt;&gt;"","BLU","")</f>
        <v/>
      </c>
      <c r="HR4" s="48" t="str" cm="1">
        <f t="array" ref="HR4">IF(_xlfn.TEXTJOIN(", ", TRUE, IF(ISNUMBER(SEARCH("GRE", BL4:BT4)), COLUMN(BL4:BT4) - COLUMN(BL4) + 1, ""))&lt;&gt;"","GRE","")</f>
        <v>GRE</v>
      </c>
      <c r="HS4" s="48" t="str" cm="1">
        <f t="array" ref="HS4">IF(_xlfn.TEXTJOIN(", ", TRUE, IF(ISNUMBER(SEARCH("RED", BL4:BT4)), COLUMN(BL4:BT4) - COLUMN(BL4) + 1, ""))&lt;&gt;"","RED","")</f>
        <v>RED</v>
      </c>
      <c r="HT4" s="48" t="str" cm="1">
        <f t="array" ref="HT4">IF(_xlfn.TEXTJOIN(", ", TRUE, IF(ISNUMBER(SEARCH("YEL", BL4:BT4)), COLUMN(BL4:BT4) - COLUMN(BL4) + 1, ""))&lt;&gt;"","YEL","")</f>
        <v>YEL</v>
      </c>
      <c r="HU4" s="48" t="str" cm="1">
        <f t="array" ref="HU4">IF(_xlfn.TEXTJOIN(", ", TRUE, IF(ISNUMBER(SEARCH("ORA", BL4:BT4)), COLUMN(BL4:BT4) - COLUMN(BL4) + 1, ""))&lt;&gt;"","ORA","")</f>
        <v/>
      </c>
      <c r="HV4" s="48" t="str" cm="1">
        <f t="array" ref="HV4">IF(_xlfn.TEXTJOIN(", ", TRUE, IF(ISNUMBER(SEARCH("BRO", BL4:BT4)), COLUMN(BL4:BT4) - COLUMN(BL4) + 1, ""))&lt;&gt;"","BRO","")</f>
        <v/>
      </c>
      <c r="HW4" s="48" t="str" cm="1">
        <f t="array" ref="HW4">IF(_xlfn.TEXTJOIN(", ", TRUE, IF(ISNUMBER(SEARCH("PUR", BL4:BT4)), COLUMN(BL4:BT4) - COLUMN(BL4) + 1, ""))&lt;&gt;"","PUR","")</f>
        <v/>
      </c>
      <c r="HX4" s="48" t="str" cm="1">
        <f t="array" ref="HX4">IF(_xlfn.TEXTJOIN(", ", TRUE, IF(ISNUMBER(SEARCH("WHI", BL4:BT4)), COLUMN(BL4:BT4) - COLUMN(BL4) + 1, ""))&lt;&gt;"","WHI","")</f>
        <v/>
      </c>
      <c r="HY4" s="76"/>
      <c r="HZ4" s="76"/>
      <c r="IA4" s="6"/>
      <c r="IB4" s="6"/>
      <c r="IC4" s="77"/>
      <c r="ID4" s="77"/>
      <c r="IE4" s="77"/>
      <c r="IF4" s="77"/>
      <c r="IG4" s="77"/>
      <c r="IH4" s="77"/>
      <c r="II4" s="77"/>
      <c r="IJ4" s="77"/>
      <c r="IK4" s="77"/>
      <c r="IM4" s="45">
        <f>COUNTIF(IC4:IK4,"&gt;0")-CG4</f>
        <v>-3</v>
      </c>
      <c r="IN4" s="78" t="str">
        <f>"http://mkweb.bcgsc.ca/color-summarizer/?url="&amp;D4&amp;"&amp;precision=low&amp;num_clusters="&amp;CG4&amp;"&amp;text=1"</f>
        <v>http://mkweb.bcgsc.ca/color-summarizer/?url=https://upload.wikimedia.org/wikipedia/commons/thumb/9/90/Flag_of_Cameroon_%281957%E2%80%931961%29.svg/640px-Flag_of_Cameroon_%281957%E2%80%931961%29.svg.png&amp;precision=low&amp;num_clusters=3&amp;text=1</v>
      </c>
      <c r="IO4" s="48" t="str">
        <f>IF(HP4&lt;&gt;"",CHAR(34)&amp;"black"&amp;CHAR(34),"")</f>
        <v/>
      </c>
      <c r="IP4" s="48" t="str">
        <f>IF(HQ4&lt;&gt;"",CHAR(34)&amp;"blue"&amp;CHAR(34),"")</f>
        <v/>
      </c>
      <c r="IQ4" s="48" t="str">
        <f>IF(HR4&lt;&gt;"",CHAR(34)&amp;"green"&amp;CHAR(34),"")</f>
        <v>"green"</v>
      </c>
      <c r="IR4" s="48" t="str">
        <f>IF(HS4&lt;&gt;"",CHAR(34)&amp;"red"&amp;CHAR(34),"")</f>
        <v>"red"</v>
      </c>
      <c r="IS4" s="48" t="str">
        <f>IF(HT4&lt;&gt;"",CHAR(34)&amp;"yellow"&amp;CHAR(34),"")</f>
        <v>"yellow"</v>
      </c>
      <c r="IT4" s="48" t="str">
        <f>IF(HU4&lt;&gt;"",CHAR(34)&amp;"orange"&amp;CHAR(34),"")</f>
        <v/>
      </c>
      <c r="IU4" s="48" t="str">
        <f>IF(HV4&lt;&gt;"",CHAR(34)&amp;"brown"&amp;CHAR(34),"")</f>
        <v/>
      </c>
      <c r="IV4" s="48" t="str">
        <f>IF(HW4&lt;&gt;"",CHAR(34)&amp;"purple"&amp;CHAR(34),"")</f>
        <v/>
      </c>
      <c r="IW4" s="48" t="str">
        <f>IF(HX4&lt;&gt;"",CHAR(34)&amp;"white"&amp;CHAR(34),"")</f>
        <v/>
      </c>
      <c r="IX4" s="48" t="str">
        <f>"{"&amp;CHAR(34)&amp;"url"&amp;CHAR(34)&amp;":"&amp;CHAR(34)&amp;IN4&amp;CHAR(34)&amp;","&amp;CHAR(34)&amp;"name"&amp;CHAR(34)&amp;":"&amp;CHAR(34)&amp;A4&amp;CHAR(34)&amp;"},"</f>
        <v>{"url":"http://mkweb.bcgsc.ca/color-summarizer/?url=https://upload.wikimedia.org/wikipedia/commons/thumb/9/90/Flag_of_Cameroon_%281957%E2%80%931961%29.svg/640px-Flag_of_Cameroon_%281957%E2%80%931961%29.svg.png&amp;precision=low&amp;num_clusters=3&amp;text=1","name":"[CMR] Cameroon (1960–1961)"},</v>
      </c>
      <c r="IY4" s="48">
        <v>1503</v>
      </c>
    </row>
    <row r="5" spans="1:259" s="48" customFormat="1" ht="38.4" customHeight="1" thickBot="1" x14ac:dyDescent="0.35">
      <c r="A5" s="80" t="s">
        <v>304</v>
      </c>
      <c r="B5" s="40" t="e" vm="21">
        <v>#VALUE!</v>
      </c>
      <c r="C5" s="41" t="s">
        <v>173</v>
      </c>
      <c r="D5" s="42" t="s">
        <v>305</v>
      </c>
      <c r="E5" s="43" t="s">
        <v>306</v>
      </c>
      <c r="F5" s="44" t="s">
        <v>163</v>
      </c>
      <c r="G5" s="45">
        <f>COUNTIF($A$1:$A$8406,A5)</f>
        <v>1</v>
      </c>
      <c r="H5" s="46" t="s">
        <v>315</v>
      </c>
      <c r="I5" s="47" t="s">
        <v>302</v>
      </c>
      <c r="J5" s="48" t="str">
        <f>""</f>
        <v/>
      </c>
      <c r="K5" s="49"/>
      <c r="L5" s="50"/>
      <c r="M5" s="50"/>
      <c r="N5" s="51" t="s">
        <v>180</v>
      </c>
      <c r="O5" s="52">
        <v>1961</v>
      </c>
      <c r="P5" s="53" t="s">
        <v>307</v>
      </c>
      <c r="Q5" s="54">
        <v>2</v>
      </c>
      <c r="R5" s="55" t="s">
        <v>180</v>
      </c>
      <c r="S5" s="56">
        <v>3</v>
      </c>
      <c r="T5" s="57" t="s">
        <v>164</v>
      </c>
      <c r="U5" s="58" t="s">
        <v>164</v>
      </c>
      <c r="V5" s="58" t="s">
        <v>164</v>
      </c>
      <c r="W5" s="58" t="s">
        <v>167</v>
      </c>
      <c r="X5" s="58" t="s">
        <v>164</v>
      </c>
      <c r="Y5" s="58" t="s">
        <v>164</v>
      </c>
      <c r="Z5" s="58" t="s">
        <v>164</v>
      </c>
      <c r="AA5" s="58" t="s">
        <v>164</v>
      </c>
      <c r="AB5" s="58" t="s">
        <v>164</v>
      </c>
      <c r="AC5" s="58" t="s">
        <v>164</v>
      </c>
      <c r="AD5" s="58" t="s">
        <v>164</v>
      </c>
      <c r="AE5" s="58" t="s">
        <v>164</v>
      </c>
      <c r="AF5" s="59" t="s">
        <v>164</v>
      </c>
      <c r="AG5" s="59" t="s">
        <v>167</v>
      </c>
      <c r="AH5" s="59" t="s">
        <v>164</v>
      </c>
      <c r="AI5" s="59" t="s">
        <v>164</v>
      </c>
      <c r="AJ5" s="59" t="s">
        <v>164</v>
      </c>
      <c r="AK5" s="59" t="s">
        <v>164</v>
      </c>
      <c r="AL5" s="59" t="s">
        <v>164</v>
      </c>
      <c r="AM5" s="59" t="s">
        <v>164</v>
      </c>
      <c r="AN5" s="59" t="s">
        <v>164</v>
      </c>
      <c r="AO5" s="59" t="s">
        <v>164</v>
      </c>
      <c r="AP5" s="59" t="s">
        <v>164</v>
      </c>
      <c r="AQ5" s="59" t="s">
        <v>164</v>
      </c>
      <c r="AR5" s="59" t="s">
        <v>164</v>
      </c>
      <c r="AS5" s="59" t="s">
        <v>164</v>
      </c>
      <c r="AT5" s="60">
        <v>2</v>
      </c>
      <c r="AU5" s="59" t="s">
        <v>174</v>
      </c>
      <c r="AV5" s="59" t="str">
        <f>IF(LEFT(A5,1)="[",LEFT(A5,5)&amp;AU5&amp;A5,"")</f>
        <v>[CMR]Historical[CMR] Cameroon (1961–1975)</v>
      </c>
      <c r="AW5" s="59" t="str">
        <f t="shared" si="1"/>
        <v>3b[CMR] Other[CMR] Cameroon (1961–1975)</v>
      </c>
      <c r="AX5" s="61"/>
      <c r="AY5" s="61"/>
      <c r="AZ5" s="62" t="s">
        <v>155</v>
      </c>
      <c r="BA5" s="62" t="s">
        <v>172</v>
      </c>
      <c r="BB5" s="62"/>
      <c r="BC5" s="63"/>
      <c r="BD5" s="64" t="s">
        <v>155</v>
      </c>
      <c r="BE5" s="47"/>
      <c r="BF5" s="64" t="s">
        <v>153</v>
      </c>
      <c r="BG5" s="64" t="s">
        <v>154</v>
      </c>
      <c r="BH5" s="64" t="s">
        <v>155</v>
      </c>
      <c r="BI5" s="64"/>
      <c r="BJ5" s="64"/>
      <c r="BK5" s="47"/>
      <c r="BL5" s="64" t="s">
        <v>172</v>
      </c>
      <c r="BM5" s="64" t="s">
        <v>172</v>
      </c>
      <c r="BN5" s="64" t="s">
        <v>153</v>
      </c>
      <c r="BO5" s="64" t="s">
        <v>154</v>
      </c>
      <c r="BP5" s="64" t="s">
        <v>155</v>
      </c>
      <c r="BQ5" s="64" t="s">
        <v>172</v>
      </c>
      <c r="BR5" s="64" t="s">
        <v>172</v>
      </c>
      <c r="BS5" s="64" t="s">
        <v>172</v>
      </c>
      <c r="BT5" s="64" t="s">
        <v>172</v>
      </c>
      <c r="BU5" s="65"/>
      <c r="BV5" s="66"/>
      <c r="BW5" s="66">
        <v>0</v>
      </c>
      <c r="BX5" s="47"/>
      <c r="CB5" s="6"/>
      <c r="CC5" s="6"/>
      <c r="CD5" s="67">
        <v>0</v>
      </c>
      <c r="CE5" s="67">
        <v>0</v>
      </c>
      <c r="CF5" s="67" t="e">
        <v>#REF!</v>
      </c>
      <c r="CG5" s="68" cm="1">
        <f t="array" ref="CG5">SUMPRODUCT(--(LEN(TRIM(BL5:BT5))&gt;0))</f>
        <v>3</v>
      </c>
      <c r="CH5" s="59" t="str">
        <f>IF(CG5=2,"y","n")</f>
        <v>n</v>
      </c>
      <c r="CI5" s="59" t="str">
        <f>IF(CG5=3,"y","n")</f>
        <v>y</v>
      </c>
      <c r="CJ5" s="59" t="str">
        <f>IF(CG5=4,"y","n")</f>
        <v>n</v>
      </c>
      <c r="CK5" s="59" t="str">
        <f>IF(CG5&gt;4,"y","n")</f>
        <v>n</v>
      </c>
      <c r="CL5" s="59" t="str">
        <f>IF(S5=0,"y","n")</f>
        <v>n</v>
      </c>
      <c r="CM5" s="59" t="str">
        <f>IF(S5=2,"y","n")</f>
        <v>n</v>
      </c>
      <c r="CN5" s="59" t="str">
        <f>IF(S5=3,"y","n")</f>
        <v>y</v>
      </c>
      <c r="CO5" s="59" t="str">
        <f>IF(S5&gt;=4,"y","n")</f>
        <v>n</v>
      </c>
      <c r="CP5" s="59" t="str">
        <f>IF(AT5=0,"y","n")</f>
        <v>n</v>
      </c>
      <c r="CQ5" s="59" t="str">
        <f>IF(AT5=1,"y","n")</f>
        <v>n</v>
      </c>
      <c r="CR5" s="59" t="str">
        <f>IF(AT5=2,"y","n")</f>
        <v>y</v>
      </c>
      <c r="CS5" s="59" t="str">
        <f>IF(AT5&gt;=3,"y","n")</f>
        <v>n</v>
      </c>
      <c r="CT5" s="69" t="str">
        <f>CHAR(34)&amp;A5&amp;CHAR(34)</f>
        <v>"[CMR] Cameroon (1961–1975)"</v>
      </c>
      <c r="CU5" s="70" t="str">
        <f>CHAR(34)&amp;"rgn_"&amp;R5&amp;CHAR(34)</f>
        <v>"rgn_Africa"</v>
      </c>
      <c r="CV5" s="48" t="str">
        <f>CHAR(34)&amp;D5&amp;CHAR(34)</f>
        <v>"https://upload.wikimedia.org/wikipedia/commons/thumb/d/d4/Flag_of_Cameroon_%281961%E2%80%931975%29.svg/640px-Flag_of_Cameroon_%281961%E2%80%931975%29.svg.png"</v>
      </c>
      <c r="CW5" s="48" t="str">
        <f>IF(CH5="y",CHAR(34)&amp;CH$1&amp;CHAR(34)&amp;",","")</f>
        <v/>
      </c>
      <c r="CX5" s="48" t="str">
        <f>IF(CI5="y",CHAR(34)&amp;CI$1&amp;CHAR(34)&amp;",","")</f>
        <v>"3Color",</v>
      </c>
      <c r="CY5" s="48" t="str">
        <f>IF(CJ5="y",CHAR(34)&amp;CJ$1&amp;CHAR(34)&amp;",","")</f>
        <v/>
      </c>
      <c r="CZ5" s="48" t="str">
        <f>IF(CK5="y",CHAR(34)&amp;CK$1&amp;CHAR(34)&amp;",","")</f>
        <v/>
      </c>
      <c r="DA5" s="48" t="str">
        <f>IF(Q5&gt;1,CHAR(34)&amp;"words2"&amp;CHAR(34)&amp;",","")</f>
        <v>"words2",</v>
      </c>
      <c r="DB5" s="48" t="str">
        <f>IF(Q5&gt;2,CHAR(34)&amp;"words3"&amp;CHAR(34)&amp;",","")</f>
        <v/>
      </c>
      <c r="DD5" s="48" t="str">
        <f>IF(LEN(CHAR(34)&amp;"lets"&amp;LEN(SUBSTITUTE(SUBSTITUTE(IFERROR(TRIM(SUBSTITUTE(A5,MID(A5,FIND("[",A5),FIND("]",A5)-FIND("[",A5)+1),"")),A5)," ",""),"-",""))&amp;CHAR(34)&amp;",")=9,CHAR(34)&amp;"lets"&amp;LEN(SUBSTITUTE(SUBSTITUTE(IFERROR(TRIM(SUBSTITUTE(A5,MID(A5,FIND("[",A5),FIND("]",A5)-FIND("[",A5)+1),"")),A5)," ",""),"-",""))&amp;CHAR(34)&amp;",",CHAR(34)&amp;"lets0"&amp;LEN(SUBSTITUTE(SUBSTITUTE(IFERROR(TRIM(SUBSTITUTE(A5,MID(A5,FIND("[",A5),FIND("]",A5)-FIND("[",A5)+1),"")),A5)," ",""),"-",""))&amp;CHAR(34)&amp;",")</f>
        <v>"lets19",</v>
      </c>
      <c r="DE5" s="48" t="str">
        <f>CHAR(34)&amp;"start"&amp;IFERROR(LEFT(SUBSTITUTE(A5,"["&amp;MID(A5,FIND("[",A5)+1,FIND("]",A5)-FIND("[",A5)-1)&amp;"] ",""),1),LEFT(A5,1))&amp;CHAR(34)&amp;","</f>
        <v>"startC",</v>
      </c>
      <c r="DF5" s="48" t="str">
        <f>IFERROR(IF(SEARCH("tan",A5)&gt;0,CHAR(34)&amp;"withtn"&amp;CHAR(34)&amp;",",""),"")</f>
        <v/>
      </c>
      <c r="DG5" s="48" t="str">
        <f>IFERROR(IF(SEARCH("q",A5)&gt;0,CHAR(34)&amp;"with_q"&amp;CHAR(34)&amp;",",""),"")</f>
        <v/>
      </c>
      <c r="DH5" s="48" t="str">
        <f>IFERROR(IF(SEARCH("v",A5)&gt;0,CHAR(34)&amp;"with_v"&amp;CHAR(34)&amp;",",""),"")</f>
        <v/>
      </c>
      <c r="DI5" s="48" t="str">
        <f>IFERROR(IF(SEARCH("w",A5)&gt;0,CHAR(34)&amp;"with_w"&amp;CHAR(34)&amp;",",""),"")</f>
        <v/>
      </c>
      <c r="DJ5" s="48" t="str">
        <f>IFERROR(IF(SEARCH("y",A5)&gt;0,CHAR(34)&amp;"with_y"&amp;CHAR(34)&amp;",",""),"")</f>
        <v/>
      </c>
      <c r="DK5" s="48" t="str">
        <f>IFERROR(IF(SEARCH("z",A5)&gt;0,CHAR(34)&amp;"with_z"&amp;CHAR(34)&amp;",",""),"")</f>
        <v/>
      </c>
      <c r="DL5" s="48" t="str">
        <f>IF(CG5=2, CHAR(34) &amp; _xlfn.TEXTJOIN("", TRUE, _xlfn._xlws.SORT(HP5:HX5)) &amp; CHAR(34) &amp; ",", "")</f>
        <v/>
      </c>
      <c r="DM5" s="48" t="str" cm="1">
        <f t="array" ref="DM5">IF(CG5=3,CHAR(34) &amp; _xlfn.TEXTJOIN("", TRUE, RIGHT(HP5:HX5, 2)) &amp; CHAR(34) &amp; ",", "")</f>
        <v>"REEDEL",</v>
      </c>
      <c r="DN5" s="48" t="str">
        <f>IF(AND(ISNUMBER(SEARCH("18", O5)), ISERROR(SEARCH("1918", O5)), ISERROR(SEARCH("2018", O5))), CHAR(34) &amp; "year18" &amp; CHAR(34) &amp; ",", "")</f>
        <v/>
      </c>
      <c r="DO5" s="48" t="str">
        <f>IF(AND(ISNUMBER(SEARCH("19", O5)), ISERROR(SEARCH("1819", O5)),  ISERROR(SEARCH("1219", O5)),ISERROR(SEARCH("1119", O5)),ISERROR(SEARCH("1190", O5)),ISERROR(SEARCH("2019", O5))), CHAR(34) &amp; "year19" &amp; CHAR(34) &amp; ",", "")</f>
        <v>"year19",</v>
      </c>
      <c r="DP5" s="6" t="str">
        <f>IF(AND(ISNUMBER(SEARCH("20", O5)), ISERROR(SEARCH("1920", O5))), CHAR(34)&amp;"year00"&amp;CHAR(34)&amp;",", "")</f>
        <v/>
      </c>
      <c r="DQ5" s="6" t="str">
        <f>IF(CC5="y",CHAR(34)&amp;"soviet"&amp;CHAR(34)&amp;",","")</f>
        <v/>
      </c>
      <c r="DR5" s="6" t="str">
        <f>IF(BY5="y",CHAR(34)&amp;"dgband"&amp;CHAR(34)&amp;",","")</f>
        <v/>
      </c>
      <c r="DS5" s="6" t="str">
        <f>IF(W5="y",IF(AND(V5="n",BY5&lt;&gt;"y"),CHAR(34)&amp;"allver"&amp;CHAR(34)&amp;",",""),"")</f>
        <v>"allver",</v>
      </c>
      <c r="DT5" s="6" t="str">
        <f>IF(V5="y",IF(AND(W5="n",BY5&lt;&gt;"y"),CHAR(34)&amp;"allhor"&amp;CHAR(34)&amp;",",""),"")</f>
        <v/>
      </c>
      <c r="DU5" s="6" t="str">
        <f>IF(BY5="y",IF(AND(W5="n",V5="n"),CHAR(34)&amp;"alldia"&amp;CHAR(34)&amp;",",""),"")</f>
        <v/>
      </c>
      <c r="DW5" s="48" t="str">
        <f>IF(CL5="y",CHAR(34)&amp;CL$1&amp;CHAR(34)&amp;",","")</f>
        <v/>
      </c>
      <c r="DX5" s="48" t="str">
        <f>IF(CM5="y",CHAR(34)&amp;CM$1&amp;CHAR(34)&amp;",","")</f>
        <v/>
      </c>
      <c r="DY5" s="48" t="str">
        <f>IF(CN5="y",CHAR(34)&amp;CN$1&amp;CHAR(34)&amp;",","")</f>
        <v>"3Bands",</v>
      </c>
      <c r="DZ5" s="48" t="str">
        <f>IF(CO5="y",CHAR(34)&amp;CO$1&amp;CHAR(34)&amp;",","")</f>
        <v/>
      </c>
      <c r="EA5" s="48" t="str">
        <f>IF(T5="y",CHAR(34)&amp;T$1&amp;CHAR(34)&amp;",","")</f>
        <v/>
      </c>
      <c r="EB5" s="48" t="str">
        <f>IF(U5="y",CHAR(34)&amp;U$1&amp;CHAR(34)&amp;",","")</f>
        <v/>
      </c>
      <c r="EC5" s="48" t="str">
        <f>IF(V5="y",CHAR(34)&amp;V$1&amp;CHAR(34)&amp;",","")</f>
        <v/>
      </c>
      <c r="ED5" s="48" t="str">
        <f>IF(W5="y",CHAR(34)&amp;W$1&amp;CHAR(34)&amp;",","")</f>
        <v>"Vertic",</v>
      </c>
      <c r="EE5" s="48" t="str">
        <f>IF(X5="y",CHAR(34)&amp;X$1&amp;CHAR(34)&amp;",","")</f>
        <v/>
      </c>
      <c r="EF5" s="48" t="str">
        <f>IF(AND(Y5&lt;&gt;"n",Y5&lt;&gt;""),CHAR(34)&amp;Y$1&amp;CHAR(34)&amp;",","")</f>
        <v/>
      </c>
      <c r="EG5" s="48" t="str">
        <f>IF(Z5="y",CHAR(34)&amp;Z$1&amp;CHAR(34)&amp;",","")</f>
        <v/>
      </c>
      <c r="EH5" s="48" t="str">
        <f>IF(AA5="y",CHAR(34)&amp;AA$1&amp;CHAR(34)&amp;",","")</f>
        <v/>
      </c>
      <c r="EI5" s="48" t="str">
        <f>IF(AB5="y",CHAR(34)&amp;AB$1&amp;CHAR(34)&amp;",","")</f>
        <v/>
      </c>
      <c r="EJ5" s="48" t="str">
        <f>IF(AC5="y",CHAR(34)&amp;AC$1&amp;CHAR(34)&amp;",","")</f>
        <v/>
      </c>
      <c r="EK5" s="48" t="str">
        <f>IF(AD5="y",CHAR(34)&amp;AD$1&amp;CHAR(34)&amp;",","")</f>
        <v/>
      </c>
      <c r="EL5" s="48" t="str">
        <f>IF(AE5="y",CHAR(34)&amp;AE$1&amp;CHAR(34)&amp;",","")</f>
        <v/>
      </c>
      <c r="EM5" s="48" t="str">
        <f>IF(AF5="y",CHAR(34)&amp;AF$1&amp;CHAR(34)&amp;",","")</f>
        <v/>
      </c>
      <c r="EN5" s="48" t="str">
        <f>IF(AG5="y",CHAR(34)&amp;AG$1&amp;CHAR(34)&amp;",","")</f>
        <v>"Unequa",</v>
      </c>
      <c r="EO5" s="48" t="str">
        <f>IF(AH5="y",CHAR(34)&amp;AH$1&amp;CHAR(34)&amp;",","")</f>
        <v/>
      </c>
      <c r="EP5" s="48" t="str">
        <f>IF(AI5="y",CHAR(34)&amp;AI$1&amp;CHAR(34)&amp;",","")</f>
        <v/>
      </c>
      <c r="EQ5" s="48" t="str">
        <f>IF(AJ5="y",CHAR(34)&amp;AJ$1&amp;CHAR(34)&amp;",","")</f>
        <v/>
      </c>
      <c r="ER5" s="48" t="str">
        <f>IF(AK5="y",CHAR(34)&amp;AK$1&amp;CHAR(34)&amp;",","")</f>
        <v/>
      </c>
      <c r="ES5" s="48" t="str">
        <f>IF(AL5="y",CHAR(34)&amp;AL$1&amp;CHAR(34)&amp;",","")</f>
        <v/>
      </c>
      <c r="ET5" s="48" t="str">
        <f>IF(AM5="y",CHAR(34)&amp;AM$1&amp;CHAR(34)&amp;",","")</f>
        <v/>
      </c>
      <c r="EU5" s="48" t="str">
        <f>IF(AN5="y",CHAR(34)&amp;AN$1&amp;CHAR(34)&amp;",","")</f>
        <v/>
      </c>
      <c r="EV5" s="48" t="str">
        <f>IF(AO5="y",CHAR(34)&amp;AO$1&amp;CHAR(34)&amp;",","")</f>
        <v/>
      </c>
      <c r="EW5" s="48" t="str">
        <f>IF(AP5="y",CHAR(34)&amp;AP$1&amp;CHAR(34)&amp;",","")</f>
        <v/>
      </c>
      <c r="EX5" s="48" t="str">
        <f>IF(AQ5="y",CHAR(34)&amp;AQ$1&amp;CHAR(34)&amp;",","")</f>
        <v/>
      </c>
      <c r="EY5" s="48" t="str">
        <f>IF(AR5="y",CHAR(34)&amp;AR$1&amp;CHAR(34)&amp;",","")</f>
        <v/>
      </c>
      <c r="EZ5" s="48" t="str">
        <f>IF(AS5="y",CHAR(34)&amp;AS$1&amp;CHAR(34)&amp;",","")</f>
        <v/>
      </c>
      <c r="FA5" s="48" t="str">
        <f>IF(AT5&gt;0,CHAR(34)&amp;"sta"&amp;AZ5&amp;CHAR(34)&amp;",","")</f>
        <v>"staYEL",</v>
      </c>
      <c r="FB5" s="48" t="str">
        <f>IF(AND(AT5&gt;0,BA5&lt;&gt;""),CHAR(34)&amp;"sta"&amp;BA5&amp;CHAR(34)&amp;",","")</f>
        <v/>
      </c>
      <c r="FD5" s="48" t="str">
        <f>IF(BV5="n",CHAR(34)&amp;"tcWHYE"&amp;CHAR(34)&amp;",",IF(BV5="y",CHAR(34)&amp;FD$1&amp;CHAR(34)&amp;",",""))</f>
        <v/>
      </c>
      <c r="FE5" s="48" t="str">
        <f>IF(COUNTIF(BL5:BT5,"BLU")=0,CHAR(34)&amp;"NO_BLU"&amp;CHAR(34)&amp;",", "")</f>
        <v>"NO_BLU",</v>
      </c>
      <c r="FF5" s="48" t="str">
        <f>IF(COUNTIF(BL5:BT5,"WHI")=0,CHAR(34)&amp;"NO_WHI"&amp;CHAR(34)&amp;",", "")</f>
        <v>"NO_WHI",</v>
      </c>
      <c r="FG5" s="48" t="str">
        <f>IF(COUNTIF(BL5:BT5,"RED")=0,CHAR(34)&amp;"NO_RED"&amp;CHAR(34)&amp;",", "")</f>
        <v/>
      </c>
      <c r="FH5" s="48" t="str">
        <f>IF(COUNTIF(BL5:BS5,"GRE")=0,CHAR(34)&amp;"NO_GRE"&amp;CHAR(34)&amp;",", "")</f>
        <v/>
      </c>
      <c r="FI5" s="48" t="str">
        <f>IF(COUNTIF(BL5:BT5,"YEL")=0,CHAR(34)&amp;"NO_YEL"&amp;CHAR(34)&amp;",", "")</f>
        <v/>
      </c>
      <c r="FJ5" s="48" t="str">
        <f>IF(COUNTIF(BL5:BT5,"BLA")=0,CHAR(34)&amp;"NO_BLA"&amp;CHAR(34)&amp;",", "")</f>
        <v>"NO_BLA",</v>
      </c>
      <c r="FK5" s="48" t="str">
        <f>IF(AND(FH5&lt;&gt;"",FF5&lt;&gt;""),CHAR(34)&amp;"WHGRNO"&amp;CHAR(34)&amp;",","")</f>
        <v/>
      </c>
      <c r="FL5" s="48" t="str">
        <f>IF(AND(FI5&lt;&gt;"",FF5&lt;&gt;""),CHAR(34)&amp;"WHYENO"&amp;CHAR(34)&amp;",","")</f>
        <v/>
      </c>
      <c r="FM5" s="48" t="str">
        <f>IF(AND(FJ5&lt;&gt;"",FF5&lt;&gt;""),CHAR(34)&amp;"BAWHNO"&amp;CHAR(34)&amp;",","")</f>
        <v>"BAWHNO",</v>
      </c>
      <c r="FN5" s="48" t="str">
        <f>IF(AND(FE5&lt;&gt;"",FF5&lt;&gt;""),CHAR(34)&amp;"BLWHNO"&amp;CHAR(34)&amp;",","")</f>
        <v>"BLWHNO",</v>
      </c>
      <c r="FO5" s="48" t="str">
        <f>IF(AND(FE5&lt;&gt;"",FG5&lt;&gt;""),CHAR(34)&amp;"BLRENO"&amp;CHAR(34)&amp;",","")</f>
        <v/>
      </c>
      <c r="FP5" s="48" t="str">
        <f>IF(AND(FF5&lt;&gt;"",FF5&lt;&gt;""),CHAR(34)&amp;"WHRENO"&amp;CHAR(34)&amp;",","")</f>
        <v>"WHRENO",</v>
      </c>
      <c r="FQ5" s="48" t="str">
        <f>IF(LEN(BF5)=3,CHAR(34)&amp;"001"&amp;BF5&amp;CHAR(34)&amp;",","")</f>
        <v>"001GRE",</v>
      </c>
      <c r="FR5" s="48" t="str">
        <f>IF(LEN(BG5)=3,CHAR(34)&amp;"002"&amp;BG5&amp;CHAR(34)&amp;",","")</f>
        <v>"002RED",</v>
      </c>
      <c r="FS5" s="48" t="str">
        <f>IF(LEN(BH5)=3,CHAR(34)&amp;"003"&amp;BH5&amp;CHAR(34)&amp;",","")</f>
        <v>"003YEL",</v>
      </c>
      <c r="FT5" s="48" t="str">
        <f>CHAR(34)&amp;"myr"&amp;BD5&amp;CHAR(34)&amp;","</f>
        <v>"myrYEL",</v>
      </c>
      <c r="FU5" s="48" t="str">
        <f>IF(AY5="y",CHAR(34)&amp;"island"&amp;CHAR(34)&amp;",","")</f>
        <v/>
      </c>
      <c r="FV5" s="48" t="str">
        <f>IF(BZ5="y",CHAR(34)&amp;"landlo"&amp;CHAR(34)&amp;",","")</f>
        <v/>
      </c>
      <c r="FW5" s="48" t="str">
        <f>IF(CA5="y",CHAR(34)&amp;"eunion"&amp;CHAR(34)&amp;",","")</f>
        <v/>
      </c>
      <c r="FY5" s="48" t="str">
        <f>IFERROR(IF(SEARCH("Arabic",CB5)&gt;0,CHAR(34)&amp;"arabic"&amp;CHAR(34)&amp;",",""),"")</f>
        <v/>
      </c>
      <c r="FZ5" s="48" t="str">
        <f>IFERROR(IF(SEARCH("English",CB5)&gt;0,CHAR(34)&amp;"englis"&amp;CHAR(34)&amp;",",""),"")</f>
        <v/>
      </c>
      <c r="GA5" s="48" t="str">
        <f>IFERROR(IF(SEARCH("French",CB5)&gt;0,CHAR(34)&amp;"french"&amp;CHAR(34)&amp;",",""),"")</f>
        <v/>
      </c>
      <c r="GB5" s="48" t="str">
        <f>IFERROR(IF(SEARCH("Spanish",CB5)&gt;0,CHAR(34)&amp;"spanis"&amp;CHAR(34)&amp;",",""),"")</f>
        <v/>
      </c>
      <c r="GE5" s="48" t="str">
        <f>IFERROR(IF(SEARCH("Dutch",CB5)&gt;0,CHAR(34)&amp;"dutchs"&amp;CHAR(34)&amp;",",""),"")</f>
        <v/>
      </c>
      <c r="GF5" s="48" t="str">
        <f>IFERROR(IF(SEARCH("Historical",AU5)&gt;0,CHAR(34)&amp;"histor"&amp;CHAR(34)&amp;",",""),"")</f>
        <v>"histor",</v>
      </c>
      <c r="GG5" s="48" t="str">
        <f>IF(BU5="y",CHAR(34)&amp;"unjack"&amp;CHAR(34)&amp;",","")</f>
        <v/>
      </c>
      <c r="GH5" s="48" t="str">
        <f>IF(CD5=1,CHAR(34)&amp;"southc"&amp;CHAR(34)&amp;",","")</f>
        <v/>
      </c>
      <c r="GI5" s="48" t="str">
        <f>IF(CE5=1,CHAR(34)&amp;"hasmap"&amp;CHAR(34)&amp;",","")</f>
        <v/>
      </c>
      <c r="GJ5" s="48" t="str">
        <f>IF(CP5="y",CHAR(34)&amp;CP$1&amp;CHAR(34)&amp;",","")</f>
        <v/>
      </c>
      <c r="GK5" s="48" t="str">
        <f>IF(GJ5="",CHAR(34)&amp;"HasSta"&amp;CHAR(34)&amp;",","")</f>
        <v>"HasSta",</v>
      </c>
      <c r="GL5" s="48" t="str">
        <f>IF(CQ5="y",CHAR(34)&amp;CQ$1&amp;CHAR(34)&amp;",","")</f>
        <v/>
      </c>
      <c r="GM5" s="48" t="str">
        <f>IF(CR5="y",CHAR(34)&amp;CR$1&amp;CHAR(34)&amp;",","")</f>
        <v>"2Stars",</v>
      </c>
      <c r="GN5" s="48" t="str">
        <f>IF(CS5="y",CHAR(34)&amp;CS$1&amp;CHAR(34)&amp;",","")</f>
        <v/>
      </c>
      <c r="GP5" s="48" t="str">
        <f>CHAR(34)&amp;AU5&amp;CHAR(34)</f>
        <v>"Historical"</v>
      </c>
      <c r="GS5" s="48" t="str">
        <f>SUBSTITUTE("["&amp;_xlfn.CONCAT(CW5:GN5)&amp;"]",",]","]")</f>
        <v>["3Color","words2","lets19","startC","REEDEL","year19","allver","3Bands","Vertic","Unequa","staYEL","NO_BLU","NO_WHI","NO_BLA","BAWHNO","BLWHNO","WHRENO","001GRE","002RED","003YEL","myrYEL","histor","HasSta","2Stars"]</v>
      </c>
      <c r="GT5" s="48" t="str">
        <f>IF(BL5&lt;&gt;"",CHAR(34)&amp;"cl_"&amp;BL5&amp;CHAR(34)&amp;",","")</f>
        <v/>
      </c>
      <c r="GU5" s="48" t="str">
        <f>IF(BM5&lt;&gt;"",CHAR(34)&amp;"cl_"&amp;BM5&amp;CHAR(34)&amp;",","")</f>
        <v/>
      </c>
      <c r="GV5" s="48" t="str">
        <f>IF(BN5&lt;&gt;"",CHAR(34)&amp;"cl_"&amp;BN5&amp;CHAR(34)&amp;",","")</f>
        <v>"cl_GRE",</v>
      </c>
      <c r="GW5" s="48" t="str">
        <f>IF(BO5&lt;&gt;"",CHAR(34)&amp;"cl_"&amp;BO5&amp;CHAR(34)&amp;",","")</f>
        <v>"cl_RED",</v>
      </c>
      <c r="GX5" s="48" t="str">
        <f>IF(BP5&lt;&gt;"",CHAR(34)&amp;"cl_"&amp;BP5&amp;CHAR(34)&amp;",","")</f>
        <v>"cl_YEL",</v>
      </c>
      <c r="GY5" s="48" t="str">
        <f>IF(BQ5&lt;&gt;"",CHAR(34)&amp;"cl_"&amp;BQ5&amp;CHAR(34)&amp;",","")</f>
        <v/>
      </c>
      <c r="GZ5" s="48" t="str">
        <f>IF(BR5&lt;&gt;"",CHAR(34)&amp;"cl_"&amp;BR5&amp;CHAR(34)&amp;",","")</f>
        <v/>
      </c>
      <c r="HA5" s="48" t="str">
        <f>IF(BS5&lt;&gt;"",CHAR(34)&amp;"cl_"&amp;BS5&amp;CHAR(34)&amp;",","")</f>
        <v/>
      </c>
      <c r="HB5" s="48" t="str">
        <f>IF(BT5&lt;&gt;"",CHAR(34)&amp;"cl_"&amp;BT5&amp;CHAR(34)&amp;",","")</f>
        <v/>
      </c>
      <c r="HC5" s="48" t="str">
        <f>SUBSTITUTE("["&amp;_xlfn.CONCAT(GT5:HB5)&amp;"]",",]","]")</f>
        <v>["cl_GRE","cl_RED","cl_YEL"]</v>
      </c>
      <c r="HE5" s="71"/>
      <c r="HF5" s="72" t="str">
        <f>"{couname:"&amp;CT5&amp;(IF(HK5&lt;&gt;"",",subtype:"&amp;CHAR(34)&amp;HK5&amp;CHAR(34),""))&amp;",year:"&amp;HJ5&amp;",region:"&amp;CU5&amp;",Colors:"&amp;HC5&amp;",Items:"&amp;GS5&amp;",Flag:"&amp;CV5&amp;",HDFlag:"&amp;CHAR(34)&amp;E5&amp;CHAR(34)&amp;",type:"&amp;GP5&amp;", describe: "&amp;HH5&amp;", isnew:"&amp;CHAR(34)&amp;F5&amp;CHAR(34)&amp;", links: "&amp;HL5&amp;"},"</f>
        <v>{couname:"[CMR] Cameroon (1961–1975)",year:"1961",region:"rgn_Africa",Colors:["cl_GRE","cl_RED","cl_YEL"],Items:["3Color","words2","lets19","startC","REEDEL","year19","allver","3Bands","Vertic","Unequa","staYEL","NO_BLU","NO_WHI","NO_BLA","BAWHNO","BLWHNO","WHRENO","001GRE","002RED","003YEL","myrYEL","histor","HasSta","2Stars"],Flag:"https://upload.wikimedia.org/wikipedia/commons/thumb/d/d4/Flag_of_Cameroon_%281961%E2%80%931975%29.svg/640px-Flag_of_Cameroon_%281961%E2%80%931975%29.svg.png",HDFlag:"https://upload.wikimedia.org/wikipedia/commons/thumb/d/d4/Flag_of_Cameroon_%281961%E2%80%931975%29.svg/2560px-Flag_of_Cameroon_%281961%E2%80%931975%29.svg.png",type:"Historical", describe: "\nVertical Green - Red - Yellow Tricolor with two stars in the top left symbolizing the two main languages of Cameroon - English and French", isnew:".", links: "https://en.wikipedia.org/wiki/List_of_Cameroonian_flags"},</v>
      </c>
      <c r="HG5" s="73" t="str">
        <f>"{couname:"&amp;CT5&amp;(IF(HK5&lt;&gt;"",",subtype:"&amp;CHAR(34)&amp;HK5&amp;CHAR(34),""))&amp;",year:"&amp;HJ5&amp;",region:"&amp;CU5&amp;",Colors:"&amp;HC5&amp;",Items:"&amp;GS5&amp;",Flag:"&amp;CV5&amp;",HDFlag:"&amp;CHAR(34)&amp;E5&amp;CHAR(34)&amp;",type:"&amp;GP5&amp;", describe: "&amp;HI5&amp;", links: "&amp;HL5&amp;"},"</f>
        <v>{couname:"[CMR] Cameroon (1961–1975)",year:"1961",region:"rgn_Africa",Colors:["cl_GRE","cl_RED","cl_YEL"],Items:["3Color","words2","lets19","startC","REEDEL","year19","allver","3Bands","Vertic","Unequa","staYEL","NO_BLU","NO_WHI","NO_BLA","BAWHNO","BLWHNO","WHRENO","001GRE","002RED","003YEL","myrYEL","histor","HasSta","2Stars"],Flag:"https://upload.wikimedia.org/wikipedia/commons/thumb/d/d4/Flag_of_Cameroon_%281961%E2%80%931975%29.svg/640px-Flag_of_Cameroon_%281961%E2%80%931975%29.svg.png",HDFlag:"https://upload.wikimedia.org/wikipedia/commons/thumb/d/d4/Flag_of_Cameroon_%281961%E2%80%931975%29.svg/2560px-Flag_of_Cameroon_%281961%E2%80%931975%29.svg.png",type:"Historical", describe: "\nVertical Green - Red - Yellow Tricolor with two stars in the top left symbolizing the two main languages of Cameroon - English and French", links: "https://en.wikipedia.org/wiki/List_of_Cameroonian_flags"},</v>
      </c>
      <c r="HH5" s="48" t="str">
        <f>IF(P5&lt;&gt;"",CHAR(34)&amp;"\n"&amp;P5&amp;CHAR(34),CHAR(34)&amp;CHAR(34))</f>
        <v>"\nVertical Green - Red - Yellow Tricolor with two stars in the top left symbolizing the two main languages of Cameroon - English and French"</v>
      </c>
      <c r="HI5" s="48" t="str">
        <f>IF(J5=0,CHAR(34)&amp;CHAR(34),HH5)</f>
        <v>"\nVertical Green - Red - Yellow Tricolor with two stars in the top left symbolizing the two main languages of Cameroon - English and French"</v>
      </c>
      <c r="HJ5" s="48" t="str">
        <f>CHAR(34)&amp;O5&amp;CHAR(34)</f>
        <v>"1961"</v>
      </c>
      <c r="HL5" s="48" t="str">
        <f>CHAR(34)&amp;I5&amp;CHAR(34)</f>
        <v>"https://en.wikipedia.org/wiki/List_of_Cameroonian_flags"</v>
      </c>
      <c r="HM5" s="72" t="str">
        <f>"{"&amp;CHAR(34)&amp;"couname"&amp;CHAR(34)&amp;":"&amp;CT5&amp;(IF(H5&lt;&gt;"",","&amp;CHAR(34)&amp;"subtype"&amp;CHAR(34)&amp;":"&amp;CHAR(34)&amp;H5&amp;CHAR(34),""))&amp;","&amp;CHAR(34)&amp;"year"&amp;CHAR(34)&amp;":"&amp;HJ5&amp;","&amp;CHAR(34)&amp;"region"&amp;CHAR(34)&amp;":"&amp;CU5&amp;","&amp;CHAR(34)&amp;"Colors"&amp;CHAR(34)&amp;":"&amp;HC5&amp;","&amp;CHAR(34)&amp;"Items"&amp;CHAR(34)&amp;":"&amp;GS5&amp;","&amp;CHAR(34)&amp;"Flag"&amp;CHAR(34)&amp;":"&amp;CV5&amp;","&amp;CHAR(34)&amp;"HDFlag"&amp;CHAR(34)&amp;":"&amp;CHAR(34)&amp;E5&amp;CHAR(34)&amp;","&amp;CHAR(34)&amp;"type"&amp;CHAR(34)&amp;":"&amp;GP5&amp;", "&amp;CHAR(34)&amp;"describe"&amp;CHAR(34)&amp;": "&amp;HH5&amp;", "&amp;CHAR(34)&amp;"isnew"&amp;CHAR(34)&amp;": "&amp;CHAR(34)&amp;F5&amp;CHAR(34)&amp;", "&amp;CHAR(34)&amp;"links"&amp;CHAR(34)&amp;": "&amp;HL5&amp;"},"</f>
        <v>{"couname":"[CMR] Cameroon (1961–1975)","subtype":"[CMR] Other","year":"1961","region":"rgn_Africa","Colors":["cl_GRE","cl_RED","cl_YEL"],"Items":["3Color","words2","lets19","startC","REEDEL","year19","allver","3Bands","Vertic","Unequa","staYEL","NO_BLU","NO_WHI","NO_BLA","BAWHNO","BLWHNO","WHRENO","001GRE","002RED","003YEL","myrYEL","histor","HasSta","2Stars"],"Flag":"https://upload.wikimedia.org/wikipedia/commons/thumb/d/d4/Flag_of_Cameroon_%281961%E2%80%931975%29.svg/640px-Flag_of_Cameroon_%281961%E2%80%931975%29.svg.png","HDFlag":"https://upload.wikimedia.org/wikipedia/commons/thumb/d/d4/Flag_of_Cameroon_%281961%E2%80%931975%29.svg/2560px-Flag_of_Cameroon_%281961%E2%80%931975%29.svg.png","type":"Historical", "describe": "\nVertical Green - Red - Yellow Tricolor with two stars in the top left symbolizing the two main languages of Cameroon - English and French", "isnew": ".", "links": "https://en.wikipedia.org/wiki/List_of_Cameroonian_flags"},</v>
      </c>
      <c r="HN5" s="74" t="str">
        <f>"{"&amp;CHAR(34)&amp;"couname"&amp;CHAR(34)&amp;":"&amp;CT5&amp;(IF(H5&lt;&gt;"",","&amp;CHAR(34)&amp;"subtype"&amp;CHAR(34)&amp;":"&amp;CHAR(34)&amp;H5&amp;CHAR(34),""))&amp;","&amp;CHAR(34)&amp;"year"&amp;CHAR(34)&amp;":"&amp;HJ5&amp;","&amp;CHAR(34)&amp;"region"&amp;CHAR(34)&amp;":"&amp;CU5&amp;","&amp;CHAR(34)&amp;"Colors"&amp;CHAR(34)&amp;":"&amp;HC5&amp;","&amp;CHAR(34)&amp;"Items"&amp;CHAR(34)&amp;":"&amp;GS5&amp;","&amp;CHAR(34)&amp;"Flag"&amp;CHAR(34)&amp;":"&amp;CV5&amp;","&amp;CHAR(34)&amp;"HDFlag"&amp;CHAR(34)&amp;":"&amp;CHAR(34)&amp;E5&amp;CHAR(34)&amp;","&amp;CHAR(34)&amp;"type"&amp;CHAR(34)&amp;":"&amp;GP5&amp;", "&amp;CHAR(34)&amp;"describe"&amp;CHAR(34)&amp;": "&amp;HI5&amp;", "&amp;CHAR(34)&amp;"isnew"&amp;CHAR(34)&amp;": "&amp;CHAR(34)&amp;F5&amp;CHAR(34)&amp;", "&amp;CHAR(34)&amp;"links"&amp;CHAR(34)&amp;": "&amp;HL5&amp;"},"</f>
        <v>{"couname":"[CMR] Cameroon (1961–1975)","subtype":"[CMR] Other","year":"1961","region":"rgn_Africa","Colors":["cl_GRE","cl_RED","cl_YEL"],"Items":["3Color","words2","lets19","startC","REEDEL","year19","allver","3Bands","Vertic","Unequa","staYEL","NO_BLU","NO_WHI","NO_BLA","BAWHNO","BLWHNO","WHRENO","001GRE","002RED","003YEL","myrYEL","histor","HasSta","2Stars"],"Flag":"https://upload.wikimedia.org/wikipedia/commons/thumb/d/d4/Flag_of_Cameroon_%281961%E2%80%931975%29.svg/640px-Flag_of_Cameroon_%281961%E2%80%931975%29.svg.png","HDFlag":"https://upload.wikimedia.org/wikipedia/commons/thumb/d/d4/Flag_of_Cameroon_%281961%E2%80%931975%29.svg/2560px-Flag_of_Cameroon_%281961%E2%80%931975%29.svg.png","type":"Historical", "describe": "\nVertical Green - Red - Yellow Tricolor with two stars in the top left symbolizing the two main languages of Cameroon - English and French", "isnew": ".", "links": "https://en.wikipedia.org/wiki/List_of_Cameroonian_flags"},</v>
      </c>
      <c r="HO5" s="75">
        <v>45644</v>
      </c>
      <c r="HP5" s="48" t="str" cm="1">
        <f t="array" ref="HP5">IF(_xlfn.TEXTJOIN(", ", TRUE, IF(ISNUMBER(SEARCH("BLA", BL5:BT5)), COLUMN(BL5:BT5) - COLUMN(BL5) + 1, ""))&lt;&gt;"","BLA","")</f>
        <v/>
      </c>
      <c r="HQ5" s="48" t="str" cm="1">
        <f t="array" ref="HQ5">IF(_xlfn.TEXTJOIN(", ", TRUE, IF(ISNUMBER(SEARCH("BLU", BL5:BT5)), COLUMN(BL5:BT5) - COLUMN(BL5) + 1, ""))&lt;&gt;"","BLU","")</f>
        <v/>
      </c>
      <c r="HR5" s="48" t="str" cm="1">
        <f t="array" ref="HR5">IF(_xlfn.TEXTJOIN(", ", TRUE, IF(ISNUMBER(SEARCH("GRE", BL5:BT5)), COLUMN(BL5:BT5) - COLUMN(BL5) + 1, ""))&lt;&gt;"","GRE","")</f>
        <v>GRE</v>
      </c>
      <c r="HS5" s="48" t="str" cm="1">
        <f t="array" ref="HS5">IF(_xlfn.TEXTJOIN(", ", TRUE, IF(ISNUMBER(SEARCH("RED", BL5:BT5)), COLUMN(BL5:BT5) - COLUMN(BL5) + 1, ""))&lt;&gt;"","RED","")</f>
        <v>RED</v>
      </c>
      <c r="HT5" s="48" t="str" cm="1">
        <f t="array" ref="HT5">IF(_xlfn.TEXTJOIN(", ", TRUE, IF(ISNUMBER(SEARCH("YEL", BL5:BT5)), COLUMN(BL5:BT5) - COLUMN(BL5) + 1, ""))&lt;&gt;"","YEL","")</f>
        <v>YEL</v>
      </c>
      <c r="HU5" s="48" t="str" cm="1">
        <f t="array" ref="HU5">IF(_xlfn.TEXTJOIN(", ", TRUE, IF(ISNUMBER(SEARCH("ORA", BL5:BT5)), COLUMN(BL5:BT5) - COLUMN(BL5) + 1, ""))&lt;&gt;"","ORA","")</f>
        <v/>
      </c>
      <c r="HV5" s="48" t="str" cm="1">
        <f t="array" ref="HV5">IF(_xlfn.TEXTJOIN(", ", TRUE, IF(ISNUMBER(SEARCH("BRO", BL5:BT5)), COLUMN(BL5:BT5) - COLUMN(BL5) + 1, ""))&lt;&gt;"","BRO","")</f>
        <v/>
      </c>
      <c r="HW5" s="48" t="str" cm="1">
        <f t="array" ref="HW5">IF(_xlfn.TEXTJOIN(", ", TRUE, IF(ISNUMBER(SEARCH("PUR", BL5:BT5)), COLUMN(BL5:BT5) - COLUMN(BL5) + 1, ""))&lt;&gt;"","PUR","")</f>
        <v/>
      </c>
      <c r="HX5" s="48" t="str" cm="1">
        <f t="array" ref="HX5">IF(_xlfn.TEXTJOIN(", ", TRUE, IF(ISNUMBER(SEARCH("WHI", BL5:BT5)), COLUMN(BL5:BT5) - COLUMN(BL5) + 1, ""))&lt;&gt;"","WHI","")</f>
        <v/>
      </c>
      <c r="HY5" s="76"/>
      <c r="HZ5" s="76"/>
      <c r="IA5" s="6"/>
      <c r="IB5" s="6"/>
      <c r="IC5" s="77"/>
      <c r="ID5" s="77"/>
      <c r="IE5" s="77"/>
      <c r="IF5" s="77"/>
      <c r="IG5" s="77"/>
      <c r="IH5" s="77"/>
      <c r="II5" s="77"/>
      <c r="IJ5" s="77"/>
      <c r="IK5" s="77"/>
      <c r="IM5" s="45">
        <f>COUNTIF(IC5:IK5,"&gt;0")-CG5</f>
        <v>-3</v>
      </c>
      <c r="IN5" s="78" t="str">
        <f>"http://mkweb.bcgsc.ca/color-summarizer/?url="&amp;D5&amp;"&amp;precision=low&amp;num_clusters="&amp;CG5&amp;"&amp;text=1"</f>
        <v>http://mkweb.bcgsc.ca/color-summarizer/?url=https://upload.wikimedia.org/wikipedia/commons/thumb/d/d4/Flag_of_Cameroon_%281961%E2%80%931975%29.svg/640px-Flag_of_Cameroon_%281961%E2%80%931975%29.svg.png&amp;precision=low&amp;num_clusters=3&amp;text=1</v>
      </c>
      <c r="IO5" s="48" t="str">
        <f>IF(HP5&lt;&gt;"",CHAR(34)&amp;"black"&amp;CHAR(34),"")</f>
        <v/>
      </c>
      <c r="IP5" s="48" t="str">
        <f>IF(HQ5&lt;&gt;"",CHAR(34)&amp;"blue"&amp;CHAR(34),"")</f>
        <v/>
      </c>
      <c r="IQ5" s="48" t="str">
        <f>IF(HR5&lt;&gt;"",CHAR(34)&amp;"green"&amp;CHAR(34),"")</f>
        <v>"green"</v>
      </c>
      <c r="IR5" s="48" t="str">
        <f>IF(HS5&lt;&gt;"",CHAR(34)&amp;"red"&amp;CHAR(34),"")</f>
        <v>"red"</v>
      </c>
      <c r="IS5" s="48" t="str">
        <f>IF(HT5&lt;&gt;"",CHAR(34)&amp;"yellow"&amp;CHAR(34),"")</f>
        <v>"yellow"</v>
      </c>
      <c r="IT5" s="48" t="str">
        <f>IF(HU5&lt;&gt;"",CHAR(34)&amp;"orange"&amp;CHAR(34),"")</f>
        <v/>
      </c>
      <c r="IU5" s="48" t="str">
        <f>IF(HV5&lt;&gt;"",CHAR(34)&amp;"brown"&amp;CHAR(34),"")</f>
        <v/>
      </c>
      <c r="IV5" s="48" t="str">
        <f>IF(HW5&lt;&gt;"",CHAR(34)&amp;"purple"&amp;CHAR(34),"")</f>
        <v/>
      </c>
      <c r="IW5" s="48" t="str">
        <f>IF(HX5&lt;&gt;"",CHAR(34)&amp;"white"&amp;CHAR(34),"")</f>
        <v/>
      </c>
      <c r="IX5" s="48" t="str">
        <f>"{"&amp;CHAR(34)&amp;"url"&amp;CHAR(34)&amp;":"&amp;CHAR(34)&amp;IN5&amp;CHAR(34)&amp;","&amp;CHAR(34)&amp;"name"&amp;CHAR(34)&amp;":"&amp;CHAR(34)&amp;A5&amp;CHAR(34)&amp;"},"</f>
        <v>{"url":"http://mkweb.bcgsc.ca/color-summarizer/?url=https://upload.wikimedia.org/wikipedia/commons/thumb/d/d4/Flag_of_Cameroon_%281961%E2%80%931975%29.svg/640px-Flag_of_Cameroon_%281961%E2%80%931975%29.svg.png&amp;precision=low&amp;num_clusters=3&amp;text=1","name":"[CMR] Cameroon (1961–1975)"},</v>
      </c>
      <c r="IY5" s="48">
        <v>1503</v>
      </c>
    </row>
    <row r="7" spans="1:259" ht="38.4" customHeight="1" x14ac:dyDescent="0.3">
      <c r="F7" s="82"/>
      <c r="G7" s="82"/>
      <c r="H7" s="82"/>
      <c r="I7" s="82"/>
      <c r="J7" s="82"/>
      <c r="K7" s="82"/>
    </row>
    <row r="8" spans="1:259" ht="38.4" customHeight="1" x14ac:dyDescent="0.3">
      <c r="F8" s="82"/>
      <c r="G8" s="82"/>
      <c r="H8" s="82"/>
      <c r="I8" s="82"/>
      <c r="J8" s="82"/>
      <c r="K8" s="82"/>
    </row>
    <row r="9" spans="1:259" ht="38.4" customHeight="1" x14ac:dyDescent="0.3">
      <c r="F9" s="82"/>
      <c r="G9" s="82"/>
      <c r="H9" s="82"/>
      <c r="I9" s="82"/>
      <c r="J9" s="82"/>
      <c r="K9" s="82"/>
    </row>
    <row r="10" spans="1:259" ht="38.4" customHeight="1" x14ac:dyDescent="0.3">
      <c r="F10" s="82"/>
      <c r="G10" s="82"/>
      <c r="H10" s="82"/>
      <c r="I10" s="82"/>
      <c r="J10" s="82"/>
      <c r="K10" s="82"/>
    </row>
  </sheetData>
  <autoFilter ref="A1:IY1" xr:uid="{A1051193-A95B-4CFB-A73C-F0184620C81F}">
    <sortState xmlns:xlrd2="http://schemas.microsoft.com/office/spreadsheetml/2017/richdata2" ref="A2:IY5">
      <sortCondition ref="AW1"/>
    </sortState>
  </autoFilter>
  <conditionalFormatting sqref="H1 CW1:GS1 IA1:IB1">
    <cfRule type="cellIs" dxfId="5661" priority="118" operator="greaterThan">
      <formula>0</formula>
    </cfRule>
  </conditionalFormatting>
  <conditionalFormatting sqref="H1 H6 H11:H1048576">
    <cfRule type="cellIs" dxfId="5660" priority="84" stopIfTrue="1" operator="notEqual">
      <formula>""</formula>
    </cfRule>
  </conditionalFormatting>
  <conditionalFormatting sqref="T1:BK1">
    <cfRule type="cellIs" dxfId="5659" priority="121" operator="greaterThan">
      <formula>0</formula>
    </cfRule>
  </conditionalFormatting>
  <conditionalFormatting sqref="BV1:BW1 BV6:BW1048576">
    <cfRule type="cellIs" dxfId="5658" priority="120" operator="equal">
      <formula>"nc"</formula>
    </cfRule>
  </conditionalFormatting>
  <conditionalFormatting sqref="HF1:HG1">
    <cfRule type="cellIs" dxfId="5657" priority="122" operator="greaterThan">
      <formula>0</formula>
    </cfRule>
  </conditionalFormatting>
  <conditionalFormatting sqref="HK1">
    <cfRule type="cellIs" dxfId="5656" priority="119" operator="greaterThan">
      <formula>0</formula>
    </cfRule>
  </conditionalFormatting>
  <conditionalFormatting sqref="HP1:HX1">
    <cfRule type="cellIs" dxfId="5655" priority="96" operator="equal">
      <formula>"PIN"</formula>
    </cfRule>
    <cfRule type="cellIs" dxfId="5654" priority="97" operator="equal">
      <formula>"ORA"</formula>
    </cfRule>
    <cfRule type="cellIs" dxfId="5653" priority="98" operator="equal">
      <formula>"GRA"</formula>
    </cfRule>
    <cfRule type="cellIs" dxfId="5652" priority="99" operator="equal">
      <formula>"PUR"</formula>
    </cfRule>
    <cfRule type="cellIs" dxfId="5651" priority="100" operator="equal">
      <formula>"BRO"</formula>
    </cfRule>
    <cfRule type="cellIs" dxfId="5650" priority="101" operator="equal">
      <formula>"YEL"</formula>
    </cfRule>
    <cfRule type="cellIs" dxfId="5649" priority="102" operator="equal">
      <formula>"BLU"</formula>
    </cfRule>
    <cfRule type="cellIs" dxfId="5648" priority="103" operator="equal">
      <formula>"WHI"</formula>
    </cfRule>
    <cfRule type="cellIs" dxfId="5647" priority="104" operator="equal">
      <formula>"GRE"</formula>
    </cfRule>
    <cfRule type="cellIs" dxfId="5646" priority="105" operator="equal">
      <formula>"RED"</formula>
    </cfRule>
    <cfRule type="cellIs" dxfId="5645" priority="106" operator="equal">
      <formula>"BLA"</formula>
    </cfRule>
  </conditionalFormatting>
  <conditionalFormatting sqref="IC1:IK1">
    <cfRule type="cellIs" dxfId="5644" priority="107" operator="equal">
      <formula>"PIN"</formula>
    </cfRule>
    <cfRule type="cellIs" dxfId="5643" priority="108" operator="equal">
      <formula>"ORA"</formula>
    </cfRule>
    <cfRule type="cellIs" dxfId="5642" priority="109" operator="equal">
      <formula>"GRA"</formula>
    </cfRule>
    <cfRule type="cellIs" dxfId="5641" priority="110" operator="equal">
      <formula>"PUR"</formula>
    </cfRule>
    <cfRule type="cellIs" dxfId="5640" priority="111" operator="equal">
      <formula>"BRO"</formula>
    </cfRule>
    <cfRule type="cellIs" dxfId="5639" priority="112" operator="equal">
      <formula>"YEL"</formula>
    </cfRule>
    <cfRule type="cellIs" dxfId="5638" priority="113" operator="equal">
      <formula>"BLU"</formula>
    </cfRule>
    <cfRule type="cellIs" dxfId="5637" priority="114" operator="equal">
      <formula>"WHI"</formula>
    </cfRule>
    <cfRule type="cellIs" dxfId="5636" priority="115" operator="equal">
      <formula>"GRE"</formula>
    </cfRule>
    <cfRule type="cellIs" dxfId="5635" priority="116" operator="equal">
      <formula>"RED"</formula>
    </cfRule>
    <cfRule type="cellIs" dxfId="5634" priority="117" operator="equal">
      <formula>"BLA"</formula>
    </cfRule>
  </conditionalFormatting>
  <conditionalFormatting sqref="IO1:IW1">
    <cfRule type="cellIs" dxfId="5633" priority="85" operator="equal">
      <formula>"PIN"</formula>
    </cfRule>
    <cfRule type="cellIs" dxfId="5632" priority="86" operator="equal">
      <formula>"ORA"</formula>
    </cfRule>
    <cfRule type="cellIs" dxfId="5631" priority="87" operator="equal">
      <formula>"GRA"</formula>
    </cfRule>
    <cfRule type="cellIs" dxfId="5630" priority="88" operator="equal">
      <formula>"PUR"</formula>
    </cfRule>
    <cfRule type="cellIs" dxfId="5629" priority="89" operator="equal">
      <formula>"BRO"</formula>
    </cfRule>
    <cfRule type="cellIs" dxfId="5628" priority="90" operator="equal">
      <formula>"YEL"</formula>
    </cfRule>
    <cfRule type="cellIs" dxfId="5627" priority="91" operator="equal">
      <formula>"BLU"</formula>
    </cfRule>
    <cfRule type="cellIs" dxfId="5626" priority="92" operator="equal">
      <formula>"WHI"</formula>
    </cfRule>
    <cfRule type="cellIs" dxfId="5625" priority="93" operator="equal">
      <formula>"GRE"</formula>
    </cfRule>
    <cfRule type="cellIs" dxfId="5624" priority="94" operator="equal">
      <formula>"RED"</formula>
    </cfRule>
    <cfRule type="cellIs" dxfId="5623" priority="95" operator="equal">
      <formula>"BLA"</formula>
    </cfRule>
  </conditionalFormatting>
  <conditionalFormatting sqref="H3:H5">
    <cfRule type="cellIs" dxfId="5622" priority="76" stopIfTrue="1" operator="notEqual">
      <formula>""</formula>
    </cfRule>
  </conditionalFormatting>
  <conditionalFormatting sqref="R3:R5 CU3:CU5">
    <cfRule type="cellIs" dxfId="5621" priority="79" operator="greaterThan">
      <formula>0</formula>
    </cfRule>
  </conditionalFormatting>
  <conditionalFormatting sqref="T3:AS5 CH3:CS5">
    <cfRule type="cellIs" dxfId="5620" priority="73" stopIfTrue="1" operator="equal">
      <formula>"n"</formula>
    </cfRule>
    <cfRule type="cellIs" dxfId="5619" priority="74" stopIfTrue="1" operator="equal">
      <formula>"y"</formula>
    </cfRule>
    <cfRule type="cellIs" dxfId="5618" priority="75" operator="greaterThan">
      <formula>0</formula>
    </cfRule>
  </conditionalFormatting>
  <conditionalFormatting sqref="AZ3:BB5">
    <cfRule type="expression" dxfId="5617" priority="60">
      <formula>$AT3=0</formula>
    </cfRule>
  </conditionalFormatting>
  <conditionalFormatting sqref="CD3:CF5 BX3:CA5 AZ3:BU5">
    <cfRule type="cellIs" dxfId="5616" priority="61" operator="equal">
      <formula>"PIN"</formula>
    </cfRule>
    <cfRule type="cellIs" dxfId="5615" priority="62" operator="equal">
      <formula>"ORA"</formula>
    </cfRule>
    <cfRule type="cellIs" dxfId="5614" priority="63" operator="equal">
      <formula>"GRA"</formula>
    </cfRule>
    <cfRule type="cellIs" dxfId="5613" priority="64" operator="equal">
      <formula>"PUR"</formula>
    </cfRule>
    <cfRule type="cellIs" dxfId="5612" priority="65" operator="equal">
      <formula>"BRO"</formula>
    </cfRule>
    <cfRule type="cellIs" dxfId="5611" priority="66" operator="equal">
      <formula>"YEL"</formula>
    </cfRule>
    <cfRule type="cellIs" dxfId="5610" priority="67" operator="equal">
      <formula>"BLU"</formula>
    </cfRule>
    <cfRule type="cellIs" dxfId="5609" priority="68" operator="equal">
      <formula>"WHI"</formula>
    </cfRule>
    <cfRule type="cellIs" dxfId="5608" priority="69" operator="equal">
      <formula>"GRE"</formula>
    </cfRule>
    <cfRule type="cellIs" dxfId="5607" priority="70" operator="equal">
      <formula>"RED"</formula>
    </cfRule>
    <cfRule type="cellIs" dxfId="5606" priority="71" operator="equal">
      <formula>"BLA"</formula>
    </cfRule>
  </conditionalFormatting>
  <conditionalFormatting sqref="BV3:BV5">
    <cfRule type="cellIs" dxfId="5605" priority="78" operator="equal">
      <formula>"nc"</formula>
    </cfRule>
  </conditionalFormatting>
  <conditionalFormatting sqref="CD3:CF5 BX3:CA5">
    <cfRule type="cellIs" dxfId="5604" priority="77" operator="equal">
      <formula>"y"</formula>
    </cfRule>
  </conditionalFormatting>
  <conditionalFormatting sqref="CD3:CF5 BZ3:CA5">
    <cfRule type="cellIs" dxfId="5603" priority="72" operator="greaterThan">
      <formula>0</formula>
    </cfRule>
  </conditionalFormatting>
  <conditionalFormatting sqref="IC3:IK5">
    <cfRule type="expression" dxfId="5602" priority="59">
      <formula>$IL3&gt;0</formula>
    </cfRule>
  </conditionalFormatting>
  <conditionalFormatting sqref="IC3:IC5">
    <cfRule type="cellIs" dxfId="5601" priority="53" stopIfTrue="1" operator="greaterThan">
      <formula>0</formula>
    </cfRule>
  </conditionalFormatting>
  <conditionalFormatting sqref="ID3:ID5">
    <cfRule type="cellIs" dxfId="5600" priority="51" stopIfTrue="1" operator="greaterThan">
      <formula>0</formula>
    </cfRule>
  </conditionalFormatting>
  <conditionalFormatting sqref="II3:II5 IE3:IF5">
    <cfRule type="cellIs" dxfId="5599" priority="58" operator="greaterThan">
      <formula>0</formula>
    </cfRule>
  </conditionalFormatting>
  <conditionalFormatting sqref="II3:II5 IF3:IF5">
    <cfRule type="cellIs" dxfId="5598" priority="52" stopIfTrue="1" operator="greaterThan">
      <formula>0</formula>
    </cfRule>
  </conditionalFormatting>
  <conditionalFormatting sqref="IG3:IG5">
    <cfRule type="cellIs" dxfId="5597" priority="57" operator="greaterThan">
      <formula>0</formula>
    </cfRule>
  </conditionalFormatting>
  <conditionalFormatting sqref="IH3:II5">
    <cfRule type="cellIs" dxfId="5596" priority="56" operator="greaterThan">
      <formula>0</formula>
    </cfRule>
  </conditionalFormatting>
  <conditionalFormatting sqref="IJ3:IJ5">
    <cfRule type="cellIs" dxfId="5595" priority="55" operator="greaterThan">
      <formula>0</formula>
    </cfRule>
  </conditionalFormatting>
  <conditionalFormatting sqref="IK3:IK5">
    <cfRule type="cellIs" dxfId="5594" priority="54" operator="greaterThan">
      <formula>0</formula>
    </cfRule>
  </conditionalFormatting>
  <conditionalFormatting sqref="IF3:IF5">
    <cfRule type="cellIs" dxfId="5593" priority="50" stopIfTrue="1" operator="greaterThan">
      <formula>0</formula>
    </cfRule>
  </conditionalFormatting>
  <conditionalFormatting sqref="IM3:IM5">
    <cfRule type="cellIs" dxfId="5592" priority="49" operator="equal">
      <formula>0</formula>
    </cfRule>
  </conditionalFormatting>
  <conditionalFormatting sqref="BX3:CA5 CD3:CF5">
    <cfRule type="cellIs" dxfId="5591" priority="37" operator="equal">
      <formula>"y"</formula>
    </cfRule>
    <cfRule type="cellIs" dxfId="5590" priority="38" operator="equal">
      <formula>"PIN"</formula>
    </cfRule>
    <cfRule type="cellIs" dxfId="5589" priority="39" operator="equal">
      <formula>"ORA"</formula>
    </cfRule>
    <cfRule type="cellIs" dxfId="5588" priority="40" operator="equal">
      <formula>"GRA"</formula>
    </cfRule>
    <cfRule type="cellIs" dxfId="5587" priority="41" operator="equal">
      <formula>"PUR"</formula>
    </cfRule>
    <cfRule type="cellIs" dxfId="5586" priority="42" operator="equal">
      <formula>"BRO"</formula>
    </cfRule>
    <cfRule type="cellIs" dxfId="5585" priority="43" operator="equal">
      <formula>"YEL"</formula>
    </cfRule>
    <cfRule type="cellIs" dxfId="5584" priority="44" operator="equal">
      <formula>"BLU"</formula>
    </cfRule>
    <cfRule type="cellIs" dxfId="5583" priority="45" operator="equal">
      <formula>"WHI"</formula>
    </cfRule>
    <cfRule type="cellIs" dxfId="5582" priority="46" operator="equal">
      <formula>"GRE"</formula>
    </cfRule>
    <cfRule type="cellIs" dxfId="5581" priority="47" operator="equal">
      <formula>"RED"</formula>
    </cfRule>
    <cfRule type="cellIs" dxfId="5580" priority="48" operator="equal">
      <formula>"BLA"</formula>
    </cfRule>
  </conditionalFormatting>
  <conditionalFormatting sqref="AT3:AT5">
    <cfRule type="colorScale" priority="80">
      <colorScale>
        <cfvo type="min"/>
        <cfvo type="max"/>
        <color rgb="FFFCFCFF"/>
        <color theme="8" tint="0.39997558519241921"/>
      </colorScale>
    </cfRule>
  </conditionalFormatting>
  <conditionalFormatting sqref="S3:S5">
    <cfRule type="colorScale" priority="81">
      <colorScale>
        <cfvo type="min"/>
        <cfvo type="max"/>
        <color rgb="FFFCFCFF"/>
        <color rgb="FF754BFB"/>
      </colorScale>
    </cfRule>
  </conditionalFormatting>
  <conditionalFormatting sqref="J3:J5">
    <cfRule type="colorScale" priority="82">
      <colorScale>
        <cfvo type="min"/>
        <cfvo type="percentile" val="50"/>
        <cfvo type="max"/>
        <color rgb="FFF8696B"/>
        <color rgb="FFFFEB84"/>
        <color rgb="FF63BE7B"/>
      </colorScale>
    </cfRule>
  </conditionalFormatting>
  <conditionalFormatting sqref="CG3:CG5">
    <cfRule type="colorScale" priority="83">
      <colorScale>
        <cfvo type="min"/>
        <cfvo type="max"/>
        <color rgb="FFFCFCFF"/>
        <color rgb="FF63BE7B"/>
      </colorScale>
    </cfRule>
  </conditionalFormatting>
  <conditionalFormatting sqref="H2">
    <cfRule type="cellIs" dxfId="5579" priority="30" stopIfTrue="1" operator="notEqual">
      <formula>""</formula>
    </cfRule>
  </conditionalFormatting>
  <conditionalFormatting sqref="R2 CU2">
    <cfRule type="cellIs" dxfId="5578" priority="32" operator="greaterThan">
      <formula>0</formula>
    </cfRule>
  </conditionalFormatting>
  <conditionalFormatting sqref="T2:AS2 CH2:CS2">
    <cfRule type="cellIs" dxfId="5577" priority="27" stopIfTrue="1" operator="equal">
      <formula>"n"</formula>
    </cfRule>
    <cfRule type="cellIs" dxfId="5576" priority="28" stopIfTrue="1" operator="equal">
      <formula>"y"</formula>
    </cfRule>
    <cfRule type="cellIs" dxfId="5575" priority="29" operator="greaterThan">
      <formula>0</formula>
    </cfRule>
  </conditionalFormatting>
  <conditionalFormatting sqref="AZ2:BB2">
    <cfRule type="expression" dxfId="5574" priority="14">
      <formula>$AT2=0</formula>
    </cfRule>
  </conditionalFormatting>
  <conditionalFormatting sqref="AZ2:BU2">
    <cfRule type="cellIs" dxfId="5573" priority="15" operator="equal">
      <formula>"PIN"</formula>
    </cfRule>
    <cfRule type="cellIs" dxfId="5572" priority="16" operator="equal">
      <formula>"ORA"</formula>
    </cfRule>
    <cfRule type="cellIs" dxfId="5571" priority="17" operator="equal">
      <formula>"GRA"</formula>
    </cfRule>
    <cfRule type="cellIs" dxfId="5570" priority="18" operator="equal">
      <formula>"PUR"</formula>
    </cfRule>
    <cfRule type="cellIs" dxfId="5569" priority="19" operator="equal">
      <formula>"BRO"</formula>
    </cfRule>
    <cfRule type="cellIs" dxfId="5568" priority="20" operator="equal">
      <formula>"YEL"</formula>
    </cfRule>
    <cfRule type="cellIs" dxfId="5567" priority="21" operator="equal">
      <formula>"BLU"</formula>
    </cfRule>
    <cfRule type="cellIs" dxfId="5566" priority="22" operator="equal">
      <formula>"WHI"</formula>
    </cfRule>
    <cfRule type="cellIs" dxfId="5565" priority="23" operator="equal">
      <formula>"GRE"</formula>
    </cfRule>
    <cfRule type="cellIs" dxfId="5564" priority="24" operator="equal">
      <formula>"RED"</formula>
    </cfRule>
    <cfRule type="cellIs" dxfId="5563" priority="25" operator="equal">
      <formula>"BLA"</formula>
    </cfRule>
  </conditionalFormatting>
  <conditionalFormatting sqref="BV2">
    <cfRule type="cellIs" dxfId="5562" priority="31" operator="equal">
      <formula>"nc"</formula>
    </cfRule>
  </conditionalFormatting>
  <conditionalFormatting sqref="CD2:CF2 BZ2:CA2">
    <cfRule type="cellIs" dxfId="5561" priority="26" operator="greaterThan">
      <formula>0</formula>
    </cfRule>
  </conditionalFormatting>
  <conditionalFormatting sqref="IC2:IK2">
    <cfRule type="expression" dxfId="5560" priority="13">
      <formula>$IL2&gt;0</formula>
    </cfRule>
  </conditionalFormatting>
  <conditionalFormatting sqref="BX2:CA2 CD2:CF2">
    <cfRule type="cellIs" dxfId="5559" priority="1" operator="equal">
      <formula>"y"</formula>
    </cfRule>
    <cfRule type="cellIs" dxfId="5558" priority="2" operator="equal">
      <formula>"PIN"</formula>
    </cfRule>
    <cfRule type="cellIs" dxfId="5557" priority="3" operator="equal">
      <formula>"ORA"</formula>
    </cfRule>
    <cfRule type="cellIs" dxfId="5556" priority="4" operator="equal">
      <formula>"GRA"</formula>
    </cfRule>
    <cfRule type="cellIs" dxfId="5555" priority="5" operator="equal">
      <formula>"PUR"</formula>
    </cfRule>
    <cfRule type="cellIs" dxfId="5554" priority="6" operator="equal">
      <formula>"BRO"</formula>
    </cfRule>
    <cfRule type="cellIs" dxfId="5553" priority="7" operator="equal">
      <formula>"YEL"</formula>
    </cfRule>
    <cfRule type="cellIs" dxfId="5552" priority="8" operator="equal">
      <formula>"BLU"</formula>
    </cfRule>
    <cfRule type="cellIs" dxfId="5551" priority="9" operator="equal">
      <formula>"WHI"</formula>
    </cfRule>
    <cfRule type="cellIs" dxfId="5550" priority="10" operator="equal">
      <formula>"GRE"</formula>
    </cfRule>
    <cfRule type="cellIs" dxfId="5549" priority="11" operator="equal">
      <formula>"RED"</formula>
    </cfRule>
    <cfRule type="cellIs" dxfId="5548" priority="12" operator="equal">
      <formula>"BLA"</formula>
    </cfRule>
  </conditionalFormatting>
  <conditionalFormatting sqref="J2">
    <cfRule type="colorScale" priority="33">
      <colorScale>
        <cfvo type="min"/>
        <cfvo type="percentile" val="50"/>
        <cfvo type="max"/>
        <color rgb="FFF8696B"/>
        <color rgb="FFFFEB84"/>
        <color rgb="FF63BE7B"/>
      </colorScale>
    </cfRule>
  </conditionalFormatting>
  <conditionalFormatting sqref="S2">
    <cfRule type="colorScale" priority="34">
      <colorScale>
        <cfvo type="min"/>
        <cfvo type="max"/>
        <color rgb="FFFCFCFF"/>
        <color rgb="FF754BFB"/>
      </colorScale>
    </cfRule>
  </conditionalFormatting>
  <conditionalFormatting sqref="AT2">
    <cfRule type="colorScale" priority="35">
      <colorScale>
        <cfvo type="min"/>
        <cfvo type="max"/>
        <color rgb="FFFCFCFF"/>
        <color theme="8" tint="0.39997558519241921"/>
      </colorScale>
    </cfRule>
  </conditionalFormatting>
  <conditionalFormatting sqref="CG2">
    <cfRule type="colorScale" priority="36">
      <colorScale>
        <cfvo type="min"/>
        <cfvo type="max"/>
        <color rgb="FFFCFCFF"/>
        <color rgb="FF63BE7B"/>
      </colorScale>
    </cfRule>
  </conditionalFormatting>
  <hyperlinks>
    <hyperlink ref="A2" r:id="rId1" display="https://fbref.com/en/country/CMR/Cameroon-Football" xr:uid="{A2A988A8-E4F4-4241-811A-72EE9D58E1E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6145" r:id="rId5"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6146" r:id="rId6"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6147" r:id="rId7"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5CD4C-A469-4115-86EA-991E91CD156D}">
  <sheetPr codeName="Sheet46"/>
  <dimension ref="A1:IY6"/>
  <sheetViews>
    <sheetView zoomScale="70" zoomScaleNormal="70" workbookViewId="0">
      <pane xSplit="5" ySplit="1" topLeftCell="F2" activePane="bottomRight" state="frozen"/>
      <selection pane="topRight" activeCell="F1" sqref="F1"/>
      <selection pane="bottomLeft" activeCell="A2" sqref="A2"/>
      <selection pane="bottomRight" activeCell="M3" sqref="M3"/>
    </sheetView>
  </sheetViews>
  <sheetFormatPr defaultRowHeight="38.4" customHeight="1" x14ac:dyDescent="0.3"/>
  <cols>
    <col min="1" max="1" width="52.44140625" style="81" bestFit="1" customWidth="1"/>
    <col min="2" max="2" width="10.109375" style="81" customWidth="1"/>
    <col min="3" max="3" width="7.44140625" style="82" customWidth="1"/>
    <col min="4" max="4" width="4.77734375" style="83" customWidth="1"/>
    <col min="5" max="5" width="4.5546875" style="83" customWidth="1"/>
    <col min="6" max="6" width="5.77734375" style="83" customWidth="1"/>
    <col min="7" max="7" width="7.44140625" style="81" customWidth="1"/>
    <col min="8" max="8" width="11.44140625" style="81" customWidth="1"/>
    <col min="9" max="9" width="10" style="81" customWidth="1"/>
    <col min="10" max="10" width="4.21875" style="81" customWidth="1"/>
    <col min="11" max="11" width="5.6640625" style="83" customWidth="1"/>
    <col min="12" max="12" width="2.88671875" style="83" customWidth="1"/>
    <col min="13" max="13" width="6.44140625" style="83" customWidth="1"/>
    <col min="14" max="14" width="4.5546875" style="83" customWidth="1"/>
    <col min="15" max="15" width="10.5546875" style="84" customWidth="1"/>
    <col min="16" max="16" width="6.88671875" style="83" customWidth="1"/>
    <col min="17" max="17" width="4.77734375" style="83" customWidth="1"/>
    <col min="18" max="18" width="13.109375" style="82" customWidth="1"/>
    <col min="19" max="19" width="6.77734375" style="82" customWidth="1"/>
    <col min="20" max="46" width="8.44140625" style="81" customWidth="1"/>
    <col min="47" max="47" width="24.5546875" style="81" customWidth="1"/>
    <col min="48" max="51" width="16.6640625" style="81" customWidth="1"/>
    <col min="52" max="52" width="6.5546875" style="81" customWidth="1"/>
    <col min="53" max="54" width="5.88671875" style="81" customWidth="1"/>
    <col min="55" max="55" width="1.33203125" style="81" customWidth="1"/>
    <col min="56" max="56" width="7.44140625" style="81" customWidth="1"/>
    <col min="57" max="57" width="2.33203125" style="81" customWidth="1"/>
    <col min="58" max="62" width="6.109375" style="81" customWidth="1"/>
    <col min="63" max="63" width="2.33203125" style="81" customWidth="1"/>
    <col min="64" max="64" width="7" style="81" bestFit="1" customWidth="1"/>
    <col min="65" max="65" width="6.44140625" style="81" bestFit="1" customWidth="1"/>
    <col min="66" max="66" width="7.109375" style="81" bestFit="1" customWidth="1"/>
    <col min="67" max="71" width="6.44140625" style="81" bestFit="1" customWidth="1"/>
    <col min="72" max="73" width="6.44140625" style="81" customWidth="1"/>
    <col min="74" max="75" width="13.44140625" style="81" customWidth="1"/>
    <col min="76" max="84" width="14.6640625" style="81" customWidth="1"/>
    <col min="85" max="85" width="6.44140625" style="81" customWidth="1"/>
    <col min="86" max="87" width="11.6640625" style="81" bestFit="1" customWidth="1"/>
    <col min="88" max="88" width="11.6640625" style="81" customWidth="1"/>
    <col min="89" max="89" width="12.77734375" style="81" bestFit="1" customWidth="1"/>
    <col min="90" max="90" width="16.44140625" style="82" bestFit="1" customWidth="1"/>
    <col min="91" max="92" width="14.88671875" style="82" bestFit="1" customWidth="1"/>
    <col min="93" max="93" width="16" style="82" bestFit="1" customWidth="1"/>
    <col min="94" max="97" width="7.77734375" style="81" customWidth="1"/>
    <col min="98" max="98" width="33.21875" style="81" customWidth="1"/>
    <col min="99" max="99" width="18" style="81" customWidth="1"/>
    <col min="100" max="100" width="75.6640625" style="81" customWidth="1"/>
    <col min="101" max="125" width="33" style="81" customWidth="1"/>
    <col min="126" max="126" width="8.88671875" style="81"/>
    <col min="127" max="128" width="9.44140625" style="81" bestFit="1" customWidth="1"/>
    <col min="129" max="129" width="10.77734375" style="81" bestFit="1" customWidth="1"/>
    <col min="130" max="134" width="10.77734375" style="81" customWidth="1"/>
    <col min="135" max="135" width="10.109375" style="81" bestFit="1" customWidth="1"/>
    <col min="136" max="136" width="7.77734375" style="81" bestFit="1" customWidth="1"/>
    <col min="137" max="137" width="7.77734375" style="81" customWidth="1"/>
    <col min="138" max="138" width="9" style="81" bestFit="1" customWidth="1"/>
    <col min="139" max="139" width="11.33203125" style="81" bestFit="1" customWidth="1"/>
    <col min="140" max="140" width="9.109375" style="81" bestFit="1" customWidth="1"/>
    <col min="141" max="141" width="9" style="81" bestFit="1" customWidth="1"/>
    <col min="142" max="142" width="12" style="81" bestFit="1" customWidth="1"/>
    <col min="143" max="166" width="12" style="81" customWidth="1"/>
    <col min="167" max="167" width="17.21875" style="81" customWidth="1"/>
    <col min="168" max="191" width="12" style="81" customWidth="1"/>
    <col min="192" max="192" width="8.5546875" style="81" bestFit="1" customWidth="1"/>
    <col min="193" max="193" width="8.5546875" style="81" customWidth="1"/>
    <col min="194" max="194" width="7.109375" style="81" bestFit="1" customWidth="1"/>
    <col min="195" max="195" width="7.5546875" style="81" bestFit="1" customWidth="1"/>
    <col min="196" max="196" width="8.5546875" style="81" bestFit="1" customWidth="1"/>
    <col min="197" max="200" width="8.5546875" style="81" customWidth="1"/>
    <col min="201" max="201" width="188.88671875" style="81" customWidth="1"/>
    <col min="202" max="202" width="9.5546875" style="81" bestFit="1" customWidth="1"/>
    <col min="203" max="203" width="10.44140625" style="81" bestFit="1" customWidth="1"/>
    <col min="204" max="204" width="11.109375" style="81" bestFit="1" customWidth="1"/>
    <col min="205" max="205" width="10.44140625" style="81" bestFit="1" customWidth="1"/>
    <col min="206" max="210" width="10.44140625" style="81" customWidth="1"/>
    <col min="211" max="211" width="45.44140625" style="81" customWidth="1"/>
    <col min="212" max="212" width="47.5546875" style="81" bestFit="1" customWidth="1"/>
    <col min="213" max="213" width="9.33203125" style="85" customWidth="1"/>
    <col min="214" max="214" width="119.5546875" style="81" customWidth="1"/>
    <col min="215" max="215" width="69.6640625" style="81" customWidth="1"/>
    <col min="216" max="218" width="8.88671875" style="81"/>
    <col min="219" max="219" width="37.109375" style="81" customWidth="1"/>
    <col min="220" max="220" width="16.33203125" style="81" customWidth="1"/>
    <col min="221" max="222" width="8.88671875" style="81"/>
    <col min="223" max="223" width="10.109375" style="81" bestFit="1" customWidth="1"/>
    <col min="224" max="232" width="10.88671875" style="81" customWidth="1"/>
    <col min="233" max="234" width="30.77734375" style="81" customWidth="1"/>
    <col min="235" max="235" width="5.109375" style="81" customWidth="1"/>
    <col min="236" max="236" width="3" style="81" customWidth="1"/>
    <col min="237" max="245" width="6.77734375" style="86" customWidth="1"/>
    <col min="246" max="247" width="8.88671875" style="81"/>
    <col min="248" max="248" width="61.5546875" style="81" customWidth="1"/>
    <col min="249" max="253" width="8.88671875" style="81"/>
    <col min="254" max="254" width="9" style="81" customWidth="1"/>
    <col min="255" max="16384" width="8.88671875" style="8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740</v>
      </c>
      <c r="B2" s="40" t="e" vm="22">
        <v>#VALUE!</v>
      </c>
      <c r="C2" s="41">
        <v>1</v>
      </c>
      <c r="D2" s="42" t="s">
        <v>741</v>
      </c>
      <c r="E2" s="43" t="s">
        <v>742</v>
      </c>
      <c r="F2" s="44" t="s">
        <v>163</v>
      </c>
      <c r="G2" s="45">
        <f>COUNTIF($A$1:$A$8359,A2)</f>
        <v>1</v>
      </c>
      <c r="H2" s="46"/>
      <c r="I2" s="47" t="s">
        <v>743</v>
      </c>
      <c r="J2" s="48" t="str">
        <f>""</f>
        <v/>
      </c>
      <c r="K2" s="49">
        <v>6000000</v>
      </c>
      <c r="L2" s="50">
        <v>158000</v>
      </c>
      <c r="M2" s="50" t="s">
        <v>1108</v>
      </c>
      <c r="N2" s="51" t="s">
        <v>180</v>
      </c>
      <c r="O2" s="52" t="s">
        <v>744</v>
      </c>
      <c r="P2" s="53" t="s">
        <v>745</v>
      </c>
      <c r="Q2" s="54">
        <v>1</v>
      </c>
      <c r="R2" s="55" t="s">
        <v>180</v>
      </c>
      <c r="S2" s="56">
        <v>3</v>
      </c>
      <c r="T2" s="57" t="s">
        <v>167</v>
      </c>
      <c r="U2" s="58" t="s">
        <v>164</v>
      </c>
      <c r="V2" s="58" t="s">
        <v>164</v>
      </c>
      <c r="W2" s="58" t="s">
        <v>164</v>
      </c>
      <c r="X2" s="58" t="s">
        <v>164</v>
      </c>
      <c r="Y2" s="58" t="s">
        <v>164</v>
      </c>
      <c r="Z2" s="58" t="s">
        <v>164</v>
      </c>
      <c r="AA2" s="58" t="s">
        <v>164</v>
      </c>
      <c r="AB2" s="58" t="s">
        <v>164</v>
      </c>
      <c r="AC2" s="58" t="s">
        <v>164</v>
      </c>
      <c r="AD2" s="58" t="s">
        <v>164</v>
      </c>
      <c r="AE2" s="58" t="s">
        <v>164</v>
      </c>
      <c r="AF2" s="59" t="s">
        <v>164</v>
      </c>
      <c r="AG2" s="59" t="s">
        <v>167</v>
      </c>
      <c r="AH2" s="59" t="s">
        <v>164</v>
      </c>
      <c r="AI2" s="59" t="s">
        <v>164</v>
      </c>
      <c r="AJ2" s="59" t="s">
        <v>164</v>
      </c>
      <c r="AK2" s="59" t="s">
        <v>167</v>
      </c>
      <c r="AL2" s="59" t="s">
        <v>164</v>
      </c>
      <c r="AM2" s="59" t="s">
        <v>164</v>
      </c>
      <c r="AN2" s="59" t="s">
        <v>164</v>
      </c>
      <c r="AO2" s="59" t="s">
        <v>164</v>
      </c>
      <c r="AP2" s="59" t="s">
        <v>164</v>
      </c>
      <c r="AQ2" s="59" t="s">
        <v>164</v>
      </c>
      <c r="AR2" s="59" t="s">
        <v>164</v>
      </c>
      <c r="AS2" s="59" t="s">
        <v>164</v>
      </c>
      <c r="AT2" s="60">
        <v>0</v>
      </c>
      <c r="AU2" s="59"/>
      <c r="AV2" s="59" t="str">
        <f>IF(LEFT(A2,1)="[",LEFT(A2,5)&amp;AU2&amp;A2,"")</f>
        <v/>
      </c>
      <c r="AW2" s="59" t="str">
        <f t="shared" ref="AW2" si="0">C2&amp;H2&amp;A2</f>
        <v>1Congo</v>
      </c>
      <c r="AX2" s="61" t="str">
        <f>_xlfn.TEXTJOIN(";",TRUE,AU2:AW2)</f>
        <v>1Congo</v>
      </c>
      <c r="AY2" s="61"/>
      <c r="AZ2" s="62"/>
      <c r="BA2" s="62"/>
      <c r="BB2" s="62"/>
      <c r="BC2" s="63"/>
      <c r="BD2" s="64" t="s">
        <v>169</v>
      </c>
      <c r="BE2" s="47"/>
      <c r="BF2" s="64" t="s">
        <v>153</v>
      </c>
      <c r="BG2" s="64" t="s">
        <v>155</v>
      </c>
      <c r="BH2" s="64" t="s">
        <v>154</v>
      </c>
      <c r="BI2" s="64"/>
      <c r="BJ2" s="64"/>
      <c r="BK2" s="47"/>
      <c r="BL2" s="64" t="s">
        <v>154</v>
      </c>
      <c r="BM2" s="64" t="s">
        <v>155</v>
      </c>
      <c r="BN2" s="64" t="s">
        <v>153</v>
      </c>
      <c r="BO2" s="64"/>
      <c r="BP2" s="64"/>
      <c r="BQ2" s="64"/>
      <c r="BR2" s="64"/>
      <c r="BS2" s="64"/>
      <c r="BT2" s="64"/>
      <c r="BU2" s="65"/>
      <c r="BV2" s="66" t="s">
        <v>165</v>
      </c>
      <c r="BW2" s="66">
        <v>0</v>
      </c>
      <c r="BX2" s="47"/>
      <c r="BY2" s="48" t="s">
        <v>167</v>
      </c>
      <c r="CB2" s="6" t="s">
        <v>137</v>
      </c>
      <c r="CC2" s="6"/>
      <c r="CD2" s="67">
        <v>0</v>
      </c>
      <c r="CE2" s="67">
        <v>0</v>
      </c>
      <c r="CF2" s="67" t="e">
        <v>#REF!</v>
      </c>
      <c r="CG2" s="68" cm="1">
        <f t="array" ref="CG2">SUMPRODUCT(--(LEN(TRIM(BL2:BT2))&gt;0))</f>
        <v>3</v>
      </c>
      <c r="CH2" s="59" t="str">
        <f>IF(CG2=2,"y","n")</f>
        <v>n</v>
      </c>
      <c r="CI2" s="59" t="str">
        <f>IF(CG2=3,"y","n")</f>
        <v>y</v>
      </c>
      <c r="CJ2" s="59" t="str">
        <f>IF(CG2=4,"y","n")</f>
        <v>n</v>
      </c>
      <c r="CK2" s="59" t="str">
        <f>IF(CG2&gt;4,"y","n")</f>
        <v>n</v>
      </c>
      <c r="CL2" s="59" t="str">
        <f>IF(S2=0,"y","n")</f>
        <v>n</v>
      </c>
      <c r="CM2" s="59" t="str">
        <f>IF(S2=2,"y","n")</f>
        <v>n</v>
      </c>
      <c r="CN2" s="59" t="str">
        <f>IF(S2=3,"y","n")</f>
        <v>y</v>
      </c>
      <c r="CO2" s="59" t="str">
        <f>IF(S2&gt;=4,"y","n")</f>
        <v>n</v>
      </c>
      <c r="CP2" s="59" t="str">
        <f>IF(AT2=0,"y","n")</f>
        <v>y</v>
      </c>
      <c r="CQ2" s="59" t="str">
        <f>IF(AT2=1,"y","n")</f>
        <v>n</v>
      </c>
      <c r="CR2" s="59" t="str">
        <f>IF(AT2=2,"y","n")</f>
        <v>n</v>
      </c>
      <c r="CS2" s="59" t="str">
        <f>IF(AT2&gt;=3,"y","n")</f>
        <v>n</v>
      </c>
      <c r="CT2" s="69" t="str">
        <f>CHAR(34)&amp;A2&amp;CHAR(34)</f>
        <v>"Congo"</v>
      </c>
      <c r="CU2" s="70" t="str">
        <f>CHAR(34)&amp;"rgn_"&amp;R2&amp;CHAR(34)</f>
        <v>"rgn_Africa"</v>
      </c>
      <c r="CV2" s="48" t="str">
        <f>CHAR(34)&amp;D2&amp;CHAR(34)</f>
        <v>"https://i.ibb.co/P95t5MT/Congo-Flag.png"</v>
      </c>
      <c r="CW2" s="48" t="str">
        <f>IF(CH2="y",CHAR(34)&amp;CH$1&amp;CHAR(34)&amp;",","")</f>
        <v/>
      </c>
      <c r="CX2" s="48" t="str">
        <f>IF(CI2="y",CHAR(34)&amp;CI$1&amp;CHAR(34)&amp;",","")</f>
        <v>"3Color",</v>
      </c>
      <c r="CY2" s="48" t="str">
        <f>IF(CJ2="y",CHAR(34)&amp;CJ$1&amp;CHAR(34)&amp;",","")</f>
        <v/>
      </c>
      <c r="CZ2" s="48" t="str">
        <f>IF(CK2="y",CHAR(34)&amp;CK$1&amp;CHAR(34)&amp;",","")</f>
        <v/>
      </c>
      <c r="DA2" s="48" t="str">
        <f>IF(Q2&gt;1,CHAR(34)&amp;"words2"&amp;CHAR(34)&amp;",","")</f>
        <v/>
      </c>
      <c r="DB2" s="48" t="str">
        <f>IF(Q2&gt;2,CHAR(34)&amp;"words3"&amp;CHAR(34)&amp;",","")</f>
        <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"lets05",</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"startC",</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"REEDEL",</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"dgband",</v>
      </c>
      <c r="DS2" s="6" t="str">
        <f>IF(W2="y",IF(AND(V2="n",BY2&lt;&gt;"y"),CHAR(34)&amp;"allver"&amp;CHAR(34)&amp;",",""),"")</f>
        <v/>
      </c>
      <c r="DT2" s="6" t="str">
        <f>IF(V2="y",IF(AND(W2="n",BY2&lt;&gt;"y"),CHAR(34)&amp;"allhor"&amp;CHAR(34)&amp;",",""),"")</f>
        <v/>
      </c>
      <c r="DU2" s="6" t="str">
        <f>IF(BY2="y",IF(AND(W2="n",V2="n"),CHAR(34)&amp;"alldia"&amp;CHAR(34)&amp;",",""),"")</f>
        <v>"alldia",</v>
      </c>
      <c r="DV2" s="48" t="str">
        <f>IF(IA2&lt;&gt;"",(IF(IA2="y",CHAR(34)&amp;"largec"&amp;CHAR(34)&amp;",",CHAR(34)&amp;"smallc"&amp;CHAR(34)&amp;",")),"")</f>
        <v/>
      </c>
      <c r="DW2" s="48" t="str">
        <f>IF(CL2="y",CHAR(34)&amp;CL$1&amp;CHAR(34)&amp;",","")</f>
        <v/>
      </c>
      <c r="DX2" s="48" t="str">
        <f>IF(CM2="y",CHAR(34)&amp;CM$1&amp;CHAR(34)&amp;",","")</f>
        <v/>
      </c>
      <c r="DY2" s="48" t="str">
        <f>IF(CN2="y",CHAR(34)&amp;CN$1&amp;CHAR(34)&amp;",","")</f>
        <v>"3Bands",</v>
      </c>
      <c r="DZ2" s="48" t="str">
        <f>IF(CO2="y",CHAR(34)&amp;CO$1&amp;CHAR(34)&amp;",","")</f>
        <v/>
      </c>
      <c r="EA2" s="48" t="str">
        <f>IF(T2="y",CHAR(34)&amp;T$1&amp;CHAR(34)&amp;",","")</f>
        <v>"Diagon",</v>
      </c>
      <c r="EB2" s="48" t="str">
        <f>IF(U2="y",CHAR(34)&amp;U$1&amp;CHAR(34)&amp;",","")</f>
        <v/>
      </c>
      <c r="EC2" s="48" t="str">
        <f>IF(V2="y",CHAR(34)&amp;V$1&amp;CHAR(34)&amp;",","")</f>
        <v/>
      </c>
      <c r="ED2" s="48" t="str">
        <f>IF(W2="y",CHAR(34)&amp;W$1&amp;CHAR(34)&amp;",","")</f>
        <v/>
      </c>
      <c r="EE2" s="48" t="str">
        <f>IF(X2="y",CHAR(34)&amp;X$1&amp;CHAR(34)&amp;",","")</f>
        <v/>
      </c>
      <c r="EF2" s="48" t="str">
        <f>IF(AND(Y2&lt;&gt;"n",Y2&lt;&gt;""),CHAR(34)&amp;Y$1&amp;CHAR(34)&amp;",","")</f>
        <v/>
      </c>
      <c r="EG2" s="48" t="str">
        <f>IF(Z2="y",CHAR(34)&amp;Z$1&amp;CHAR(34)&amp;",","")</f>
        <v/>
      </c>
      <c r="EH2" s="48" t="str">
        <f>IF(AA2="y",CHAR(34)&amp;AA$1&amp;CHAR(34)&amp;",","")</f>
        <v/>
      </c>
      <c r="EI2" s="48" t="str">
        <f>IF(AB2="y",CHAR(34)&amp;AB$1&amp;CHAR(34)&amp;",","")</f>
        <v/>
      </c>
      <c r="EJ2" s="48" t="str">
        <f>IF(AC2="y",CHAR(34)&amp;AC$1&amp;CHAR(34)&amp;",","")</f>
        <v/>
      </c>
      <c r="EK2" s="48" t="str">
        <f>IF(AD2="y",CHAR(34)&amp;AD$1&amp;CHAR(34)&amp;",","")</f>
        <v/>
      </c>
      <c r="EL2" s="48" t="str">
        <f>IF(AE2="y",CHAR(34)&amp;AE$1&amp;CHAR(34)&amp;",","")</f>
        <v/>
      </c>
      <c r="EM2" s="48" t="str">
        <f>IF(AF2="y",CHAR(34)&amp;AF$1&amp;CHAR(34)&amp;",","")</f>
        <v/>
      </c>
      <c r="EN2" s="48" t="str">
        <f>IF(AG2="y",CHAR(34)&amp;AG$1&amp;CHAR(34)&amp;",","")</f>
        <v>"Unequa",</v>
      </c>
      <c r="EO2" s="48" t="str">
        <f>IF(AH2="y",CHAR(34)&amp;AH$1&amp;CHAR(34)&amp;",","")</f>
        <v/>
      </c>
      <c r="EP2" s="48" t="str">
        <f>IF(AI2="y",CHAR(34)&amp;AI$1&amp;CHAR(34)&amp;",","")</f>
        <v/>
      </c>
      <c r="EQ2" s="48" t="str">
        <f>IF(AJ2="y",CHAR(34)&amp;AJ$1&amp;CHAR(34)&amp;",","")</f>
        <v/>
      </c>
      <c r="ER2" s="48" t="str">
        <f>IF(AK2="y",CHAR(34)&amp;AK$1&amp;CHAR(34)&amp;",","")</f>
        <v>"OnlyBa",</v>
      </c>
      <c r="ES2" s="48" t="str">
        <f>IF(AL2="y",CHAR(34)&amp;AL$1&amp;CHAR(34)&amp;",","")</f>
        <v/>
      </c>
      <c r="ET2" s="48" t="str">
        <f>IF(AM2="y",CHAR(34)&amp;AM$1&amp;CHAR(34)&amp;",","")</f>
        <v/>
      </c>
      <c r="EU2" s="48" t="str">
        <f>IF(AN2="y",CHAR(34)&amp;AN$1&amp;CHAR(34)&amp;",","")</f>
        <v/>
      </c>
      <c r="EV2" s="48" t="str">
        <f>IF(AO2="y",CHAR(34)&amp;AO$1&amp;CHAR(34)&amp;",","")</f>
        <v/>
      </c>
      <c r="EW2" s="48" t="str">
        <f>IF(AP2="y",CHAR(34)&amp;AP$1&amp;CHAR(34)&amp;",","")</f>
        <v/>
      </c>
      <c r="EX2" s="48" t="str">
        <f>IF(AQ2="y",CHAR(34)&amp;AQ$1&amp;CHAR(34)&amp;",","")</f>
        <v/>
      </c>
      <c r="EY2" s="48" t="str">
        <f>IF(AR2="y",CHAR(34)&amp;AR$1&amp;CHAR(34)&amp;",","")</f>
        <v/>
      </c>
      <c r="EZ2" s="48" t="str">
        <f>IF(AS2="y",CHAR(34)&amp;AS$1&amp;CHAR(34)&amp;",","")</f>
        <v/>
      </c>
      <c r="FA2" s="48" t="str">
        <f>IF(AT2&gt;0,CHAR(34)&amp;"sta"&amp;AZ2&amp;CHAR(34)&amp;",","")</f>
        <v/>
      </c>
      <c r="FB2" s="48" t="str">
        <f>IF(AND(AT2&gt;0,BA2&lt;&gt;""),CHAR(34)&amp;"sta"&amp;BA2&amp;CHAR(34)&amp;",","")</f>
        <v/>
      </c>
      <c r="FC2" s="48" t="str">
        <f>IF(AND(AT2&gt;0,BB2&lt;&gt;""),CHAR(34)&amp;"sta"&amp;BB2&amp;CHAR(34)&amp;",","")</f>
        <v/>
      </c>
      <c r="FD2" s="48" t="str">
        <f>IF(BV2="n",CHAR(34)&amp;"tcWHYE"&amp;CHAR(34)&amp;",",IF(BV2="y",CHAR(34)&amp;FD$1&amp;CHAR(34)&amp;",",""))</f>
        <v/>
      </c>
      <c r="FE2" s="48" t="str">
        <f>IF(COUNTIF(BL2:BT2,"BLU")=0,CHAR(34)&amp;"NO_BLU"&amp;CHAR(34)&amp;",", "")</f>
        <v>"NO_BLU",</v>
      </c>
      <c r="FF2" s="48" t="str">
        <f>IF(COUNTIF(BL2:BT2,"WHI")=0,CHAR(34)&amp;"NO_WHI"&amp;CHAR(34)&amp;",", "")</f>
        <v>"NO_WHI",</v>
      </c>
      <c r="FG2" s="48" t="str">
        <f>IF(COUNTIF(BL2:BT2,"RED")=0,CHAR(34)&amp;"NO_RED"&amp;CHAR(34)&amp;",", "")</f>
        <v/>
      </c>
      <c r="FH2" s="48" t="str">
        <f>IF(COUNTIF(BL2:BS2,"GRE")=0,CHAR(34)&amp;"NO_GRE"&amp;CHAR(34)&amp;",", "")</f>
        <v/>
      </c>
      <c r="FI2" s="48" t="str">
        <f>IF(COUNTIF(BL2:BT2,"YEL")=0,CHAR(34)&amp;"NO_YEL"&amp;CHAR(34)&amp;",", "")</f>
        <v/>
      </c>
      <c r="FJ2" s="48" t="str">
        <f>IF(COUNTIF(BL2:BT2,"BLA")=0,CHAR(34)&amp;"NO_BLA"&amp;CHAR(34)&amp;",", "")</f>
        <v>"NO_BLA",</v>
      </c>
      <c r="FK2" s="48" t="str">
        <f>IF(AND(FH2&lt;&gt;"",FF2&lt;&gt;""),CHAR(34)&amp;"WHGRNO"&amp;CHAR(34)&amp;",","")</f>
        <v/>
      </c>
      <c r="FL2" s="48" t="str">
        <f>IF(AND(FI2&lt;&gt;"",FF2&lt;&gt;""),CHAR(34)&amp;"WHYENO"&amp;CHAR(34)&amp;",","")</f>
        <v/>
      </c>
      <c r="FM2" s="48" t="str">
        <f>IF(AND(FJ2&lt;&gt;"",FF2&lt;&gt;""),CHAR(34)&amp;"BAWHNO"&amp;CHAR(34)&amp;",","")</f>
        <v>"BAWHNO",</v>
      </c>
      <c r="FN2" s="48" t="str">
        <f>IF(AND(FE2&lt;&gt;"",FF2&lt;&gt;""),CHAR(34)&amp;"BLWHNO"&amp;CHAR(34)&amp;",","")</f>
        <v>"BLWHNO",</v>
      </c>
      <c r="FO2" s="48" t="str">
        <f>IF(AND(FE2&lt;&gt;"",FG2&lt;&gt;""),CHAR(34)&amp;"BLRENO"&amp;CHAR(34)&amp;",","")</f>
        <v/>
      </c>
      <c r="FP2" s="48" t="str">
        <f>IF(AND(FF2&lt;&gt;"",FF2&lt;&gt;""),CHAR(34)&amp;"WHRENO"&amp;CHAR(34)&amp;",","")</f>
        <v>"WHRENO",</v>
      </c>
      <c r="FQ2" s="48" t="str">
        <f>IF(LEN(BF2)=3,CHAR(34)&amp;"001"&amp;BF2&amp;CHAR(34)&amp;",","")</f>
        <v>"001GRE",</v>
      </c>
      <c r="FR2" s="48" t="str">
        <f>IF(LEN(BG2)=3,CHAR(34)&amp;"002"&amp;BG2&amp;CHAR(34)&amp;",","")</f>
        <v>"002YEL",</v>
      </c>
      <c r="FS2" s="48" t="str">
        <f>IF(LEN(BH2)=3,CHAR(34)&amp;"003"&amp;BH2&amp;CHAR(34)&amp;",","")</f>
        <v>"003RED",</v>
      </c>
      <c r="FT2" s="48" t="str">
        <f>CHAR(34)&amp;"myr"&amp;BD2&amp;CHAR(34)&amp;","</f>
        <v>"myrEQ",</v>
      </c>
      <c r="FU2" s="48" t="str">
        <f>IF(AY2="y",CHAR(34)&amp;"island"&amp;CHAR(34)&amp;",","")</f>
        <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
      </c>
      <c r="GA2" s="48" t="str">
        <f>IFERROR(IF(SEARCH("French",CB2)&gt;0,CHAR(34)&amp;"french"&amp;CHAR(34)&amp;",",""),"")</f>
        <v>"french",</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"NoStar",</v>
      </c>
      <c r="GK2" s="48" t="str">
        <f>IF(GJ2="",CHAR(34)&amp;"HasSta"&amp;CHAR(34)&amp;",","")</f>
        <v/>
      </c>
      <c r="GL2" s="48" t="str">
        <f>IF(CQ2="y",CHAR(34)&amp;CQ$1&amp;CHAR(34)&amp;",","")</f>
        <v/>
      </c>
      <c r="GM2" s="48" t="str">
        <f>IF(CR2="y",CHAR(34)&amp;CR$1&amp;CHAR(34)&amp;",","")</f>
        <v/>
      </c>
      <c r="GN2" s="48" t="str">
        <f>IF(CS2="y",CHAR(34)&amp;CS$1&amp;CHAR(34)&amp;",","")</f>
        <v/>
      </c>
      <c r="GP2" s="48" t="str">
        <f>CHAR(34)&amp;AU2&amp;CHAR(34)</f>
        <v>""</v>
      </c>
      <c r="GS2" s="48" t="str">
        <f>SUBSTITUTE("["&amp;_xlfn.CONCAT(CW2:GN2)&amp;"]",",]","]")</f>
        <v>["3Color","lets05","startC","REEDEL","year19","dgband","alldia","3Bands","Diagon","Unequa","OnlyBa","NO_BLU","NO_WHI","NO_BLA","BAWHNO","BLWHNO","WHRENO","001GRE","002YEL","003RED","myrEQ","french","NoStar"]</v>
      </c>
      <c r="GT2" s="48" t="str">
        <f>IF(BL2&lt;&gt;"",CHAR(34)&amp;"cl_"&amp;BL2&amp;CHAR(34)&amp;",","")</f>
        <v>"cl_RED",</v>
      </c>
      <c r="GU2" s="48" t="str">
        <f>IF(BM2&lt;&gt;"",CHAR(34)&amp;"cl_"&amp;BM2&amp;CHAR(34)&amp;",","")</f>
        <v>"cl_YEL",</v>
      </c>
      <c r="GV2" s="48" t="str">
        <f>IF(BN2&lt;&gt;"",CHAR(34)&amp;"cl_"&amp;BN2&amp;CHAR(34)&amp;",","")</f>
        <v>"cl_GRE",</v>
      </c>
      <c r="GW2" s="48" t="str">
        <f>IF(BO2&lt;&gt;"",CHAR(34)&amp;"cl_"&amp;BO2&amp;CHAR(34)&amp;",","")</f>
        <v/>
      </c>
      <c r="GX2" s="48" t="str">
        <f>IF(BP2&lt;&gt;"",CHAR(34)&amp;"cl_"&amp;BP2&amp;CHAR(34)&amp;",","")</f>
        <v/>
      </c>
      <c r="GY2" s="48" t="str">
        <f>IF(BQ2&lt;&gt;"",CHAR(34)&amp;"cl_"&amp;BQ2&amp;CHAR(34)&amp;",","")</f>
        <v/>
      </c>
      <c r="GZ2" s="48" t="str">
        <f>IF(BR2&lt;&gt;"",CHAR(34)&amp;"cl_"&amp;BR2&amp;CHAR(34)&amp;",","")</f>
        <v/>
      </c>
      <c r="HA2" s="48" t="str">
        <f>IF(BS2&lt;&gt;"",CHAR(34)&amp;"cl_"&amp;BS2&amp;CHAR(34)&amp;",","")</f>
        <v/>
      </c>
      <c r="HB2" s="48" t="str">
        <f>IF(BT2&lt;&gt;"",CHAR(34)&amp;"cl_"&amp;BT2&amp;CHAR(34)&amp;",","")</f>
        <v/>
      </c>
      <c r="HC2" s="48" t="str">
        <f>SUBSTITUTE("["&amp;_xlfn.CONCAT(GT2:HB2)&amp;"]",",]","]")</f>
        <v>["cl_RED","cl_YEL","cl_GRE"]</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{couname:"Congo",year:"1959, 1991 ",region:"rgn_Africa",Colors:["cl_RED","cl_YEL","cl_GRE"],Items:["3Color","lets05","startC","REEDEL","year19","dgband","alldia","3Bands","Diagon","Unequa","OnlyBa","NO_BLU","NO_WHI","NO_BLA","BAWHNO","BLWHNO","WHRENO","001GRE","002YEL","003RED","myrEQ","french","NoStar"],Flag:"https://i.ibb.co/P95t5MT/Congo-Flag.png",HDFlag:"https://upload.wikimedia.org/wikipedia/commons/thumb/9/92/Flag_of_the_Republic_of_the_Congo.svg/2560px-Flag_of_the_Republic_of_the_Congo.svg.png",type:"", describe: "\nThe green symbolizes the agriculture and forests of the Congo, while the yellow represents the friendship and nobility of the Congolese people. However, the symbolism behind the red was left unexplained. From a continental viewpoint, the green, yellow and red are the colours of the Pan-Africanist movement; it is the only Pan-Africanist flag to utilize a diagonal pattern in its design. They are also 3 of the colors utilized in the flag of Ethiopia, the oldest independent country in Africa and the only nation other than Liberia to remain independent during the Scramble for Africa.", isnew:".", links: "https://en.wikipedia.org/wiki/Flag_of_the_Republic_of_the_Congo"},</v>
      </c>
      <c r="HG2" s="73" t="str">
        <f>"{couname:"&amp;CT2&amp;(IF(HK2&lt;&gt;"",",subtype:"&amp;CHAR(34)&amp;HK2&amp;CHAR(34),""))&amp;",year:"&amp;HJ2&amp;",region:"&amp;CU2&amp;",Colors:"&amp;HC2&amp;",Items:"&amp;GS2&amp;",Flag:"&amp;CV2&amp;",HDFlag:"&amp;CHAR(34)&amp;E2&amp;CHAR(34)&amp;",type:"&amp;GP2&amp;", describe: "&amp;HI2&amp;", links: "&amp;HL2&amp;"},"</f>
        <v>{couname:"Congo",year:"1959, 1991 ",region:"rgn_Africa",Colors:["cl_RED","cl_YEL","cl_GRE"],Items:["3Color","lets05","startC","REEDEL","year19","dgband","alldia","3Bands","Diagon","Unequa","OnlyBa","NO_BLU","NO_WHI","NO_BLA","BAWHNO","BLWHNO","WHRENO","001GRE","002YEL","003RED","myrEQ","french","NoStar"],Flag:"https://i.ibb.co/P95t5MT/Congo-Flag.png",HDFlag:"https://upload.wikimedia.org/wikipedia/commons/thumb/9/92/Flag_of_the_Republic_of_the_Congo.svg/2560px-Flag_of_the_Republic_of_the_Congo.svg.png",type:"", describe: "\nThe green symbolizes the agriculture and forests of the Congo, while the yellow represents the friendship and nobility of the Congolese people. However, the symbolism behind the red was left unexplained. From a continental viewpoint, the green, yellow and red are the colours of the Pan-Africanist movement; it is the only Pan-Africanist flag to utilize a diagonal pattern in its design. They are also 3 of the colors utilized in the flag of Ethiopia, the oldest independent country in Africa and the only nation other than Liberia to remain independent during the Scramble for Africa.", links: "https://en.wikipedia.org/wiki/Flag_of_the_Republic_of_the_Congo"},</v>
      </c>
      <c r="HH2" s="48" t="str">
        <f>IF(P2&lt;&gt;"",CHAR(34)&amp;"\n"&amp;P2&amp;CHAR(34),CHAR(34)&amp;CHAR(34))</f>
        <v>"\nThe green symbolizes the agriculture and forests of the Congo, while the yellow represents the friendship and nobility of the Congolese people. However, the symbolism behind the red was left unexplained. From a continental viewpoint, the green, yellow and red are the colours of the Pan-Africanist movement; it is the only Pan-Africanist flag to utilize a diagonal pattern in its design. They are also 3 of the colors utilized in the flag of Ethiopia, the oldest independent country in Africa and the only nation other than Liberia to remain independent during the Scramble for Africa."</v>
      </c>
      <c r="HI2" s="48" t="str">
        <f>IF(J2=0,CHAR(34)&amp;CHAR(34),HH2)</f>
        <v>"\nThe green symbolizes the agriculture and forests of the Congo, while the yellow represents the friendship and nobility of the Congolese people. However, the symbolism behind the red was left unexplained. From a continental viewpoint, the green, yellow and red are the colours of the Pan-Africanist movement; it is the only Pan-Africanist flag to utilize a diagonal pattern in its design. They are also 3 of the colors utilized in the flag of Ethiopia, the oldest independent country in Africa and the only nation other than Liberia to remain independent during the Scramble for Africa."</v>
      </c>
      <c r="HJ2" s="48" t="str">
        <f>CHAR(34)&amp;O2&amp;CHAR(34)</f>
        <v>"1959, 1991 "</v>
      </c>
      <c r="HL2" s="48" t="str">
        <f>CHAR(34)&amp;I2&amp;CHAR(34)</f>
        <v>"https://en.wikipedia.org/wiki/Flag_of_the_Republic_of_the_Congo"</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{"couname":"Congo","year":"1959, 1991 ","region":"rgn_Africa","Colors":["cl_RED","cl_YEL","cl_GRE"],"Items":["3Color","lets05","startC","REEDEL","year19","dgband","alldia","3Bands","Diagon","Unequa","OnlyBa","NO_BLU","NO_WHI","NO_BLA","BAWHNO","BLWHNO","WHRENO","001GRE","002YEL","003RED","myrEQ","french","NoStar"],"Flag":"https://i.ibb.co/P95t5MT/Congo-Flag.png","HDFlag":"https://upload.wikimedia.org/wikipedia/commons/thumb/9/92/Flag_of_the_Republic_of_the_Congo.svg/2560px-Flag_of_the_Republic_of_the_Congo.svg.png","type":"", "describe": "\nThe green symbolizes the agriculture and forests of the Congo, while the yellow represents the friendship and nobility of the Congolese people. However, the symbolism behind the red was left unexplained. From a continental viewpoint, the green, yellow and red are the colours of the Pan-Africanist movement; it is the only Pan-Africanist flag to utilize a diagonal pattern in its design. They are also 3 of the colors utilized in the flag of Ethiopia, the oldest independent country in Africa and the only nation other than Liberia to remain independent during the Scramble for Africa.", "isnew": ".", "links": "https://en.wikipedia.org/wiki/Flag_of_the_Republic_of_the_Congo"},</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{"couname":"Congo","year":"1959, 1991 ","region":"rgn_Africa","Colors":["cl_RED","cl_YEL","cl_GRE"],"Items":["3Color","lets05","startC","REEDEL","year19","dgband","alldia","3Bands","Diagon","Unequa","OnlyBa","NO_BLU","NO_WHI","NO_BLA","BAWHNO","BLWHNO","WHRENO","001GRE","002YEL","003RED","myrEQ","french","NoStar"],"Flag":"https://i.ibb.co/P95t5MT/Congo-Flag.png","HDFlag":"https://upload.wikimedia.org/wikipedia/commons/thumb/9/92/Flag_of_the_Republic_of_the_Congo.svg/2560px-Flag_of_the_Republic_of_the_Congo.svg.png","type":"", "describe": "\nThe green symbolizes the agriculture and forests of the Congo, while the yellow represents the friendship and nobility of the Congolese people. However, the symbolism behind the red was left unexplained. From a continental viewpoint, the green, yellow and red are the colours of the Pan-Africanist movement; it is the only Pan-Africanist flag to utilize a diagonal pattern in its design. They are also 3 of the colors utilized in the flag of Ethiopia, the oldest independent country in Africa and the only nation other than Liberia to remain independent during the Scramble for Africa.", "isnew": ".", "links": "https://en.wikipedia.org/wiki/Flag_of_the_Republic_of_the_Congo"},</v>
      </c>
      <c r="HO2" s="75"/>
      <c r="HP2" s="48" t="str" cm="1">
        <f t="array" ref="HP2">IF(_xlfn.TEXTJOIN(", ", TRUE, IF(ISNUMBER(SEARCH("BLA", BL2:BT2)), COLUMN(BL2:BT2) - COLUMN(BL2) + 1, ""))&lt;&gt;"","BLA","")</f>
        <v/>
      </c>
      <c r="HQ2" s="48" t="str" cm="1">
        <f t="array" ref="HQ2">IF(_xlfn.TEXTJOIN(", ", TRUE, IF(ISNUMBER(SEARCH("BLU", BL2:BT2)), COLUMN(BL2:BT2) - COLUMN(BL2) + 1, ""))&lt;&gt;"","BLU","")</f>
        <v/>
      </c>
      <c r="HR2" s="48" t="str" cm="1">
        <f t="array" ref="HR2">IF(_xlfn.TEXTJOIN(", ", TRUE, IF(ISNUMBER(SEARCH("GRE", BL2:BT2)), COLUMN(BL2:BT2) - COLUMN(BL2) + 1, ""))&lt;&gt;"","GRE","")</f>
        <v>GRE</v>
      </c>
      <c r="HS2" s="48" t="str" cm="1">
        <f t="array" ref="HS2">IF(_xlfn.TEXTJOIN(", ", TRUE, IF(ISNUMBER(SEARCH("RED", BL2:BT2)), COLUMN(BL2:BT2) - COLUMN(BL2) + 1, ""))&lt;&gt;"","RED","")</f>
        <v>RED</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
      </c>
      <c r="HY2" s="76"/>
      <c r="HZ2" s="76"/>
      <c r="IA2" s="6"/>
      <c r="IB2" s="6"/>
      <c r="IC2" s="77"/>
      <c r="ID2" s="77"/>
      <c r="IE2" s="77"/>
      <c r="IF2" s="77"/>
      <c r="IG2" s="77"/>
      <c r="IH2" s="77"/>
      <c r="II2" s="77"/>
      <c r="IJ2" s="77"/>
      <c r="IK2" s="77"/>
      <c r="IL2" s="48">
        <f>SUM(IC2:IK2)</f>
        <v>0</v>
      </c>
      <c r="IM2" s="45">
        <f>COUNTIF(IC2:IK2,"&gt;0")-CG2</f>
        <v>-3</v>
      </c>
      <c r="IN2" s="78" t="str">
        <f>"http://mkweb.bcgsc.ca/color-summarizer/?url="&amp;D2&amp;"&amp;precision=low&amp;num_clusters="&amp;CG2&amp;"&amp;text=1"</f>
        <v>http://mkweb.bcgsc.ca/color-summarizer/?url=https://i.ibb.co/P95t5MT/Congo-Flag.png&amp;precision=low&amp;num_clusters=3&amp;text=1</v>
      </c>
      <c r="IO2" s="48" t="str">
        <f>IF(HP2&lt;&gt;"",CHAR(34)&amp;"black"&amp;CHAR(34),"")</f>
        <v/>
      </c>
      <c r="IP2" s="48" t="str">
        <f>IF(HQ2&lt;&gt;"",CHAR(34)&amp;"blue"&amp;CHAR(34),"")</f>
        <v/>
      </c>
      <c r="IQ2" s="48" t="str">
        <f>IF(HR2&lt;&gt;"",CHAR(34)&amp;"green"&amp;CHAR(34),"")</f>
        <v>"green"</v>
      </c>
      <c r="IR2" s="48" t="str">
        <f>IF(HS2&lt;&gt;"",CHAR(34)&amp;"red"&amp;CHAR(34),"")</f>
        <v>"red"</v>
      </c>
      <c r="IS2" s="48" t="str">
        <f>IF(HT2&lt;&gt;"",CHAR(34)&amp;"yellow"&amp;CHAR(34),"")</f>
        <v>"yellow"</v>
      </c>
      <c r="IT2" s="48" t="str">
        <f>IF(HU2&lt;&gt;"",CHAR(34)&amp;"orange"&amp;CHAR(34),"")</f>
        <v/>
      </c>
      <c r="IU2" s="48" t="str">
        <f>IF(HV2&lt;&gt;"",CHAR(34)&amp;"brown"&amp;CHAR(34),"")</f>
        <v/>
      </c>
      <c r="IV2" s="48" t="str">
        <f>IF(HW2&lt;&gt;"",CHAR(34)&amp;"purple"&amp;CHAR(34),"")</f>
        <v/>
      </c>
      <c r="IW2" s="48" t="str">
        <f>IF(HX2&lt;&gt;"",CHAR(34)&amp;"white"&amp;CHAR(34),"")</f>
        <v/>
      </c>
      <c r="IX2" s="48" t="str">
        <f>"{"&amp;CHAR(34)&amp;"url"&amp;CHAR(34)&amp;":"&amp;CHAR(34)&amp;IN2&amp;CHAR(34)&amp;","&amp;CHAR(34)&amp;"name"&amp;CHAR(34)&amp;":"&amp;CHAR(34)&amp;A2&amp;CHAR(34)&amp;"},"</f>
        <v>{"url":"http://mkweb.bcgsc.ca/color-summarizer/?url=https://i.ibb.co/P95t5MT/Congo-Flag.png&amp;precision=low&amp;num_clusters=3&amp;text=1","name":"Congo"},</v>
      </c>
      <c r="IY2" s="48">
        <v>51</v>
      </c>
    </row>
    <row r="3" spans="1:259" s="48" customFormat="1" ht="38.4" customHeight="1" thickBot="1" x14ac:dyDescent="0.35">
      <c r="A3" s="80" t="s">
        <v>734</v>
      </c>
      <c r="B3" s="40" t="e" vm="23">
        <v>#VALUE!</v>
      </c>
      <c r="C3" s="41" t="s">
        <v>173</v>
      </c>
      <c r="D3" s="42" t="s">
        <v>735</v>
      </c>
      <c r="E3" s="43" t="s">
        <v>736</v>
      </c>
      <c r="F3" s="44" t="s">
        <v>163</v>
      </c>
      <c r="G3" s="45">
        <f>COUNTIF($A$1:$A$8366,A3)</f>
        <v>1</v>
      </c>
      <c r="H3" s="46" t="s">
        <v>746</v>
      </c>
      <c r="I3" s="47" t="s">
        <v>737</v>
      </c>
      <c r="J3" s="48" t="str">
        <f>""</f>
        <v/>
      </c>
      <c r="K3" s="49"/>
      <c r="L3" s="50"/>
      <c r="M3" s="50"/>
      <c r="N3" s="51" t="s">
        <v>180</v>
      </c>
      <c r="O3" s="52" t="s">
        <v>738</v>
      </c>
      <c r="P3" s="53" t="s">
        <v>739</v>
      </c>
      <c r="Q3" s="54">
        <v>3</v>
      </c>
      <c r="R3" s="55" t="s">
        <v>180</v>
      </c>
      <c r="S3" s="56">
        <v>0</v>
      </c>
      <c r="T3" s="57" t="s">
        <v>164</v>
      </c>
      <c r="U3" s="58" t="s">
        <v>167</v>
      </c>
      <c r="V3" s="58" t="s">
        <v>164</v>
      </c>
      <c r="W3" s="58" t="s">
        <v>164</v>
      </c>
      <c r="X3" s="58" t="s">
        <v>164</v>
      </c>
      <c r="Y3" s="58" t="s">
        <v>164</v>
      </c>
      <c r="Z3" s="58" t="s">
        <v>164</v>
      </c>
      <c r="AA3" s="58" t="s">
        <v>164</v>
      </c>
      <c r="AB3" s="58" t="s">
        <v>164</v>
      </c>
      <c r="AC3" s="58" t="s">
        <v>164</v>
      </c>
      <c r="AD3" s="58" t="s">
        <v>164</v>
      </c>
      <c r="AE3" s="58" t="s">
        <v>164</v>
      </c>
      <c r="AF3" s="59" t="s">
        <v>164</v>
      </c>
      <c r="AG3" s="59" t="s">
        <v>164</v>
      </c>
      <c r="AH3" s="59" t="s">
        <v>167</v>
      </c>
      <c r="AI3" s="59" t="s">
        <v>164</v>
      </c>
      <c r="AJ3" s="59" t="s">
        <v>164</v>
      </c>
      <c r="AK3" s="59" t="s">
        <v>164</v>
      </c>
      <c r="AL3" s="59" t="s">
        <v>164</v>
      </c>
      <c r="AM3" s="59" t="s">
        <v>164</v>
      </c>
      <c r="AN3" s="59" t="s">
        <v>164</v>
      </c>
      <c r="AO3" s="59" t="s">
        <v>164</v>
      </c>
      <c r="AP3" s="59" t="s">
        <v>164</v>
      </c>
      <c r="AQ3" s="59" t="s">
        <v>164</v>
      </c>
      <c r="AR3" s="59" t="s">
        <v>164</v>
      </c>
      <c r="AS3" s="59" t="s">
        <v>164</v>
      </c>
      <c r="AT3" s="60">
        <v>0</v>
      </c>
      <c r="AU3" s="59" t="s">
        <v>174</v>
      </c>
      <c r="AV3" s="59" t="str">
        <f>IF(LEFT(A3,1)="[",LEFT(A3,5)&amp;AU3&amp;A3,"")</f>
        <v>[COG]Historical[COG] Kingdom of Congo (1390-1914)</v>
      </c>
      <c r="AW3" s="59" t="str">
        <f t="shared" ref="AW3" si="1">C3&amp;H3&amp;A3</f>
        <v>3b[COG] Other[COG] Kingdom of Congo (1390-1914)</v>
      </c>
      <c r="AX3" s="61"/>
      <c r="AY3" s="61"/>
      <c r="AZ3" s="62"/>
      <c r="BA3" s="62"/>
      <c r="BB3" s="62"/>
      <c r="BC3" s="63"/>
      <c r="BD3" s="64" t="s">
        <v>159</v>
      </c>
      <c r="BE3" s="47"/>
      <c r="BF3" s="64"/>
      <c r="BG3" s="64"/>
      <c r="BH3" s="64"/>
      <c r="BI3" s="64"/>
      <c r="BJ3" s="64"/>
      <c r="BK3" s="47"/>
      <c r="BL3" s="64" t="s">
        <v>159</v>
      </c>
      <c r="BM3" s="64" t="s">
        <v>154</v>
      </c>
      <c r="BN3" s="64"/>
      <c r="BO3" s="64"/>
      <c r="BP3" s="64"/>
      <c r="BQ3" s="64"/>
      <c r="BR3" s="64"/>
      <c r="BS3" s="64"/>
      <c r="BT3" s="64"/>
      <c r="BU3" s="65"/>
      <c r="BV3" s="66"/>
      <c r="BW3" s="66">
        <v>0</v>
      </c>
      <c r="BX3" s="47"/>
      <c r="CB3" s="6"/>
      <c r="CC3" s="6"/>
      <c r="CD3" s="67">
        <v>0</v>
      </c>
      <c r="CE3" s="67">
        <v>0</v>
      </c>
      <c r="CF3" s="67" t="e">
        <v>#REF!</v>
      </c>
      <c r="CG3" s="68" cm="1">
        <f t="array" ref="CG3">SUMPRODUCT(--(LEN(TRIM(BL3:BT3))&gt;0))</f>
        <v>2</v>
      </c>
      <c r="CH3" s="59" t="str">
        <f>IF(CG3=2,"y","n")</f>
        <v>y</v>
      </c>
      <c r="CI3" s="59" t="str">
        <f>IF(CG3=3,"y","n")</f>
        <v>n</v>
      </c>
      <c r="CJ3" s="59" t="str">
        <f>IF(CG3=4,"y","n")</f>
        <v>n</v>
      </c>
      <c r="CK3" s="59" t="str">
        <f>IF(CG3&gt;4,"y","n")</f>
        <v>n</v>
      </c>
      <c r="CL3" s="59" t="str">
        <f>IF(S3=0,"y","n")</f>
        <v>y</v>
      </c>
      <c r="CM3" s="59" t="str">
        <f>IF(S3=2,"y","n")</f>
        <v>n</v>
      </c>
      <c r="CN3" s="59" t="str">
        <f>IF(S3=3,"y","n")</f>
        <v>n</v>
      </c>
      <c r="CO3" s="59" t="str">
        <f>IF(S3&gt;=4,"y","n")</f>
        <v>n</v>
      </c>
      <c r="CP3" s="59" t="str">
        <f>IF(AT3=0,"y","n")</f>
        <v>y</v>
      </c>
      <c r="CQ3" s="59" t="str">
        <f>IF(AT3=1,"y","n")</f>
        <v>n</v>
      </c>
      <c r="CR3" s="59" t="str">
        <f>IF(AT3=2,"y","n")</f>
        <v>n</v>
      </c>
      <c r="CS3" s="59" t="str">
        <f>IF(AT3&gt;=3,"y","n")</f>
        <v>n</v>
      </c>
      <c r="CT3" s="69" t="str">
        <f>CHAR(34)&amp;A3&amp;CHAR(34)</f>
        <v>"[COG] Kingdom of Congo (1390-1914)"</v>
      </c>
      <c r="CU3" s="70" t="str">
        <f>CHAR(34)&amp;"rgn_"&amp;R3&amp;CHAR(34)</f>
        <v>"rgn_Africa"</v>
      </c>
      <c r="CV3" s="48" t="str">
        <f>CHAR(34)&amp;D3&amp;CHAR(34)</f>
        <v>"https://upload.wikimedia.org/wikipedia/commons/thumb/d/d5/Flag_of_the_Kingdom_of_Kongo_according_to_Giovanni_Cavazzi_da_Montecuccolo.svg/640px-Flag_of_the_Kingdom_of_Kongo_according_to_Giovanni_Cavazzi_da_Montecuccolo.svg.png"</v>
      </c>
      <c r="CW3" s="48" t="str">
        <f>IF(CH3="y",CHAR(34)&amp;CH$1&amp;CHAR(34)&amp;",","")</f>
        <v>"2Color",</v>
      </c>
      <c r="CX3" s="48" t="str">
        <f>IF(CI3="y",CHAR(34)&amp;CI$1&amp;CHAR(34)&amp;",","")</f>
        <v/>
      </c>
      <c r="CY3" s="48" t="str">
        <f>IF(CJ3="y",CHAR(34)&amp;CJ$1&amp;CHAR(34)&amp;",","")</f>
        <v/>
      </c>
      <c r="CZ3" s="48" t="str">
        <f>IF(CK3="y",CHAR(34)&amp;CK$1&amp;CHAR(34)&amp;",","")</f>
        <v/>
      </c>
      <c r="DA3" s="48" t="str">
        <f>IF(Q3&gt;1,CHAR(34)&amp;"words2"&amp;CHAR(34)&amp;",","")</f>
        <v>"words2",</v>
      </c>
      <c r="DB3" s="48" t="str">
        <f>IF(Q3&gt;2,CHAR(34)&amp;"words3"&amp;CHAR(34)&amp;",","")</f>
        <v>"words3",</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"lets24",</v>
      </c>
      <c r="DE3" s="48" t="str">
        <f>CHAR(34)&amp;"start"&amp;IFERROR(LEFT(SUBSTITUTE(A3,"["&amp;MID(A3,FIND("[",A3)+1,FIND("]",A3)-FIND("[",A3)-1)&amp;"] ",""),1),LEFT(A3,1))&amp;CHAR(34)&amp;","</f>
        <v>"startK",</v>
      </c>
      <c r="DF3" s="48" t="str">
        <f>IFERROR(IF(SEARCH("tan",A3)&gt;0,CHAR(34)&amp;"withtn"&amp;CHAR(34)&amp;",",""),"")</f>
        <v/>
      </c>
      <c r="DG3" s="48" t="str">
        <f>IFERROR(IF(SEARCH("q",A3)&gt;0,CHAR(34)&amp;"with_q"&amp;CHAR(34)&amp;",",""),"")</f>
        <v/>
      </c>
      <c r="DH3" s="48" t="str">
        <f>IFERROR(IF(SEARCH("v",A3)&gt;0,CHAR(34)&amp;"with_v"&amp;CHAR(34)&amp;",",""),"")</f>
        <v/>
      </c>
      <c r="DI3" s="48" t="str">
        <f>IFERROR(IF(SEARCH("w",A3)&gt;0,CHAR(34)&amp;"with_w"&amp;CHAR(34)&amp;",",""),"")</f>
        <v/>
      </c>
      <c r="DJ3" s="48" t="str">
        <f>IFERROR(IF(SEARCH("y",A3)&gt;0,CHAR(34)&amp;"with_y"&amp;CHAR(34)&amp;",",""),"")</f>
        <v/>
      </c>
      <c r="DK3" s="48" t="str">
        <f>IFERROR(IF(SEARCH("z",A3)&gt;0,CHAR(34)&amp;"with_z"&amp;CHAR(34)&amp;",",""),"")</f>
        <v/>
      </c>
      <c r="DL3" s="48" t="str">
        <f>IF(CG3=2, CHAR(34) &amp; _xlfn.TEXTJOIN("", TRUE, _xlfn._xlws.SORT(HP3:HX3)) &amp; CHAR(34) &amp; ",", "")</f>
        <v>"REDWHI",</v>
      </c>
      <c r="DM3" s="48" t="str" cm="1">
        <f t="array" ref="DM3">IF(CG3=3,CHAR(34) &amp; _xlfn.TEXTJOIN("", TRUE, RIGHT(HP3:HX3, 2)) &amp; CHAR(34) &amp; ",", "")</f>
        <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
      </c>
      <c r="DP3" s="6" t="str">
        <f>IF(AND(ISNUMBER(SEARCH("20", O3)), ISERROR(SEARCH("1920", O3))), CHAR(34)&amp;"year00"&amp;CHAR(34)&amp;",", "")</f>
        <v/>
      </c>
      <c r="DQ3" s="6" t="str">
        <f>IF(CC3="y",CHAR(34)&amp;"soviet"&amp;CHAR(34)&amp;",","")</f>
        <v/>
      </c>
      <c r="DR3" s="6" t="str">
        <f>IF(BY3="y",CHAR(34)&amp;"dgband"&amp;CHAR(34)&amp;",","")</f>
        <v/>
      </c>
      <c r="DS3" s="6" t="str">
        <f>IF(W3="y",IF(AND(V3="n",BY3&lt;&gt;"y"),CHAR(34)&amp;"allver"&amp;CHAR(34)&amp;",",""),"")</f>
        <v/>
      </c>
      <c r="DT3" s="6" t="str">
        <f>IF(V3="y",IF(AND(W3="n",BY3&lt;&gt;"y"),CHAR(34)&amp;"allhor"&amp;CHAR(34)&amp;",",""),"")</f>
        <v/>
      </c>
      <c r="DU3" s="6" t="str">
        <f>IF(BY3="y",IF(AND(W3="n",V3="n"),CHAR(34)&amp;"alldia"&amp;CHAR(34)&amp;",",""),"")</f>
        <v/>
      </c>
      <c r="DW3" s="48" t="str">
        <f>IF(CL3="y",CHAR(34)&amp;CL$1&amp;CHAR(34)&amp;",","")</f>
        <v>"NoBand",</v>
      </c>
      <c r="DX3" s="48" t="str">
        <f>IF(CM3="y",CHAR(34)&amp;CM$1&amp;CHAR(34)&amp;",","")</f>
        <v/>
      </c>
      <c r="DY3" s="48" t="str">
        <f>IF(CN3="y",CHAR(34)&amp;CN$1&amp;CHAR(34)&amp;",","")</f>
        <v/>
      </c>
      <c r="DZ3" s="48" t="str">
        <f>IF(CO3="y",CHAR(34)&amp;CO$1&amp;CHAR(34)&amp;",","")</f>
        <v/>
      </c>
      <c r="EA3" s="48" t="str">
        <f>IF(T3="y",CHAR(34)&amp;T$1&amp;CHAR(34)&amp;",","")</f>
        <v/>
      </c>
      <c r="EB3" s="48" t="str">
        <f>IF(U3="y",CHAR(34)&amp;U$1&amp;CHAR(34)&amp;",","")</f>
        <v>"Crosse",</v>
      </c>
      <c r="EC3" s="48" t="str">
        <f>IF(V3="y",CHAR(34)&amp;V$1&amp;CHAR(34)&amp;",","")</f>
        <v/>
      </c>
      <c r="ED3" s="48" t="str">
        <f>IF(W3="y",CHAR(34)&amp;W$1&amp;CHAR(34)&amp;",","")</f>
        <v/>
      </c>
      <c r="EE3" s="48" t="str">
        <f>IF(X3="y",CHAR(34)&amp;X$1&amp;CHAR(34)&amp;",","")</f>
        <v/>
      </c>
      <c r="EF3" s="48" t="str">
        <f>IF(AND(Y3&lt;&gt;"n",Y3&lt;&gt;""),CHAR(34)&amp;Y$1&amp;CHAR(34)&amp;",","")</f>
        <v/>
      </c>
      <c r="EG3" s="48" t="str">
        <f>IF(Z3="y",CHAR(34)&amp;Z$1&amp;CHAR(34)&amp;",","")</f>
        <v/>
      </c>
      <c r="EH3" s="48" t="str">
        <f>IF(AA3="y",CHAR(34)&amp;AA$1&amp;CHAR(34)&amp;",","")</f>
        <v/>
      </c>
      <c r="EI3" s="48" t="str">
        <f>IF(AB3="y",CHAR(34)&amp;AB$1&amp;CHAR(34)&amp;",","")</f>
        <v/>
      </c>
      <c r="EJ3" s="48" t="str">
        <f>IF(AC3="y",CHAR(34)&amp;AC$1&amp;CHAR(34)&amp;",","")</f>
        <v/>
      </c>
      <c r="EK3" s="48" t="str">
        <f>IF(AD3="y",CHAR(34)&amp;AD$1&amp;CHAR(34)&amp;",","")</f>
        <v/>
      </c>
      <c r="EL3" s="48" t="str">
        <f>IF(AE3="y",CHAR(34)&amp;AE$1&amp;CHAR(34)&amp;",","")</f>
        <v/>
      </c>
      <c r="EM3" s="48" t="str">
        <f>IF(AF3="y",CHAR(34)&amp;AF$1&amp;CHAR(34)&amp;",","")</f>
        <v/>
      </c>
      <c r="EN3" s="48" t="str">
        <f>IF(AG3="y",CHAR(34)&amp;AG$1&amp;CHAR(34)&amp;",","")</f>
        <v/>
      </c>
      <c r="EO3" s="48" t="str">
        <f>IF(AH3="y",CHAR(34)&amp;AH$1&amp;CHAR(34)&amp;",","")</f>
        <v>"Center",</v>
      </c>
      <c r="EP3" s="48" t="str">
        <f>IF(AI3="y",CHAR(34)&amp;AI$1&amp;CHAR(34)&amp;",","")</f>
        <v/>
      </c>
      <c r="EQ3" s="48" t="str">
        <f>IF(AJ3="y",CHAR(34)&amp;AJ$1&amp;CHAR(34)&amp;",","")</f>
        <v/>
      </c>
      <c r="ER3" s="48" t="str">
        <f>IF(AK3="y",CHAR(34)&amp;AK$1&amp;CHAR(34)&amp;",","")</f>
        <v/>
      </c>
      <c r="ES3" s="48" t="str">
        <f>IF(AL3="y",CHAR(34)&amp;AL$1&amp;CHAR(34)&amp;",","")</f>
        <v/>
      </c>
      <c r="ET3" s="48" t="str">
        <f>IF(AM3="y",CHAR(34)&amp;AM$1&amp;CHAR(34)&amp;",","")</f>
        <v/>
      </c>
      <c r="EU3" s="48" t="str">
        <f>IF(AN3="y",CHAR(34)&amp;AN$1&amp;CHAR(34)&amp;",","")</f>
        <v/>
      </c>
      <c r="EV3" s="48" t="str">
        <f>IF(AO3="y",CHAR(34)&amp;AO$1&amp;CHAR(34)&amp;",","")</f>
        <v/>
      </c>
      <c r="EW3" s="48" t="str">
        <f>IF(AP3="y",CHAR(34)&amp;AP$1&amp;CHAR(34)&amp;",","")</f>
        <v/>
      </c>
      <c r="EX3" s="48" t="str">
        <f>IF(AQ3="y",CHAR(34)&amp;AQ$1&amp;CHAR(34)&amp;",","")</f>
        <v/>
      </c>
      <c r="EY3" s="48" t="str">
        <f>IF(AR3="y",CHAR(34)&amp;AR$1&amp;CHAR(34)&amp;",","")</f>
        <v/>
      </c>
      <c r="EZ3" s="48" t="str">
        <f>IF(AS3="y",CHAR(34)&amp;AS$1&amp;CHAR(34)&amp;",","")</f>
        <v/>
      </c>
      <c r="FA3" s="48" t="str">
        <f>IF(AT3&gt;0,CHAR(34)&amp;"sta"&amp;AZ3&amp;CHAR(34)&amp;",","")</f>
        <v/>
      </c>
      <c r="FB3" s="48" t="str">
        <f>IF(AND(AT3&gt;0,BA3&lt;&gt;""),CHAR(34)&amp;"sta"&amp;BA3&amp;CHAR(34)&amp;",","")</f>
        <v/>
      </c>
      <c r="FD3" s="48" t="str">
        <f>IF(BV3="n",CHAR(34)&amp;"tcWHYE"&amp;CHAR(34)&amp;",",IF(BV3="y",CHAR(34)&amp;FD$1&amp;CHAR(34)&amp;",",""))</f>
        <v/>
      </c>
      <c r="FE3" s="48" t="str">
        <f>IF(COUNTIF(BL3:BT3,"BLU")=0,CHAR(34)&amp;"NO_BLU"&amp;CHAR(34)&amp;",", "")</f>
        <v>"NO_BLU",</v>
      </c>
      <c r="FF3" s="48" t="str">
        <f>IF(COUNTIF(BL3:BT3,"WHI")=0,CHAR(34)&amp;"NO_WHI"&amp;CHAR(34)&amp;",", "")</f>
        <v/>
      </c>
      <c r="FG3" s="48" t="str">
        <f>IF(COUNTIF(BL3:BT3,"RED")=0,CHAR(34)&amp;"NO_RED"&amp;CHAR(34)&amp;",", "")</f>
        <v/>
      </c>
      <c r="FH3" s="48" t="str">
        <f>IF(COUNTIF(BL3:BS3,"GRE")=0,CHAR(34)&amp;"NO_GRE"&amp;CHAR(34)&amp;",", "")</f>
        <v>"NO_GRE",</v>
      </c>
      <c r="FI3" s="48" t="str">
        <f>IF(COUNTIF(BL3:BT3,"YEL")=0,CHAR(34)&amp;"NO_YEL"&amp;CHAR(34)&amp;",", "")</f>
        <v>"NO_YEL",</v>
      </c>
      <c r="FJ3" s="48" t="str">
        <f>IF(COUNTIF(BL3:BT3,"BLA")=0,CHAR(34)&amp;"NO_BLA"&amp;CHAR(34)&amp;",", "")</f>
        <v>"NO_BLA",</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
      </c>
      <c r="FQ3" s="48" t="str">
        <f>IF(LEN(BF3)=3,CHAR(34)&amp;"001"&amp;BF3&amp;CHAR(34)&amp;",","")</f>
        <v/>
      </c>
      <c r="FR3" s="48" t="str">
        <f>IF(LEN(BG3)=3,CHAR(34)&amp;"002"&amp;BG3&amp;CHAR(34)&amp;",","")</f>
        <v/>
      </c>
      <c r="FS3" s="48" t="str">
        <f>IF(LEN(BH3)=3,CHAR(34)&amp;"003"&amp;BH3&amp;CHAR(34)&amp;",","")</f>
        <v/>
      </c>
      <c r="FT3" s="48" t="str">
        <f>CHAR(34)&amp;"myr"&amp;BD3&amp;CHAR(34)&amp;","</f>
        <v>"myrWHI",</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"histor",</v>
      </c>
      <c r="GG3" s="48" t="str">
        <f>IF(BU3="y",CHAR(34)&amp;"unjack"&amp;CHAR(34)&amp;",","")</f>
        <v/>
      </c>
      <c r="GH3" s="48" t="str">
        <f>IF(CD3=1,CHAR(34)&amp;"southc"&amp;CHAR(34)&amp;",","")</f>
        <v/>
      </c>
      <c r="GI3" s="48" t="str">
        <f>IF(CE3=1,CHAR(34)&amp;"hasmap"&amp;CHAR(34)&amp;",","")</f>
        <v/>
      </c>
      <c r="GJ3" s="48" t="str">
        <f>IF(CP3="y",CHAR(34)&amp;CP$1&amp;CHAR(34)&amp;",","")</f>
        <v>"NoStar",</v>
      </c>
      <c r="GK3" s="48" t="str">
        <f>IF(GJ3="",CHAR(34)&amp;"HasSta"&amp;CHAR(34)&amp;",","")</f>
        <v/>
      </c>
      <c r="GL3" s="48" t="str">
        <f>IF(CQ3="y",CHAR(34)&amp;CQ$1&amp;CHAR(34)&amp;",","")</f>
        <v/>
      </c>
      <c r="GM3" s="48" t="str">
        <f>IF(CR3="y",CHAR(34)&amp;CR$1&amp;CHAR(34)&amp;",","")</f>
        <v/>
      </c>
      <c r="GN3" s="48" t="str">
        <f>IF(CS3="y",CHAR(34)&amp;CS$1&amp;CHAR(34)&amp;",","")</f>
        <v/>
      </c>
      <c r="GP3" s="48" t="str">
        <f>CHAR(34)&amp;AU3&amp;CHAR(34)</f>
        <v>"Historical"</v>
      </c>
      <c r="GS3" s="48" t="str">
        <f>SUBSTITUTE("["&amp;_xlfn.CONCAT(CW3:GN3)&amp;"]",",]","]")</f>
        <v>["2Color","words2","words3","lets24","startK","REDWHI","NoBand","Crosse","Center","NO_BLU","NO_GRE","NO_YEL","NO_BLA","myrWHI","histor","NoStar"]</v>
      </c>
      <c r="GT3" s="48" t="str">
        <f>IF(BL3&lt;&gt;"",CHAR(34)&amp;"cl_"&amp;BL3&amp;CHAR(34)&amp;",","")</f>
        <v>"cl_WHI",</v>
      </c>
      <c r="GU3" s="48" t="str">
        <f>IF(BM3&lt;&gt;"",CHAR(34)&amp;"cl_"&amp;BM3&amp;CHAR(34)&amp;",","")</f>
        <v>"cl_RED",</v>
      </c>
      <c r="GV3" s="48" t="str">
        <f>IF(BN3&lt;&gt;"",CHAR(34)&amp;"cl_"&amp;BN3&amp;CHAR(34)&amp;",","")</f>
        <v/>
      </c>
      <c r="GW3" s="48" t="str">
        <f>IF(BO3&lt;&gt;"",CHAR(34)&amp;"cl_"&amp;BO3&amp;CHAR(34)&amp;",","")</f>
        <v/>
      </c>
      <c r="GX3" s="48" t="str">
        <f>IF(BP3&lt;&gt;"",CHAR(34)&amp;"cl_"&amp;BP3&amp;CHAR(34)&amp;",","")</f>
        <v/>
      </c>
      <c r="GY3" s="48" t="str">
        <f>IF(BQ3&lt;&gt;"",CHAR(34)&amp;"cl_"&amp;BQ3&amp;CHAR(34)&amp;",","")</f>
        <v/>
      </c>
      <c r="GZ3" s="48" t="str">
        <f>IF(BR3&lt;&gt;"",CHAR(34)&amp;"cl_"&amp;BR3&amp;CHAR(34)&amp;",","")</f>
        <v/>
      </c>
      <c r="HA3" s="48" t="str">
        <f>IF(BS3&lt;&gt;"",CHAR(34)&amp;"cl_"&amp;BS3&amp;CHAR(34)&amp;",","")</f>
        <v/>
      </c>
      <c r="HB3" s="48" t="str">
        <f>IF(BT3&lt;&gt;"",CHAR(34)&amp;"cl_"&amp;BT3&amp;CHAR(34)&amp;",","")</f>
        <v/>
      </c>
      <c r="HC3" s="48" t="str">
        <f>SUBSTITUTE("["&amp;_xlfn.CONCAT(GT3:HB3)&amp;"]",",]","]")</f>
        <v>["cl_WHI","cl_RED"]</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{couname:"[COG] Kingdom of Congo (1390-1914)",year:"1390",region:"rgn_Africa",Colors:["cl_WHI","cl_RED"],Items:["2Color","words2","words3","lets24","startK","REDWHI","NoBand","Crosse","Center","NO_BLU","NO_GRE","NO_YEL","NO_BLA","myrWHI","histor","NoStar"],Flag:"https://upload.wikimedia.org/wikipedia/commons/thumb/d/d5/Flag_of_the_Kingdom_of_Kongo_according_to_Giovanni_Cavazzi_da_Montecuccolo.svg/640px-Flag_of_the_Kingdom_of_Kongo_according_to_Giovanni_Cavazzi_da_Montecuccolo.svg.png",HDFlag:"https://upload.wikimedia.org/wikipedia/commons/thumb/d/d5/Flag_of_the_Kingdom_of_Kongo_according_to_Giovanni_Cavazzi_da_Montecuccolo.svg/2560px-Flag_of_the_Kingdom_of_Kongo_according_to_Giovanni_Cavazzi_da_Montecuccolo.svg.png",type:"Historical", describe: "\nFlag according to Giovanni Cavazzi da Montecuccolo, 1650s", isnew:".", links: "https://en.wikipedia.org/wiki/Kingdom_of_Kongo"},</v>
      </c>
      <c r="HG3" s="73" t="str">
        <f>"{couname:"&amp;CT3&amp;(IF(HK3&lt;&gt;"",",subtype:"&amp;CHAR(34)&amp;HK3&amp;CHAR(34),""))&amp;",year:"&amp;HJ3&amp;",region:"&amp;CU3&amp;",Colors:"&amp;HC3&amp;",Items:"&amp;GS3&amp;",Flag:"&amp;CV3&amp;",HDFlag:"&amp;CHAR(34)&amp;E3&amp;CHAR(34)&amp;",type:"&amp;GP3&amp;", describe: "&amp;HI3&amp;", links: "&amp;HL3&amp;"},"</f>
        <v>{couname:"[COG] Kingdom of Congo (1390-1914)",year:"1390",region:"rgn_Africa",Colors:["cl_WHI","cl_RED"],Items:["2Color","words2","words3","lets24","startK","REDWHI","NoBand","Crosse","Center","NO_BLU","NO_GRE","NO_YEL","NO_BLA","myrWHI","histor","NoStar"],Flag:"https://upload.wikimedia.org/wikipedia/commons/thumb/d/d5/Flag_of_the_Kingdom_of_Kongo_according_to_Giovanni_Cavazzi_da_Montecuccolo.svg/640px-Flag_of_the_Kingdom_of_Kongo_according_to_Giovanni_Cavazzi_da_Montecuccolo.svg.png",HDFlag:"https://upload.wikimedia.org/wikipedia/commons/thumb/d/d5/Flag_of_the_Kingdom_of_Kongo_according_to_Giovanni_Cavazzi_da_Montecuccolo.svg/2560px-Flag_of_the_Kingdom_of_Kongo_according_to_Giovanni_Cavazzi_da_Montecuccolo.svg.png",type:"Historical", describe: "\nFlag according to Giovanni Cavazzi da Montecuccolo, 1650s", links: "https://en.wikipedia.org/wiki/Kingdom_of_Kongo"},</v>
      </c>
      <c r="HH3" s="48" t="str">
        <f>IF(P3&lt;&gt;"",CHAR(34)&amp;"\n"&amp;P3&amp;CHAR(34),CHAR(34)&amp;CHAR(34))</f>
        <v>"\nFlag according to Giovanni Cavazzi da Montecuccolo, 1650s"</v>
      </c>
      <c r="HI3" s="48" t="str">
        <f>IF(J3=0,CHAR(34)&amp;CHAR(34),HH3)</f>
        <v>"\nFlag according to Giovanni Cavazzi da Montecuccolo, 1650s"</v>
      </c>
      <c r="HJ3" s="48" t="str">
        <f>CHAR(34)&amp;O3&amp;CHAR(34)</f>
        <v>"1390"</v>
      </c>
      <c r="HL3" s="48" t="str">
        <f>CHAR(34)&amp;I3&amp;CHAR(34)</f>
        <v>"https://en.wikipedia.org/wiki/Kingdom_of_Kongo"</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{"couname":"[COG] Kingdom of Congo (1390-1914)","subtype":"[COG] Other","year":"1390","region":"rgn_Africa","Colors":["cl_WHI","cl_RED"],"Items":["2Color","words2","words3","lets24","startK","REDWHI","NoBand","Crosse","Center","NO_BLU","NO_GRE","NO_YEL","NO_BLA","myrWHI","histor","NoStar"],"Flag":"https://upload.wikimedia.org/wikipedia/commons/thumb/d/d5/Flag_of_the_Kingdom_of_Kongo_according_to_Giovanni_Cavazzi_da_Montecuccolo.svg/640px-Flag_of_the_Kingdom_of_Kongo_according_to_Giovanni_Cavazzi_da_Montecuccolo.svg.png","HDFlag":"https://upload.wikimedia.org/wikipedia/commons/thumb/d/d5/Flag_of_the_Kingdom_of_Kongo_according_to_Giovanni_Cavazzi_da_Montecuccolo.svg/2560px-Flag_of_the_Kingdom_of_Kongo_according_to_Giovanni_Cavazzi_da_Montecuccolo.svg.png","type":"Historical", "describe": "\nFlag according to Giovanni Cavazzi da Montecuccolo, 1650s", "isnew": ".", "links": "https://en.wikipedia.org/wiki/Kingdom_of_Kongo"},</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{"couname":"[COG] Kingdom of Congo (1390-1914)","subtype":"[COG] Other","year":"1390","region":"rgn_Africa","Colors":["cl_WHI","cl_RED"],"Items":["2Color","words2","words3","lets24","startK","REDWHI","NoBand","Crosse","Center","NO_BLU","NO_GRE","NO_YEL","NO_BLA","myrWHI","histor","NoStar"],"Flag":"https://upload.wikimedia.org/wikipedia/commons/thumb/d/d5/Flag_of_the_Kingdom_of_Kongo_according_to_Giovanni_Cavazzi_da_Montecuccolo.svg/640px-Flag_of_the_Kingdom_of_Kongo_according_to_Giovanni_Cavazzi_da_Montecuccolo.svg.png","HDFlag":"https://upload.wikimedia.org/wikipedia/commons/thumb/d/d5/Flag_of_the_Kingdom_of_Kongo_according_to_Giovanni_Cavazzi_da_Montecuccolo.svg/2560px-Flag_of_the_Kingdom_of_Kongo_according_to_Giovanni_Cavazzi_da_Montecuccolo.svg.png","type":"Historical", "describe": "\nFlag according to Giovanni Cavazzi da Montecuccolo, 1650s", "isnew": ".", "links": "https://en.wikipedia.org/wiki/Kingdom_of_Kongo"},</v>
      </c>
      <c r="HO3" s="75">
        <v>45644</v>
      </c>
      <c r="HP3" s="48" t="str" cm="1">
        <f t="array" ref="HP3">IF(_xlfn.TEXTJOIN(", ", TRUE, IF(ISNUMBER(SEARCH("BLA", BL3:BT3)), COLUMN(BL3:BT3) - COLUMN(BL3) + 1, ""))&lt;&gt;"","BLA","")</f>
        <v/>
      </c>
      <c r="HQ3" s="48" t="str" cm="1">
        <f t="array" ref="HQ3">IF(_xlfn.TEXTJOIN(", ", TRUE, IF(ISNUMBER(SEARCH("BLU", BL3:BT3)), COLUMN(BL3:BT3) - COLUMN(BL3) + 1, ""))&lt;&gt;"","BLU","")</f>
        <v/>
      </c>
      <c r="HR3" s="48" t="str" cm="1">
        <f t="array" ref="HR3">IF(_xlfn.TEXTJOIN(", ", TRUE, IF(ISNUMBER(SEARCH("GRE", BL3:BT3)), COLUMN(BL3:BT3) - COLUMN(BL3) + 1, ""))&lt;&gt;"","GRE","")</f>
        <v/>
      </c>
      <c r="HS3" s="48" t="str" cm="1">
        <f t="array" ref="HS3">IF(_xlfn.TEXTJOIN(", ", TRUE, IF(ISNUMBER(SEARCH("RED", BL3:BT3)), COLUMN(BL3:BT3) - COLUMN(BL3) + 1, ""))&lt;&gt;"","RED","")</f>
        <v>RED</v>
      </c>
      <c r="HT3" s="48" t="str" cm="1">
        <f t="array" ref="HT3">IF(_xlfn.TEXTJOIN(", ", TRUE, IF(ISNUMBER(SEARCH("YEL", BL3:BT3)), COLUMN(BL3:BT3) - COLUMN(BL3) + 1, ""))&lt;&gt;"","YEL","")</f>
        <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M3" s="45">
        <f>COUNTIF(IC3:IK3,"&gt;0")-CG3</f>
        <v>-2</v>
      </c>
      <c r="IN3" s="78" t="str">
        <f>"http://mkweb.bcgsc.ca/color-summarizer/?url="&amp;D3&amp;"&amp;precision=low&amp;num_clusters="&amp;CG3&amp;"&amp;text=1"</f>
        <v>http://mkweb.bcgsc.ca/color-summarizer/?url=https://upload.wikimedia.org/wikipedia/commons/thumb/d/d5/Flag_of_the_Kingdom_of_Kongo_according_to_Giovanni_Cavazzi_da_Montecuccolo.svg/640px-Flag_of_the_Kingdom_of_Kongo_according_to_Giovanni_Cavazzi_da_Montecuccolo.svg.png&amp;precision=low&amp;num_clusters=2&amp;text=1</v>
      </c>
      <c r="IO3" s="48" t="str">
        <f>IF(HP3&lt;&gt;"",CHAR(34)&amp;"black"&amp;CHAR(34),"")</f>
        <v/>
      </c>
      <c r="IP3" s="48" t="str">
        <f>IF(HQ3&lt;&gt;"",CHAR(34)&amp;"blue"&amp;CHAR(34),"")</f>
        <v/>
      </c>
      <c r="IQ3" s="48" t="str">
        <f>IF(HR3&lt;&gt;"",CHAR(34)&amp;"green"&amp;CHAR(34),"")</f>
        <v/>
      </c>
      <c r="IR3" s="48" t="str">
        <f>IF(HS3&lt;&gt;"",CHAR(34)&amp;"red"&amp;CHAR(34),"")</f>
        <v>"red"</v>
      </c>
      <c r="IS3" s="48" t="str">
        <f>IF(HT3&lt;&gt;"",CHAR(34)&amp;"yellow"&amp;CHAR(34),"")</f>
        <v/>
      </c>
      <c r="IT3" s="48" t="str">
        <f>IF(HU3&lt;&gt;"",CHAR(34)&amp;"orange"&amp;CHAR(34),"")</f>
        <v/>
      </c>
      <c r="IU3" s="48" t="str">
        <f>IF(HV3&lt;&gt;"",CHAR(34)&amp;"brown"&amp;CHAR(34),"")</f>
        <v/>
      </c>
      <c r="IV3" s="48" t="str">
        <f>IF(HW3&lt;&gt;"",CHAR(34)&amp;"purple"&amp;CHAR(34),"")</f>
        <v/>
      </c>
      <c r="IW3" s="48" t="str">
        <f>IF(HX3&lt;&gt;"",CHAR(34)&amp;"white"&amp;CHAR(34),"")</f>
        <v>"white"</v>
      </c>
      <c r="IX3" s="48" t="str">
        <f>"{"&amp;CHAR(34)&amp;"url"&amp;CHAR(34)&amp;":"&amp;CHAR(34)&amp;IN3&amp;CHAR(34)&amp;","&amp;CHAR(34)&amp;"name"&amp;CHAR(34)&amp;":"&amp;CHAR(34)&amp;A3&amp;CHAR(34)&amp;"},"</f>
        <v>{"url":"http://mkweb.bcgsc.ca/color-summarizer/?url=https://upload.wikimedia.org/wikipedia/commons/thumb/d/d5/Flag_of_the_Kingdom_of_Kongo_according_to_Giovanni_Cavazzi_da_Montecuccolo.svg/640px-Flag_of_the_Kingdom_of_Kongo_according_to_Giovanni_Cavazzi_da_Montecuccolo.svg.png&amp;precision=low&amp;num_clusters=2&amp;text=1","name":"[COG] Kingdom of Congo (1390-1914)"},</v>
      </c>
      <c r="IY3" s="48">
        <v>1503</v>
      </c>
    </row>
    <row r="4" spans="1:259" ht="38.4" customHeight="1" x14ac:dyDescent="0.3">
      <c r="F4" s="82"/>
      <c r="G4" s="82"/>
      <c r="H4" s="82"/>
      <c r="I4" s="82"/>
      <c r="J4" s="82"/>
      <c r="K4" s="82"/>
    </row>
    <row r="5" spans="1:259" ht="38.4" customHeight="1" x14ac:dyDescent="0.3">
      <c r="F5" s="82"/>
      <c r="G5" s="82"/>
      <c r="H5" s="82"/>
      <c r="I5" s="82"/>
      <c r="J5" s="82"/>
      <c r="K5" s="82"/>
    </row>
    <row r="6" spans="1:259" ht="38.4" customHeight="1" x14ac:dyDescent="0.3">
      <c r="F6" s="82"/>
      <c r="G6" s="82"/>
      <c r="H6" s="82"/>
      <c r="I6" s="82"/>
      <c r="J6" s="82"/>
      <c r="K6" s="82"/>
    </row>
  </sheetData>
  <autoFilter ref="A1:IY1" xr:uid="{A1051193-A95B-4CFB-A73C-F0184620C81F}">
    <sortState xmlns:xlrd2="http://schemas.microsoft.com/office/spreadsheetml/2017/richdata2" ref="A2:IY5">
      <sortCondition ref="AW1"/>
    </sortState>
  </autoFilter>
  <conditionalFormatting sqref="H1 CW1:GS1 IA1:IB1">
    <cfRule type="cellIs" dxfId="5547" priority="118" operator="greaterThan">
      <formula>0</formula>
    </cfRule>
  </conditionalFormatting>
  <conditionalFormatting sqref="H1 H7:H1048576">
    <cfRule type="cellIs" dxfId="5546" priority="84" stopIfTrue="1" operator="notEqual">
      <formula>""</formula>
    </cfRule>
  </conditionalFormatting>
  <conditionalFormatting sqref="T1:BK1">
    <cfRule type="cellIs" dxfId="5545" priority="121" operator="greaterThan">
      <formula>0</formula>
    </cfRule>
  </conditionalFormatting>
  <conditionalFormatting sqref="BV1:BW1 BV4:BW1048576">
    <cfRule type="cellIs" dxfId="5544" priority="120" operator="equal">
      <formula>"nc"</formula>
    </cfRule>
  </conditionalFormatting>
  <conditionalFormatting sqref="HF1:HG1">
    <cfRule type="cellIs" dxfId="5543" priority="122" operator="greaterThan">
      <formula>0</formula>
    </cfRule>
  </conditionalFormatting>
  <conditionalFormatting sqref="HK1">
    <cfRule type="cellIs" dxfId="5542" priority="119" operator="greaterThan">
      <formula>0</formula>
    </cfRule>
  </conditionalFormatting>
  <conditionalFormatting sqref="HP1:HX1">
    <cfRule type="cellIs" dxfId="5541" priority="96" operator="equal">
      <formula>"PIN"</formula>
    </cfRule>
    <cfRule type="cellIs" dxfId="5540" priority="97" operator="equal">
      <formula>"ORA"</formula>
    </cfRule>
    <cfRule type="cellIs" dxfId="5539" priority="98" operator="equal">
      <formula>"GRA"</formula>
    </cfRule>
    <cfRule type="cellIs" dxfId="5538" priority="99" operator="equal">
      <formula>"PUR"</formula>
    </cfRule>
    <cfRule type="cellIs" dxfId="5537" priority="100" operator="equal">
      <formula>"BRO"</formula>
    </cfRule>
    <cfRule type="cellIs" dxfId="5536" priority="101" operator="equal">
      <formula>"YEL"</formula>
    </cfRule>
    <cfRule type="cellIs" dxfId="5535" priority="102" operator="equal">
      <formula>"BLU"</formula>
    </cfRule>
    <cfRule type="cellIs" dxfId="5534" priority="103" operator="equal">
      <formula>"WHI"</formula>
    </cfRule>
    <cfRule type="cellIs" dxfId="5533" priority="104" operator="equal">
      <formula>"GRE"</formula>
    </cfRule>
    <cfRule type="cellIs" dxfId="5532" priority="105" operator="equal">
      <formula>"RED"</formula>
    </cfRule>
    <cfRule type="cellIs" dxfId="5531" priority="106" operator="equal">
      <formula>"BLA"</formula>
    </cfRule>
  </conditionalFormatting>
  <conditionalFormatting sqref="IC1:IK1">
    <cfRule type="cellIs" dxfId="5530" priority="107" operator="equal">
      <formula>"PIN"</formula>
    </cfRule>
    <cfRule type="cellIs" dxfId="5529" priority="108" operator="equal">
      <formula>"ORA"</formula>
    </cfRule>
    <cfRule type="cellIs" dxfId="5528" priority="109" operator="equal">
      <formula>"GRA"</formula>
    </cfRule>
    <cfRule type="cellIs" dxfId="5527" priority="110" operator="equal">
      <formula>"PUR"</formula>
    </cfRule>
    <cfRule type="cellIs" dxfId="5526" priority="111" operator="equal">
      <formula>"BRO"</formula>
    </cfRule>
    <cfRule type="cellIs" dxfId="5525" priority="112" operator="equal">
      <formula>"YEL"</formula>
    </cfRule>
    <cfRule type="cellIs" dxfId="5524" priority="113" operator="equal">
      <formula>"BLU"</formula>
    </cfRule>
    <cfRule type="cellIs" dxfId="5523" priority="114" operator="equal">
      <formula>"WHI"</formula>
    </cfRule>
    <cfRule type="cellIs" dxfId="5522" priority="115" operator="equal">
      <formula>"GRE"</formula>
    </cfRule>
    <cfRule type="cellIs" dxfId="5521" priority="116" operator="equal">
      <formula>"RED"</formula>
    </cfRule>
    <cfRule type="cellIs" dxfId="5520" priority="117" operator="equal">
      <formula>"BLA"</formula>
    </cfRule>
  </conditionalFormatting>
  <conditionalFormatting sqref="IO1:IW1">
    <cfRule type="cellIs" dxfId="5519" priority="85" operator="equal">
      <formula>"PIN"</formula>
    </cfRule>
    <cfRule type="cellIs" dxfId="5518" priority="86" operator="equal">
      <formula>"ORA"</formula>
    </cfRule>
    <cfRule type="cellIs" dxfId="5517" priority="87" operator="equal">
      <formula>"GRA"</formula>
    </cfRule>
    <cfRule type="cellIs" dxfId="5516" priority="88" operator="equal">
      <formula>"PUR"</formula>
    </cfRule>
    <cfRule type="cellIs" dxfId="5515" priority="89" operator="equal">
      <formula>"BRO"</formula>
    </cfRule>
    <cfRule type="cellIs" dxfId="5514" priority="90" operator="equal">
      <formula>"YEL"</formula>
    </cfRule>
    <cfRule type="cellIs" dxfId="5513" priority="91" operator="equal">
      <formula>"BLU"</formula>
    </cfRule>
    <cfRule type="cellIs" dxfId="5512" priority="92" operator="equal">
      <formula>"WHI"</formula>
    </cfRule>
    <cfRule type="cellIs" dxfId="5511" priority="93" operator="equal">
      <formula>"GRE"</formula>
    </cfRule>
    <cfRule type="cellIs" dxfId="5510" priority="94" operator="equal">
      <formula>"RED"</formula>
    </cfRule>
    <cfRule type="cellIs" dxfId="5509" priority="95" operator="equal">
      <formula>"BLA"</formula>
    </cfRule>
  </conditionalFormatting>
  <conditionalFormatting sqref="H3">
    <cfRule type="cellIs" dxfId="5508" priority="76" stopIfTrue="1" operator="notEqual">
      <formula>""</formula>
    </cfRule>
  </conditionalFormatting>
  <conditionalFormatting sqref="R3 CU3">
    <cfRule type="cellIs" dxfId="5507" priority="79" operator="greaterThan">
      <formula>0</formula>
    </cfRule>
  </conditionalFormatting>
  <conditionalFormatting sqref="T3:AS3 CH3:CS3">
    <cfRule type="cellIs" dxfId="5506" priority="73" stopIfTrue="1" operator="equal">
      <formula>"n"</formula>
    </cfRule>
    <cfRule type="cellIs" dxfId="5505" priority="74" stopIfTrue="1" operator="equal">
      <formula>"y"</formula>
    </cfRule>
    <cfRule type="cellIs" dxfId="5504" priority="75" operator="greaterThan">
      <formula>0</formula>
    </cfRule>
  </conditionalFormatting>
  <conditionalFormatting sqref="AZ3:BB3">
    <cfRule type="expression" dxfId="5503" priority="60">
      <formula>$AT3=0</formula>
    </cfRule>
  </conditionalFormatting>
  <conditionalFormatting sqref="CD3:CF3 BX3:CA3 AZ3:BU3">
    <cfRule type="cellIs" dxfId="5502" priority="61" operator="equal">
      <formula>"PIN"</formula>
    </cfRule>
    <cfRule type="cellIs" dxfId="5501" priority="62" operator="equal">
      <formula>"ORA"</formula>
    </cfRule>
    <cfRule type="cellIs" dxfId="5500" priority="63" operator="equal">
      <formula>"GRA"</formula>
    </cfRule>
    <cfRule type="cellIs" dxfId="5499" priority="64" operator="equal">
      <formula>"PUR"</formula>
    </cfRule>
    <cfRule type="cellIs" dxfId="5498" priority="65" operator="equal">
      <formula>"BRO"</formula>
    </cfRule>
    <cfRule type="cellIs" dxfId="5497" priority="66" operator="equal">
      <formula>"YEL"</formula>
    </cfRule>
    <cfRule type="cellIs" dxfId="5496" priority="67" operator="equal">
      <formula>"BLU"</formula>
    </cfRule>
    <cfRule type="cellIs" dxfId="5495" priority="68" operator="equal">
      <formula>"WHI"</formula>
    </cfRule>
    <cfRule type="cellIs" dxfId="5494" priority="69" operator="equal">
      <formula>"GRE"</formula>
    </cfRule>
    <cfRule type="cellIs" dxfId="5493" priority="70" operator="equal">
      <formula>"RED"</formula>
    </cfRule>
    <cfRule type="cellIs" dxfId="5492" priority="71" operator="equal">
      <formula>"BLA"</formula>
    </cfRule>
  </conditionalFormatting>
  <conditionalFormatting sqref="BV3">
    <cfRule type="cellIs" dxfId="5491" priority="78" operator="equal">
      <formula>"nc"</formula>
    </cfRule>
  </conditionalFormatting>
  <conditionalFormatting sqref="CD3:CF3 BX3:CA3">
    <cfRule type="cellIs" dxfId="5490" priority="77" operator="equal">
      <formula>"y"</formula>
    </cfRule>
  </conditionalFormatting>
  <conditionalFormatting sqref="CD3:CF3 BZ3:CA3">
    <cfRule type="cellIs" dxfId="5489" priority="72" operator="greaterThan">
      <formula>0</formula>
    </cfRule>
  </conditionalFormatting>
  <conditionalFormatting sqref="IC3:IK3">
    <cfRule type="expression" dxfId="5488" priority="59">
      <formula>$IL3&gt;0</formula>
    </cfRule>
  </conditionalFormatting>
  <conditionalFormatting sqref="IC3">
    <cfRule type="cellIs" dxfId="5487" priority="53" stopIfTrue="1" operator="greaterThan">
      <formula>0</formula>
    </cfRule>
  </conditionalFormatting>
  <conditionalFormatting sqref="ID3">
    <cfRule type="cellIs" dxfId="5486" priority="51" stopIfTrue="1" operator="greaterThan">
      <formula>0</formula>
    </cfRule>
  </conditionalFormatting>
  <conditionalFormatting sqref="II3 IE3:IF3">
    <cfRule type="cellIs" dxfId="5485" priority="58" operator="greaterThan">
      <formula>0</formula>
    </cfRule>
  </conditionalFormatting>
  <conditionalFormatting sqref="II3 IF3">
    <cfRule type="cellIs" dxfId="5484" priority="52" stopIfTrue="1" operator="greaterThan">
      <formula>0</formula>
    </cfRule>
  </conditionalFormatting>
  <conditionalFormatting sqref="IG3">
    <cfRule type="cellIs" dxfId="5483" priority="57" operator="greaterThan">
      <formula>0</formula>
    </cfRule>
  </conditionalFormatting>
  <conditionalFormatting sqref="IH3:II3">
    <cfRule type="cellIs" dxfId="5482" priority="56" operator="greaterThan">
      <formula>0</formula>
    </cfRule>
  </conditionalFormatting>
  <conditionalFormatting sqref="IJ3">
    <cfRule type="cellIs" dxfId="5481" priority="55" operator="greaterThan">
      <formula>0</formula>
    </cfRule>
  </conditionalFormatting>
  <conditionalFormatting sqref="IK3">
    <cfRule type="cellIs" dxfId="5480" priority="54" operator="greaterThan">
      <formula>0</formula>
    </cfRule>
  </conditionalFormatting>
  <conditionalFormatting sqref="IF3">
    <cfRule type="cellIs" dxfId="5479" priority="50" stopIfTrue="1" operator="greaterThan">
      <formula>0</formula>
    </cfRule>
  </conditionalFormatting>
  <conditionalFormatting sqref="IM3">
    <cfRule type="cellIs" dxfId="5478" priority="49" operator="equal">
      <formula>0</formula>
    </cfRule>
  </conditionalFormatting>
  <conditionalFormatting sqref="BX3:CA3 CD3:CF3">
    <cfRule type="cellIs" dxfId="5477" priority="37" operator="equal">
      <formula>"y"</formula>
    </cfRule>
    <cfRule type="cellIs" dxfId="5476" priority="38" operator="equal">
      <formula>"PIN"</formula>
    </cfRule>
    <cfRule type="cellIs" dxfId="5475" priority="39" operator="equal">
      <formula>"ORA"</formula>
    </cfRule>
    <cfRule type="cellIs" dxfId="5474" priority="40" operator="equal">
      <formula>"GRA"</formula>
    </cfRule>
    <cfRule type="cellIs" dxfId="5473" priority="41" operator="equal">
      <formula>"PUR"</formula>
    </cfRule>
    <cfRule type="cellIs" dxfId="5472" priority="42" operator="equal">
      <formula>"BRO"</formula>
    </cfRule>
    <cfRule type="cellIs" dxfId="5471" priority="43" operator="equal">
      <formula>"YEL"</formula>
    </cfRule>
    <cfRule type="cellIs" dxfId="5470" priority="44" operator="equal">
      <formula>"BLU"</formula>
    </cfRule>
    <cfRule type="cellIs" dxfId="5469" priority="45" operator="equal">
      <formula>"WHI"</formula>
    </cfRule>
    <cfRule type="cellIs" dxfId="5468" priority="46" operator="equal">
      <formula>"GRE"</formula>
    </cfRule>
    <cfRule type="cellIs" dxfId="5467" priority="47" operator="equal">
      <formula>"RED"</formula>
    </cfRule>
    <cfRule type="cellIs" dxfId="5466" priority="48" operator="equal">
      <formula>"BLA"</formula>
    </cfRule>
  </conditionalFormatting>
  <conditionalFormatting sqref="AT3">
    <cfRule type="colorScale" priority="80">
      <colorScale>
        <cfvo type="min"/>
        <cfvo type="max"/>
        <color rgb="FFFCFCFF"/>
        <color theme="8" tint="0.39997558519241921"/>
      </colorScale>
    </cfRule>
  </conditionalFormatting>
  <conditionalFormatting sqref="S3">
    <cfRule type="colorScale" priority="81">
      <colorScale>
        <cfvo type="min"/>
        <cfvo type="max"/>
        <color rgb="FFFCFCFF"/>
        <color rgb="FF754BFB"/>
      </colorScale>
    </cfRule>
  </conditionalFormatting>
  <conditionalFormatting sqref="J3">
    <cfRule type="colorScale" priority="82">
      <colorScale>
        <cfvo type="min"/>
        <cfvo type="percentile" val="50"/>
        <cfvo type="max"/>
        <color rgb="FFF8696B"/>
        <color rgb="FFFFEB84"/>
        <color rgb="FF63BE7B"/>
      </colorScale>
    </cfRule>
  </conditionalFormatting>
  <conditionalFormatting sqref="CG3">
    <cfRule type="colorScale" priority="83">
      <colorScale>
        <cfvo type="min"/>
        <cfvo type="max"/>
        <color rgb="FFFCFCFF"/>
        <color rgb="FF63BE7B"/>
      </colorScale>
    </cfRule>
  </conditionalFormatting>
  <conditionalFormatting sqref="H2">
    <cfRule type="cellIs" dxfId="5465" priority="30" stopIfTrue="1" operator="notEqual">
      <formula>""</formula>
    </cfRule>
  </conditionalFormatting>
  <conditionalFormatting sqref="R2 CU2">
    <cfRule type="cellIs" dxfId="5464" priority="32" operator="greaterThan">
      <formula>0</formula>
    </cfRule>
  </conditionalFormatting>
  <conditionalFormatting sqref="T2:AS2 CH2:CS2">
    <cfRule type="cellIs" dxfId="5463" priority="27" stopIfTrue="1" operator="equal">
      <formula>"n"</formula>
    </cfRule>
    <cfRule type="cellIs" dxfId="5462" priority="28" stopIfTrue="1" operator="equal">
      <formula>"y"</formula>
    </cfRule>
    <cfRule type="cellIs" dxfId="5461" priority="29" operator="greaterThan">
      <formula>0</formula>
    </cfRule>
  </conditionalFormatting>
  <conditionalFormatting sqref="AZ2:BB2">
    <cfRule type="expression" dxfId="5460" priority="14">
      <formula>$AT2=0</formula>
    </cfRule>
  </conditionalFormatting>
  <conditionalFormatting sqref="AZ2:BU2">
    <cfRule type="cellIs" dxfId="5459" priority="15" operator="equal">
      <formula>"PIN"</formula>
    </cfRule>
    <cfRule type="cellIs" dxfId="5458" priority="16" operator="equal">
      <formula>"ORA"</formula>
    </cfRule>
    <cfRule type="cellIs" dxfId="5457" priority="17" operator="equal">
      <formula>"GRA"</formula>
    </cfRule>
    <cfRule type="cellIs" dxfId="5456" priority="18" operator="equal">
      <formula>"PUR"</formula>
    </cfRule>
    <cfRule type="cellIs" dxfId="5455" priority="19" operator="equal">
      <formula>"BRO"</formula>
    </cfRule>
    <cfRule type="cellIs" dxfId="5454" priority="20" operator="equal">
      <formula>"YEL"</formula>
    </cfRule>
    <cfRule type="cellIs" dxfId="5453" priority="21" operator="equal">
      <formula>"BLU"</formula>
    </cfRule>
    <cfRule type="cellIs" dxfId="5452" priority="22" operator="equal">
      <formula>"WHI"</formula>
    </cfRule>
    <cfRule type="cellIs" dxfId="5451" priority="23" operator="equal">
      <formula>"GRE"</formula>
    </cfRule>
    <cfRule type="cellIs" dxfId="5450" priority="24" operator="equal">
      <formula>"RED"</formula>
    </cfRule>
    <cfRule type="cellIs" dxfId="5449" priority="25" operator="equal">
      <formula>"BLA"</formula>
    </cfRule>
  </conditionalFormatting>
  <conditionalFormatting sqref="BV2">
    <cfRule type="cellIs" dxfId="5448" priority="31" operator="equal">
      <formula>"nc"</formula>
    </cfRule>
  </conditionalFormatting>
  <conditionalFormatting sqref="CD2:CF2 BZ2:CA2">
    <cfRule type="cellIs" dxfId="5447" priority="26" operator="greaterThan">
      <formula>0</formula>
    </cfRule>
  </conditionalFormatting>
  <conditionalFormatting sqref="IC2:IK2">
    <cfRule type="expression" dxfId="5446" priority="13">
      <formula>$IL2&gt;0</formula>
    </cfRule>
  </conditionalFormatting>
  <conditionalFormatting sqref="BX2:CA2 CD2:CF2">
    <cfRule type="cellIs" dxfId="5445" priority="1" operator="equal">
      <formula>"y"</formula>
    </cfRule>
    <cfRule type="cellIs" dxfId="5444" priority="2" operator="equal">
      <formula>"PIN"</formula>
    </cfRule>
    <cfRule type="cellIs" dxfId="5443" priority="3" operator="equal">
      <formula>"ORA"</formula>
    </cfRule>
    <cfRule type="cellIs" dxfId="5442" priority="4" operator="equal">
      <formula>"GRA"</formula>
    </cfRule>
    <cfRule type="cellIs" dxfId="5441" priority="5" operator="equal">
      <formula>"PUR"</formula>
    </cfRule>
    <cfRule type="cellIs" dxfId="5440" priority="6" operator="equal">
      <formula>"BRO"</formula>
    </cfRule>
    <cfRule type="cellIs" dxfId="5439" priority="7" operator="equal">
      <formula>"YEL"</formula>
    </cfRule>
    <cfRule type="cellIs" dxfId="5438" priority="8" operator="equal">
      <formula>"BLU"</formula>
    </cfRule>
    <cfRule type="cellIs" dxfId="5437" priority="9" operator="equal">
      <formula>"WHI"</formula>
    </cfRule>
    <cfRule type="cellIs" dxfId="5436" priority="10" operator="equal">
      <formula>"GRE"</formula>
    </cfRule>
    <cfRule type="cellIs" dxfId="5435" priority="11" operator="equal">
      <formula>"RED"</formula>
    </cfRule>
    <cfRule type="cellIs" dxfId="5434" priority="12" operator="equal">
      <formula>"BLA"</formula>
    </cfRule>
  </conditionalFormatting>
  <conditionalFormatting sqref="J2">
    <cfRule type="colorScale" priority="33">
      <colorScale>
        <cfvo type="min"/>
        <cfvo type="percentile" val="50"/>
        <cfvo type="max"/>
        <color rgb="FFF8696B"/>
        <color rgb="FFFFEB84"/>
        <color rgb="FF63BE7B"/>
      </colorScale>
    </cfRule>
  </conditionalFormatting>
  <conditionalFormatting sqref="S2">
    <cfRule type="colorScale" priority="34">
      <colorScale>
        <cfvo type="min"/>
        <cfvo type="max"/>
        <color rgb="FFFCFCFF"/>
        <color rgb="FF754BFB"/>
      </colorScale>
    </cfRule>
  </conditionalFormatting>
  <conditionalFormatting sqref="AT2">
    <cfRule type="colorScale" priority="35">
      <colorScale>
        <cfvo type="min"/>
        <cfvo type="max"/>
        <color rgb="FFFCFCFF"/>
        <color theme="8" tint="0.39997558519241921"/>
      </colorScale>
    </cfRule>
  </conditionalFormatting>
  <conditionalFormatting sqref="CG2">
    <cfRule type="colorScale" priority="36">
      <colorScale>
        <cfvo type="min"/>
        <cfvo type="max"/>
        <color rgb="FFFCFCFF"/>
        <color rgb="FF63BE7B"/>
      </colorScale>
    </cfRule>
  </conditionalFormatting>
  <hyperlinks>
    <hyperlink ref="A2" r:id="rId1" display="https://fbref.com/en/country/CGO/Congo-Football" xr:uid="{45392F1E-F6B7-4D0B-9939-40669BBCCA35}"/>
    <hyperlink ref="E2" r:id="rId2" xr:uid="{E8C040D9-2116-4960-8877-3386DF14F312}"/>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3793" r:id="rId6"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33794" r:id="rId7"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33795" r:id="rId8"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80F8BC-2809-40BA-8AFA-92B36DE35EE4}">
  <sheetPr codeName="Sheet45"/>
  <dimension ref="A1:IY10"/>
  <sheetViews>
    <sheetView zoomScale="70" zoomScaleNormal="70" workbookViewId="0">
      <pane xSplit="5" ySplit="1" topLeftCell="F2" activePane="bottomRight" state="frozen"/>
      <selection pane="topRight" activeCell="F1" sqref="F1"/>
      <selection pane="bottomLeft" activeCell="A2" sqref="A2"/>
      <selection pane="bottomRight" activeCell="K3" sqref="K3:M6"/>
    </sheetView>
  </sheetViews>
  <sheetFormatPr defaultRowHeight="38.4" customHeight="1" x14ac:dyDescent="0.3"/>
  <cols>
    <col min="1" max="1" width="52.44140625" style="81" bestFit="1" customWidth="1"/>
    <col min="2" max="2" width="10.109375" style="81" customWidth="1"/>
    <col min="3" max="3" width="7.44140625" style="82" customWidth="1"/>
    <col min="4" max="4" width="4.77734375" style="83" customWidth="1"/>
    <col min="5" max="5" width="4.5546875" style="83" customWidth="1"/>
    <col min="6" max="6" width="5.77734375" style="83" customWidth="1"/>
    <col min="7" max="7" width="7.44140625" style="81" customWidth="1"/>
    <col min="8" max="8" width="11.44140625" style="81" customWidth="1"/>
    <col min="9" max="9" width="10" style="81" customWidth="1"/>
    <col min="10" max="10" width="4.21875" style="81" customWidth="1"/>
    <col min="11" max="11" width="5.6640625" style="83" customWidth="1"/>
    <col min="12" max="12" width="2.88671875" style="83" customWidth="1"/>
    <col min="13" max="13" width="6.44140625" style="83" customWidth="1"/>
    <col min="14" max="14" width="4.5546875" style="83" customWidth="1"/>
    <col min="15" max="15" width="10.5546875" style="84" customWidth="1"/>
    <col min="16" max="16" width="6.88671875" style="83" customWidth="1"/>
    <col min="17" max="17" width="4.77734375" style="83" customWidth="1"/>
    <col min="18" max="18" width="13.109375" style="82" customWidth="1"/>
    <col min="19" max="19" width="6.77734375" style="82" customWidth="1"/>
    <col min="20" max="46" width="8.44140625" style="81" customWidth="1"/>
    <col min="47" max="47" width="24.5546875" style="81" customWidth="1"/>
    <col min="48" max="51" width="16.6640625" style="81" customWidth="1"/>
    <col min="52" max="52" width="6.5546875" style="81" customWidth="1"/>
    <col min="53" max="54" width="5.88671875" style="81" customWidth="1"/>
    <col min="55" max="55" width="1.33203125" style="81" customWidth="1"/>
    <col min="56" max="56" width="7.44140625" style="81" customWidth="1"/>
    <col min="57" max="57" width="2.33203125" style="81" customWidth="1"/>
    <col min="58" max="62" width="6.109375" style="81" customWidth="1"/>
    <col min="63" max="63" width="2.33203125" style="81" customWidth="1"/>
    <col min="64" max="64" width="7" style="81" bestFit="1" customWidth="1"/>
    <col min="65" max="65" width="6.44140625" style="81" bestFit="1" customWidth="1"/>
    <col min="66" max="66" width="7.109375" style="81" bestFit="1" customWidth="1"/>
    <col min="67" max="71" width="6.44140625" style="81" bestFit="1" customWidth="1"/>
    <col min="72" max="73" width="6.44140625" style="81" customWidth="1"/>
    <col min="74" max="75" width="13.44140625" style="81" customWidth="1"/>
    <col min="76" max="84" width="14.6640625" style="81" customWidth="1"/>
    <col min="85" max="85" width="6.44140625" style="81" customWidth="1"/>
    <col min="86" max="87" width="11.6640625" style="81" bestFit="1" customWidth="1"/>
    <col min="88" max="88" width="11.6640625" style="81" customWidth="1"/>
    <col min="89" max="89" width="12.77734375" style="81" bestFit="1" customWidth="1"/>
    <col min="90" max="90" width="16.44140625" style="82" bestFit="1" customWidth="1"/>
    <col min="91" max="92" width="14.88671875" style="82" bestFit="1" customWidth="1"/>
    <col min="93" max="93" width="16" style="82" bestFit="1" customWidth="1"/>
    <col min="94" max="97" width="7.77734375" style="81" customWidth="1"/>
    <col min="98" max="98" width="33.21875" style="81" customWidth="1"/>
    <col min="99" max="99" width="18" style="81" customWidth="1"/>
    <col min="100" max="100" width="75.6640625" style="81" customWidth="1"/>
    <col min="101" max="125" width="33" style="81" customWidth="1"/>
    <col min="126" max="126" width="8.88671875" style="81"/>
    <col min="127" max="128" width="9.44140625" style="81" bestFit="1" customWidth="1"/>
    <col min="129" max="129" width="10.77734375" style="81" bestFit="1" customWidth="1"/>
    <col min="130" max="134" width="10.77734375" style="81" customWidth="1"/>
    <col min="135" max="135" width="10.109375" style="81" bestFit="1" customWidth="1"/>
    <col min="136" max="136" width="7.77734375" style="81" bestFit="1" customWidth="1"/>
    <col min="137" max="137" width="7.77734375" style="81" customWidth="1"/>
    <col min="138" max="138" width="9" style="81" bestFit="1" customWidth="1"/>
    <col min="139" max="139" width="11.33203125" style="81" bestFit="1" customWidth="1"/>
    <col min="140" max="140" width="9.109375" style="81" bestFit="1" customWidth="1"/>
    <col min="141" max="141" width="9" style="81" bestFit="1" customWidth="1"/>
    <col min="142" max="142" width="12" style="81" bestFit="1" customWidth="1"/>
    <col min="143" max="166" width="12" style="81" customWidth="1"/>
    <col min="167" max="167" width="17.21875" style="81" customWidth="1"/>
    <col min="168" max="191" width="12" style="81" customWidth="1"/>
    <col min="192" max="192" width="8.5546875" style="81" bestFit="1" customWidth="1"/>
    <col min="193" max="193" width="8.5546875" style="81" customWidth="1"/>
    <col min="194" max="194" width="7.109375" style="81" bestFit="1" customWidth="1"/>
    <col min="195" max="195" width="7.5546875" style="81" bestFit="1" customWidth="1"/>
    <col min="196" max="196" width="8.5546875" style="81" bestFit="1" customWidth="1"/>
    <col min="197" max="200" width="8.5546875" style="81" customWidth="1"/>
    <col min="201" max="201" width="188.88671875" style="81" customWidth="1"/>
    <col min="202" max="202" width="9.5546875" style="81" bestFit="1" customWidth="1"/>
    <col min="203" max="203" width="10.44140625" style="81" bestFit="1" customWidth="1"/>
    <col min="204" max="204" width="11.109375" style="81" bestFit="1" customWidth="1"/>
    <col min="205" max="205" width="10.44140625" style="81" bestFit="1" customWidth="1"/>
    <col min="206" max="210" width="10.44140625" style="81" customWidth="1"/>
    <col min="211" max="211" width="45.44140625" style="81" customWidth="1"/>
    <col min="212" max="212" width="47.5546875" style="81" bestFit="1" customWidth="1"/>
    <col min="213" max="213" width="9.33203125" style="85" customWidth="1"/>
    <col min="214" max="214" width="119.5546875" style="81" customWidth="1"/>
    <col min="215" max="215" width="69.6640625" style="81" customWidth="1"/>
    <col min="216" max="218" width="8.88671875" style="81"/>
    <col min="219" max="219" width="37.109375" style="81" customWidth="1"/>
    <col min="220" max="220" width="16.33203125" style="81" customWidth="1"/>
    <col min="221" max="222" width="8.88671875" style="81"/>
    <col min="223" max="223" width="10.109375" style="81" bestFit="1" customWidth="1"/>
    <col min="224" max="232" width="10.88671875" style="81" customWidth="1"/>
    <col min="233" max="234" width="30.77734375" style="81" customWidth="1"/>
    <col min="235" max="235" width="5.109375" style="81" customWidth="1"/>
    <col min="236" max="236" width="3" style="81" customWidth="1"/>
    <col min="237" max="245" width="6.77734375" style="86" customWidth="1"/>
    <col min="246" max="247" width="8.88671875" style="81"/>
    <col min="248" max="248" width="61.5546875" style="81" customWidth="1"/>
    <col min="249" max="253" width="8.88671875" style="81"/>
    <col min="254" max="254" width="9" style="81" customWidth="1"/>
    <col min="255" max="16384" width="8.88671875" style="8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708</v>
      </c>
      <c r="B2" s="40" t="e" vm="24">
        <v>#VALUE!</v>
      </c>
      <c r="C2" s="41">
        <v>1</v>
      </c>
      <c r="D2" s="42" t="s">
        <v>709</v>
      </c>
      <c r="E2" s="43" t="s">
        <v>710</v>
      </c>
      <c r="F2" s="44" t="s">
        <v>163</v>
      </c>
      <c r="G2" s="45">
        <f>COUNTIF($A$1:$A$8360,A2)</f>
        <v>1</v>
      </c>
      <c r="H2" s="46"/>
      <c r="I2" s="47" t="s">
        <v>711</v>
      </c>
      <c r="J2" s="48" t="str">
        <f>""</f>
        <v/>
      </c>
      <c r="K2" s="49">
        <v>852075</v>
      </c>
      <c r="L2" s="50">
        <v>50360</v>
      </c>
      <c r="M2" s="50" t="s">
        <v>733</v>
      </c>
      <c r="N2" s="51" t="s">
        <v>180</v>
      </c>
      <c r="O2" s="52" t="s">
        <v>381</v>
      </c>
      <c r="P2" s="53" t="s">
        <v>712</v>
      </c>
      <c r="Q2" s="54">
        <v>1</v>
      </c>
      <c r="R2" s="55" t="s">
        <v>180</v>
      </c>
      <c r="S2" s="56">
        <v>4</v>
      </c>
      <c r="T2" s="57" t="s">
        <v>167</v>
      </c>
      <c r="U2" s="58" t="s">
        <v>164</v>
      </c>
      <c r="V2" s="58" t="s">
        <v>167</v>
      </c>
      <c r="W2" s="58" t="s">
        <v>164</v>
      </c>
      <c r="X2" s="58" t="s">
        <v>164</v>
      </c>
      <c r="Y2" s="58" t="s">
        <v>164</v>
      </c>
      <c r="Z2" s="58" t="s">
        <v>164</v>
      </c>
      <c r="AA2" s="58" t="s">
        <v>164</v>
      </c>
      <c r="AB2" s="58" t="s">
        <v>164</v>
      </c>
      <c r="AC2" s="58" t="s">
        <v>164</v>
      </c>
      <c r="AD2" s="58" t="s">
        <v>164</v>
      </c>
      <c r="AE2" s="58" t="s">
        <v>167</v>
      </c>
      <c r="AF2" s="59" t="s">
        <v>167</v>
      </c>
      <c r="AG2" s="59" t="s">
        <v>164</v>
      </c>
      <c r="AH2" s="59" t="s">
        <v>164</v>
      </c>
      <c r="AI2" s="59" t="s">
        <v>164</v>
      </c>
      <c r="AJ2" s="59" t="s">
        <v>164</v>
      </c>
      <c r="AK2" s="59" t="s">
        <v>164</v>
      </c>
      <c r="AL2" s="59" t="s">
        <v>164</v>
      </c>
      <c r="AM2" s="59" t="s">
        <v>164</v>
      </c>
      <c r="AN2" s="59" t="s">
        <v>164</v>
      </c>
      <c r="AO2" s="59" t="s">
        <v>164</v>
      </c>
      <c r="AP2" s="59" t="s">
        <v>164</v>
      </c>
      <c r="AQ2" s="59" t="s">
        <v>164</v>
      </c>
      <c r="AR2" s="59" t="s">
        <v>164</v>
      </c>
      <c r="AS2" s="59" t="s">
        <v>164</v>
      </c>
      <c r="AT2" s="60">
        <v>4</v>
      </c>
      <c r="AU2" s="59"/>
      <c r="AV2" s="59" t="str">
        <f>IF(LEFT(A2,1)="[",LEFT(A2,5)&amp;AU2&amp;A2,"")</f>
        <v/>
      </c>
      <c r="AW2" s="59" t="str">
        <f t="shared" ref="AW2:AW5" si="0">C2&amp;H2&amp;A2</f>
        <v>1Comoros</v>
      </c>
      <c r="AX2" s="61" t="str">
        <f>_xlfn.TEXTJOIN(";",TRUE,AU2:AW2)</f>
        <v>1Comoros</v>
      </c>
      <c r="AY2" s="61" t="s">
        <v>167</v>
      </c>
      <c r="AZ2" s="62" t="s">
        <v>159</v>
      </c>
      <c r="BA2" s="62"/>
      <c r="BB2" s="62"/>
      <c r="BC2" s="63"/>
      <c r="BD2" s="64" t="s">
        <v>159</v>
      </c>
      <c r="BE2" s="47"/>
      <c r="BF2" s="64" t="s">
        <v>155</v>
      </c>
      <c r="BG2" s="64"/>
      <c r="BH2" s="64" t="s">
        <v>152</v>
      </c>
      <c r="BI2" s="64" t="s">
        <v>159</v>
      </c>
      <c r="BJ2" s="64" t="s">
        <v>154</v>
      </c>
      <c r="BK2" s="47"/>
      <c r="BL2" s="64" t="s">
        <v>155</v>
      </c>
      <c r="BM2" s="64" t="s">
        <v>159</v>
      </c>
      <c r="BN2" s="64" t="s">
        <v>154</v>
      </c>
      <c r="BO2" s="64" t="s">
        <v>152</v>
      </c>
      <c r="BP2" s="64" t="s">
        <v>153</v>
      </c>
      <c r="BQ2" s="64"/>
      <c r="BR2" s="64"/>
      <c r="BS2" s="64"/>
      <c r="BT2" s="64"/>
      <c r="BU2" s="65"/>
      <c r="BV2" s="66" t="s">
        <v>164</v>
      </c>
      <c r="BW2" s="66" t="s">
        <v>166</v>
      </c>
      <c r="BX2" s="47"/>
      <c r="BY2" s="48" t="s">
        <v>164</v>
      </c>
      <c r="CB2" s="6" t="s">
        <v>713</v>
      </c>
      <c r="CC2" s="6"/>
      <c r="CD2" s="67">
        <v>0</v>
      </c>
      <c r="CE2" s="67">
        <v>0</v>
      </c>
      <c r="CF2" s="67" t="e">
        <v>#REF!</v>
      </c>
      <c r="CG2" s="68" cm="1">
        <f t="array" ref="CG2">SUMPRODUCT(--(LEN(TRIM(BL2:BT2))&gt;0))</f>
        <v>5</v>
      </c>
      <c r="CH2" s="59" t="str">
        <f>IF(CG2=2,"y","n")</f>
        <v>n</v>
      </c>
      <c r="CI2" s="59" t="str">
        <f>IF(CG2=3,"y","n")</f>
        <v>n</v>
      </c>
      <c r="CJ2" s="59" t="str">
        <f>IF(CG2=4,"y","n")</f>
        <v>n</v>
      </c>
      <c r="CK2" s="59" t="str">
        <f>IF(CG2&gt;4,"y","n")</f>
        <v>y</v>
      </c>
      <c r="CL2" s="59" t="str">
        <f>IF(S2=0,"y","n")</f>
        <v>n</v>
      </c>
      <c r="CM2" s="59" t="str">
        <f>IF(S2=2,"y","n")</f>
        <v>n</v>
      </c>
      <c r="CN2" s="59" t="str">
        <f>IF(S2=3,"y","n")</f>
        <v>n</v>
      </c>
      <c r="CO2" s="59" t="str">
        <f>IF(S2&gt;=4,"y","n")</f>
        <v>y</v>
      </c>
      <c r="CP2" s="59" t="str">
        <f>IF(AT2=0,"y","n")</f>
        <v>n</v>
      </c>
      <c r="CQ2" s="59" t="str">
        <f>IF(AT2=1,"y","n")</f>
        <v>n</v>
      </c>
      <c r="CR2" s="59" t="str">
        <f>IF(AT2=2,"y","n")</f>
        <v>n</v>
      </c>
      <c r="CS2" s="59" t="str">
        <f>IF(AT2&gt;=3,"y","n")</f>
        <v>y</v>
      </c>
      <c r="CT2" s="69" t="str">
        <f>CHAR(34)&amp;A2&amp;CHAR(34)</f>
        <v>"Comoros"</v>
      </c>
      <c r="CU2" s="70" t="str">
        <f>CHAR(34)&amp;"rgn_"&amp;R2&amp;CHAR(34)</f>
        <v>"rgn_Africa"</v>
      </c>
      <c r="CV2" s="48" t="str">
        <f>CHAR(34)&amp;D2&amp;CHAR(34)</f>
        <v>"https://i.ibb.co/WyjTJMx/Comoros-Flag.png"</v>
      </c>
      <c r="CW2" s="48" t="str">
        <f>IF(CH2="y",CHAR(34)&amp;CH$1&amp;CHAR(34)&amp;",","")</f>
        <v/>
      </c>
      <c r="CX2" s="48" t="str">
        <f>IF(CI2="y",CHAR(34)&amp;CI$1&amp;CHAR(34)&amp;",","")</f>
        <v/>
      </c>
      <c r="CY2" s="48" t="str">
        <f>IF(CJ2="y",CHAR(34)&amp;CJ$1&amp;CHAR(34)&amp;",","")</f>
        <v/>
      </c>
      <c r="CZ2" s="48" t="str">
        <f>IF(CK2="y",CHAR(34)&amp;CK$1&amp;CHAR(34)&amp;",","")</f>
        <v>"5+Colo",</v>
      </c>
      <c r="DA2" s="48" t="str">
        <f>IF(Q2&gt;1,CHAR(34)&amp;"words2"&amp;CHAR(34)&amp;",","")</f>
        <v/>
      </c>
      <c r="DB2" s="48" t="str">
        <f>IF(Q2&gt;2,CHAR(34)&amp;"words3"&amp;CHAR(34)&amp;",","")</f>
        <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"lets07",</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"startC",</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
      </c>
      <c r="DP2" s="6" t="str">
        <f>IF(AND(ISNUMBER(SEARCH("20", O2)), ISERROR(SEARCH("1920", O2))), CHAR(34)&amp;"year00"&amp;CHAR(34)&amp;",", "")</f>
        <v>"year00",</v>
      </c>
      <c r="DQ2" s="6" t="str">
        <f>IF(CC2="y",CHAR(34)&amp;"soviet"&amp;CHAR(34)&amp;",","")</f>
        <v/>
      </c>
      <c r="DR2" s="6" t="str">
        <f>IF(BY2="y",CHAR(34)&amp;"dgband"&amp;CHAR(34)&amp;",","")</f>
        <v/>
      </c>
      <c r="DS2" s="6" t="str">
        <f>IF(W2="y",IF(AND(V2="n",BY2&lt;&gt;"y"),CHAR(34)&amp;"allver"&amp;CHAR(34)&amp;",",""),"")</f>
        <v/>
      </c>
      <c r="DT2" s="6" t="str">
        <f>IF(V2="y",IF(AND(W2="n",BY2&lt;&gt;"y"),CHAR(34)&amp;"allhor"&amp;CHAR(34)&amp;",",""),"")</f>
        <v>"allhor",</v>
      </c>
      <c r="DU2" s="6" t="str">
        <f>IF(BY2="y",IF(AND(W2="n",V2="n"),CHAR(34)&amp;"alldia"&amp;CHAR(34)&amp;",",""),"")</f>
        <v/>
      </c>
      <c r="DV2" s="48" t="str">
        <f>IF(IA2&lt;&gt;"",(IF(IA2="y",CHAR(34)&amp;"largec"&amp;CHAR(34)&amp;",",CHAR(34)&amp;"smallc"&amp;CHAR(34)&amp;",")),"")</f>
        <v/>
      </c>
      <c r="DW2" s="48" t="str">
        <f>IF(CL2="y",CHAR(34)&amp;CL$1&amp;CHAR(34)&amp;",","")</f>
        <v/>
      </c>
      <c r="DX2" s="48" t="str">
        <f>IF(CM2="y",CHAR(34)&amp;CM$1&amp;CHAR(34)&amp;",","")</f>
        <v/>
      </c>
      <c r="DY2" s="48" t="str">
        <f>IF(CN2="y",CHAR(34)&amp;CN$1&amp;CHAR(34)&amp;",","")</f>
        <v/>
      </c>
      <c r="DZ2" s="48" t="str">
        <f>IF(CO2="y",CHAR(34)&amp;CO$1&amp;CHAR(34)&amp;",","")</f>
        <v>"4+Band",</v>
      </c>
      <c r="EA2" s="48" t="str">
        <f>IF(T2="y",CHAR(34)&amp;T$1&amp;CHAR(34)&amp;",","")</f>
        <v>"Diagon",</v>
      </c>
      <c r="EB2" s="48" t="str">
        <f>IF(U2="y",CHAR(34)&amp;U$1&amp;CHAR(34)&amp;",","")</f>
        <v/>
      </c>
      <c r="EC2" s="48" t="str">
        <f>IF(V2="y",CHAR(34)&amp;V$1&amp;CHAR(34)&amp;",","")</f>
        <v>"Horizo",</v>
      </c>
      <c r="ED2" s="48" t="str">
        <f>IF(W2="y",CHAR(34)&amp;W$1&amp;CHAR(34)&amp;",","")</f>
        <v/>
      </c>
      <c r="EE2" s="48" t="str">
        <f>IF(X2="y",CHAR(34)&amp;X$1&amp;CHAR(34)&amp;",","")</f>
        <v/>
      </c>
      <c r="EF2" s="48" t="str">
        <f>IF(AND(Y2&lt;&gt;"n",Y2&lt;&gt;""),CHAR(34)&amp;Y$1&amp;CHAR(34)&amp;",","")</f>
        <v/>
      </c>
      <c r="EG2" s="48" t="str">
        <f>IF(Z2="y",CHAR(34)&amp;Z$1&amp;CHAR(34)&amp;",","")</f>
        <v/>
      </c>
      <c r="EH2" s="48" t="str">
        <f>IF(AA2="y",CHAR(34)&amp;AA$1&amp;CHAR(34)&amp;",","")</f>
        <v/>
      </c>
      <c r="EI2" s="48" t="str">
        <f>IF(AB2="y",CHAR(34)&amp;AB$1&amp;CHAR(34)&amp;",","")</f>
        <v/>
      </c>
      <c r="EJ2" s="48" t="str">
        <f>IF(AC2="y",CHAR(34)&amp;AC$1&amp;CHAR(34)&amp;",","")</f>
        <v/>
      </c>
      <c r="EK2" s="48" t="str">
        <f>IF(AD2="y",CHAR(34)&amp;AD$1&amp;CHAR(34)&amp;",","")</f>
        <v/>
      </c>
      <c r="EL2" s="48" t="str">
        <f>IF(AE2="y",CHAR(34)&amp;AE$1&amp;CHAR(34)&amp;",","")</f>
        <v>"IsMoon",</v>
      </c>
      <c r="EM2" s="48" t="str">
        <f>IF(AF2="y",CHAR(34)&amp;AF$1&amp;CHAR(34)&amp;",","")</f>
        <v>"Trside",</v>
      </c>
      <c r="EN2" s="48" t="str">
        <f>IF(AG2="y",CHAR(34)&amp;AG$1&amp;CHAR(34)&amp;",","")</f>
        <v/>
      </c>
      <c r="EO2" s="48" t="str">
        <f>IF(AH2="y",CHAR(34)&amp;AH$1&amp;CHAR(34)&amp;",","")</f>
        <v/>
      </c>
      <c r="EP2" s="48" t="str">
        <f>IF(AI2="y",CHAR(34)&amp;AI$1&amp;CHAR(34)&amp;",","")</f>
        <v/>
      </c>
      <c r="EQ2" s="48" t="str">
        <f>IF(AJ2="y",CHAR(34)&amp;AJ$1&amp;CHAR(34)&amp;",","")</f>
        <v/>
      </c>
      <c r="ER2" s="48" t="str">
        <f>IF(AK2="y",CHAR(34)&amp;AK$1&amp;CHAR(34)&amp;",","")</f>
        <v/>
      </c>
      <c r="ES2" s="48" t="str">
        <f>IF(AL2="y",CHAR(34)&amp;AL$1&amp;CHAR(34)&amp;",","")</f>
        <v/>
      </c>
      <c r="ET2" s="48" t="str">
        <f>IF(AM2="y",CHAR(34)&amp;AM$1&amp;CHAR(34)&amp;",","")</f>
        <v/>
      </c>
      <c r="EU2" s="48" t="str">
        <f>IF(AN2="y",CHAR(34)&amp;AN$1&amp;CHAR(34)&amp;",","")</f>
        <v/>
      </c>
      <c r="EV2" s="48" t="str">
        <f>IF(AO2="y",CHAR(34)&amp;AO$1&amp;CHAR(34)&amp;",","")</f>
        <v/>
      </c>
      <c r="EW2" s="48" t="str">
        <f>IF(AP2="y",CHAR(34)&amp;AP$1&amp;CHAR(34)&amp;",","")</f>
        <v/>
      </c>
      <c r="EX2" s="48" t="str">
        <f>IF(AQ2="y",CHAR(34)&amp;AQ$1&amp;CHAR(34)&amp;",","")</f>
        <v/>
      </c>
      <c r="EY2" s="48" t="str">
        <f>IF(AR2="y",CHAR(34)&amp;AR$1&amp;CHAR(34)&amp;",","")</f>
        <v/>
      </c>
      <c r="EZ2" s="48" t="str">
        <f>IF(AS2="y",CHAR(34)&amp;AS$1&amp;CHAR(34)&amp;",","")</f>
        <v/>
      </c>
      <c r="FA2" s="48" t="str">
        <f>IF(AT2&gt;0,CHAR(34)&amp;"sta"&amp;AZ2&amp;CHAR(34)&amp;",","")</f>
        <v>"staWHI",</v>
      </c>
      <c r="FB2" s="48" t="str">
        <f>IF(AND(AT2&gt;0,BA2&lt;&gt;""),CHAR(34)&amp;"sta"&amp;BA2&amp;CHAR(34)&amp;",","")</f>
        <v/>
      </c>
      <c r="FC2" s="48" t="str">
        <f>IF(AND(AT2&gt;0,BB2&lt;&gt;""),CHAR(34)&amp;"sta"&amp;BB2&amp;CHAR(34)&amp;",","")</f>
        <v/>
      </c>
      <c r="FD2" s="48" t="str">
        <f>IF(BV2="n",CHAR(34)&amp;"tcWHYE"&amp;CHAR(34)&amp;",",IF(BV2="y",CHAR(34)&amp;FD$1&amp;CHAR(34)&amp;",",""))</f>
        <v>"tcWHYE",</v>
      </c>
      <c r="FE2" s="48" t="str">
        <f>IF(COUNTIF(BL2:BT2,"BLU")=0,CHAR(34)&amp;"NO_BLU"&amp;CHAR(34)&amp;",", "")</f>
        <v/>
      </c>
      <c r="FF2" s="48" t="str">
        <f>IF(COUNTIF(BL2:BT2,"WHI")=0,CHAR(34)&amp;"NO_WHI"&amp;CHAR(34)&amp;",", "")</f>
        <v/>
      </c>
      <c r="FG2" s="48" t="str">
        <f>IF(COUNTIF(BL2:BT2,"RED")=0,CHAR(34)&amp;"NO_RED"&amp;CHAR(34)&amp;",", "")</f>
        <v/>
      </c>
      <c r="FH2" s="48" t="str">
        <f>IF(COUNTIF(BL2:BS2,"GRE")=0,CHAR(34)&amp;"NO_GRE"&amp;CHAR(34)&amp;",", "")</f>
        <v/>
      </c>
      <c r="FI2" s="48" t="str">
        <f>IF(COUNTIF(BL2:BT2,"YEL")=0,CHAR(34)&amp;"NO_YEL"&amp;CHAR(34)&amp;",", "")</f>
        <v/>
      </c>
      <c r="FJ2" s="48" t="str">
        <f>IF(COUNTIF(BL2:BT2,"BLA")=0,CHAR(34)&amp;"NO_BLA"&amp;CHAR(34)&amp;",", "")</f>
        <v>"NO_BLA",</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
      </c>
      <c r="FP2" s="48" t="str">
        <f>IF(AND(FF2&lt;&gt;"",FF2&lt;&gt;""),CHAR(34)&amp;"WHRENO"&amp;CHAR(34)&amp;",","")</f>
        <v/>
      </c>
      <c r="FQ2" s="48" t="str">
        <f>IF(LEN(BF2)=3,CHAR(34)&amp;"001"&amp;BF2&amp;CHAR(34)&amp;",","")</f>
        <v>"001YEL",</v>
      </c>
      <c r="FR2" s="48" t="str">
        <f>IF(LEN(BG2)=3,CHAR(34)&amp;"002"&amp;BG2&amp;CHAR(34)&amp;",","")</f>
        <v/>
      </c>
      <c r="FS2" s="48" t="str">
        <f>IF(LEN(BH2)=3,CHAR(34)&amp;"003"&amp;BH2&amp;CHAR(34)&amp;",","")</f>
        <v>"003BLU",</v>
      </c>
      <c r="FT2" s="48" t="str">
        <f>CHAR(34)&amp;"myr"&amp;BD2&amp;CHAR(34)&amp;","</f>
        <v>"myrWHI",</v>
      </c>
      <c r="FU2" s="48" t="str">
        <f>IF(AY2="y",CHAR(34)&amp;"island"&amp;CHAR(34)&amp;",","")</f>
        <v>"island",</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"arabic",</v>
      </c>
      <c r="FZ2" s="48" t="str">
        <f>IFERROR(IF(SEARCH("English",CB2)&gt;0,CHAR(34)&amp;"englis"&amp;CHAR(34)&amp;",",""),"")</f>
        <v/>
      </c>
      <c r="GA2" s="48" t="str">
        <f>IFERROR(IF(SEARCH("French",CB2)&gt;0,CHAR(34)&amp;"french"&amp;CHAR(34)&amp;",",""),"")</f>
        <v>"french",</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
      </c>
      <c r="GK2" s="48" t="str">
        <f>IF(GJ2="",CHAR(34)&amp;"HasSta"&amp;CHAR(34)&amp;",","")</f>
        <v>"HasSta",</v>
      </c>
      <c r="GL2" s="48" t="str">
        <f>IF(CQ2="y",CHAR(34)&amp;CQ$1&amp;CHAR(34)&amp;",","")</f>
        <v/>
      </c>
      <c r="GM2" s="48" t="str">
        <f>IF(CR2="y",CHAR(34)&amp;CR$1&amp;CHAR(34)&amp;",","")</f>
        <v/>
      </c>
      <c r="GN2" s="48" t="str">
        <f>IF(CS2="y",CHAR(34)&amp;CS$1&amp;CHAR(34)&amp;",","")</f>
        <v>"3+Star",</v>
      </c>
      <c r="GP2" s="48" t="str">
        <f>CHAR(34)&amp;AU2&amp;CHAR(34)</f>
        <v>""</v>
      </c>
      <c r="GS2" s="48" t="str">
        <f>SUBSTITUTE("["&amp;_xlfn.CONCAT(CW2:GN2)&amp;"]",",]","]")</f>
        <v>["5+Colo","lets07","startC","year00","allhor","4+Band","Diagon","Horizo","IsMoon","Trside","staWHI","tcWHYE","NO_BLA","001YEL","003BLU","myrWHI","island","arabic","french","HasSta","3+Star"]</v>
      </c>
      <c r="GT2" s="48" t="str">
        <f>IF(BL2&lt;&gt;"",CHAR(34)&amp;"cl_"&amp;BL2&amp;CHAR(34)&amp;",","")</f>
        <v>"cl_YEL",</v>
      </c>
      <c r="GU2" s="48" t="str">
        <f>IF(BM2&lt;&gt;"",CHAR(34)&amp;"cl_"&amp;BM2&amp;CHAR(34)&amp;",","")</f>
        <v>"cl_WHI",</v>
      </c>
      <c r="GV2" s="48" t="str">
        <f>IF(BN2&lt;&gt;"",CHAR(34)&amp;"cl_"&amp;BN2&amp;CHAR(34)&amp;",","")</f>
        <v>"cl_RED",</v>
      </c>
      <c r="GW2" s="48" t="str">
        <f>IF(BO2&lt;&gt;"",CHAR(34)&amp;"cl_"&amp;BO2&amp;CHAR(34)&amp;",","")</f>
        <v>"cl_BLU",</v>
      </c>
      <c r="GX2" s="48" t="str">
        <f>IF(BP2&lt;&gt;"",CHAR(34)&amp;"cl_"&amp;BP2&amp;CHAR(34)&amp;",","")</f>
        <v>"cl_GRE",</v>
      </c>
      <c r="GY2" s="48" t="str">
        <f>IF(BQ2&lt;&gt;"",CHAR(34)&amp;"cl_"&amp;BQ2&amp;CHAR(34)&amp;",","")</f>
        <v/>
      </c>
      <c r="GZ2" s="48" t="str">
        <f>IF(BR2&lt;&gt;"",CHAR(34)&amp;"cl_"&amp;BR2&amp;CHAR(34)&amp;",","")</f>
        <v/>
      </c>
      <c r="HA2" s="48" t="str">
        <f>IF(BS2&lt;&gt;"",CHAR(34)&amp;"cl_"&amp;BS2&amp;CHAR(34)&amp;",","")</f>
        <v/>
      </c>
      <c r="HB2" s="48" t="str">
        <f>IF(BT2&lt;&gt;"",CHAR(34)&amp;"cl_"&amp;BT2&amp;CHAR(34)&amp;",","")</f>
        <v/>
      </c>
      <c r="HC2" s="48" t="str">
        <f>SUBSTITUTE("["&amp;_xlfn.CONCAT(GT2:HB2)&amp;"]",",]","]")</f>
        <v>["cl_YEL","cl_WHI","cl_RED","cl_BLU","cl_GRE"]</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{couname:"Comoros",year:"2001 ",region:"rgn_Africa",Colors:["cl_YEL","cl_WHI","cl_RED","cl_BLU","cl_GRE"],Items:["5+Colo","lets07","startC","year00","allhor","4+Band","Diagon","Horizo","IsMoon","Trside","staWHI","tcWHYE","NO_BLA","001YEL","003BLU","myrWHI","island","arabic","french","HasSta","3+Star"],Flag:"https://i.ibb.co/WyjTJMx/Comoros-Flag.png",HDFlag:"https://upload.wikimedia.org/wikipedia/commons/thumb/9/94/Flag_of_the_Comoros.svg/2560px-Flag_of_the_Comoros.svg.png",type:"", describe: "\nThe flag has four stripes, representing the four main islands of the nation: yellow for Mohéli, white for Mayotte (a French department claimed by the Comoros), red for Anjouan and blue for Grande Comore. The four stars on the flag also symbolize the four islands. The star and crescent, as well as the colour green on the flag, symbolise their main religion, Islam.", isnew:".", links: "https://en.wikipedia.org/wiki/Flag_of_the_Comoros"},</v>
      </c>
      <c r="HG2" s="73" t="str">
        <f>"{couname:"&amp;CT2&amp;(IF(HK2&lt;&gt;"",",subtype:"&amp;CHAR(34)&amp;HK2&amp;CHAR(34),""))&amp;",year:"&amp;HJ2&amp;",region:"&amp;CU2&amp;",Colors:"&amp;HC2&amp;",Items:"&amp;GS2&amp;",Flag:"&amp;CV2&amp;",HDFlag:"&amp;CHAR(34)&amp;E2&amp;CHAR(34)&amp;",type:"&amp;GP2&amp;", describe: "&amp;HI2&amp;", links: "&amp;HL2&amp;"},"</f>
        <v>{couname:"Comoros",year:"2001 ",region:"rgn_Africa",Colors:["cl_YEL","cl_WHI","cl_RED","cl_BLU","cl_GRE"],Items:["5+Colo","lets07","startC","year00","allhor","4+Band","Diagon","Horizo","IsMoon","Trside","staWHI","tcWHYE","NO_BLA","001YEL","003BLU","myrWHI","island","arabic","french","HasSta","3+Star"],Flag:"https://i.ibb.co/WyjTJMx/Comoros-Flag.png",HDFlag:"https://upload.wikimedia.org/wikipedia/commons/thumb/9/94/Flag_of_the_Comoros.svg/2560px-Flag_of_the_Comoros.svg.png",type:"", describe: "\nThe flag has four stripes, representing the four main islands of the nation: yellow for Mohéli, white for Mayotte (a French department claimed by the Comoros), red for Anjouan and blue for Grande Comore. The four stars on the flag also symbolize the four islands. The star and crescent, as well as the colour green on the flag, symbolise their main religion, Islam.", links: "https://en.wikipedia.org/wiki/Flag_of_the_Comoros"},</v>
      </c>
      <c r="HH2" s="48" t="str">
        <f>IF(P2&lt;&gt;"",CHAR(34)&amp;"\n"&amp;P2&amp;CHAR(34),CHAR(34)&amp;CHAR(34))</f>
        <v>"\nThe flag has four stripes, representing the four main islands of the nation: yellow for Mohéli, white for Mayotte (a French department claimed by the Comoros), red for Anjouan and blue for Grande Comore. The four stars on the flag also symbolize the four islands. The star and crescent, as well as the colour green on the flag, symbolise their main religion, Islam."</v>
      </c>
      <c r="HI2" s="48" t="str">
        <f>IF(J2=0,CHAR(34)&amp;CHAR(34),HH2)</f>
        <v>"\nThe flag has four stripes, representing the four main islands of the nation: yellow for Mohéli, white for Mayotte (a French department claimed by the Comoros), red for Anjouan and blue for Grande Comore. The four stars on the flag also symbolize the four islands. The star and crescent, as well as the colour green on the flag, symbolise their main religion, Islam."</v>
      </c>
      <c r="HJ2" s="48" t="str">
        <f>CHAR(34)&amp;O2&amp;CHAR(34)</f>
        <v>"2001 "</v>
      </c>
      <c r="HL2" s="48" t="str">
        <f>CHAR(34)&amp;I2&amp;CHAR(34)</f>
        <v>"https://en.wikipedia.org/wiki/Flag_of_the_Comoros"</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{"couname":"Comoros","year":"2001 ","region":"rgn_Africa","Colors":["cl_YEL","cl_WHI","cl_RED","cl_BLU","cl_GRE"],"Items":["5+Colo","lets07","startC","year00","allhor","4+Band","Diagon","Horizo","IsMoon","Trside","staWHI","tcWHYE","NO_BLA","001YEL","003BLU","myrWHI","island","arabic","french","HasSta","3+Star"],"Flag":"https://i.ibb.co/WyjTJMx/Comoros-Flag.png","HDFlag":"https://upload.wikimedia.org/wikipedia/commons/thumb/9/94/Flag_of_the_Comoros.svg/2560px-Flag_of_the_Comoros.svg.png","type":"", "describe": "\nThe flag has four stripes, representing the four main islands of the nation: yellow for Mohéli, white for Mayotte (a French department claimed by the Comoros), red for Anjouan and blue for Grande Comore. The four stars on the flag also symbolize the four islands. The star and crescent, as well as the colour green on the flag, symbolise their main religion, Islam.", "isnew": ".", "links": "https://en.wikipedia.org/wiki/Flag_of_the_Comoros"},</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{"couname":"Comoros","year":"2001 ","region":"rgn_Africa","Colors":["cl_YEL","cl_WHI","cl_RED","cl_BLU","cl_GRE"],"Items":["5+Colo","lets07","startC","year00","allhor","4+Band","Diagon","Horizo","IsMoon","Trside","staWHI","tcWHYE","NO_BLA","001YEL","003BLU","myrWHI","island","arabic","french","HasSta","3+Star"],"Flag":"https://i.ibb.co/WyjTJMx/Comoros-Flag.png","HDFlag":"https://upload.wikimedia.org/wikipedia/commons/thumb/9/94/Flag_of_the_Comoros.svg/2560px-Flag_of_the_Comoros.svg.png","type":"", "describe": "\nThe flag has four stripes, representing the four main islands of the nation: yellow for Mohéli, white for Mayotte (a French department claimed by the Comoros), red for Anjouan and blue for Grande Comore. The four stars on the flag also symbolize the four islands. The star and crescent, as well as the colour green on the flag, symbolise their main religion, Islam.", "isnew": ".", "links": "https://en.wikipedia.org/wiki/Flag_of_the_Comoros"},</v>
      </c>
      <c r="HO2" s="75"/>
      <c r="HP2" s="48" t="str" cm="1">
        <f t="array" ref="HP2">IF(_xlfn.TEXTJOIN(", ", TRUE, IF(ISNUMBER(SEARCH("BLA", BL2:BT2)), COLUMN(BL2:BT2) - COLUMN(BL2) + 1, ""))&lt;&gt;"","BLA","")</f>
        <v/>
      </c>
      <c r="HQ2" s="48" t="str" cm="1">
        <f t="array" ref="HQ2">IF(_xlfn.TEXTJOIN(", ", TRUE, IF(ISNUMBER(SEARCH("BLU", BL2:BT2)), COLUMN(BL2:BT2) - COLUMN(BL2) + 1, ""))&lt;&gt;"","BLU","")</f>
        <v>BLU</v>
      </c>
      <c r="HR2" s="48" t="str" cm="1">
        <f t="array" ref="HR2">IF(_xlfn.TEXTJOIN(", ", TRUE, IF(ISNUMBER(SEARCH("GRE", BL2:BT2)), COLUMN(BL2:BT2) - COLUMN(BL2) + 1, ""))&lt;&gt;"","GRE","")</f>
        <v>GRE</v>
      </c>
      <c r="HS2" s="48" t="str" cm="1">
        <f t="array" ref="HS2">IF(_xlfn.TEXTJOIN(", ", TRUE, IF(ISNUMBER(SEARCH("RED", BL2:BT2)), COLUMN(BL2:BT2) - COLUMN(BL2) + 1, ""))&lt;&gt;"","RED","")</f>
        <v>RED</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c r="IB2" s="6"/>
      <c r="IC2" s="77"/>
      <c r="ID2" s="77"/>
      <c r="IE2" s="77"/>
      <c r="IF2" s="77"/>
      <c r="IG2" s="77"/>
      <c r="IH2" s="77"/>
      <c r="II2" s="77"/>
      <c r="IJ2" s="77"/>
      <c r="IK2" s="77"/>
      <c r="IL2" s="48">
        <f>SUM(IC2:IK2)</f>
        <v>0</v>
      </c>
      <c r="IM2" s="45">
        <f>COUNTIF(IC2:IK2,"&gt;0")-CG2</f>
        <v>-5</v>
      </c>
      <c r="IN2" s="78" t="str">
        <f>"http://mkweb.bcgsc.ca/color-summarizer/?url="&amp;D2&amp;"&amp;precision=low&amp;num_clusters="&amp;CG2&amp;"&amp;text=1"</f>
        <v>http://mkweb.bcgsc.ca/color-summarizer/?url=https://i.ibb.co/WyjTJMx/Comoros-Flag.png&amp;precision=low&amp;num_clusters=5&amp;text=1</v>
      </c>
      <c r="IO2" s="48" t="str">
        <f>IF(HP2&lt;&gt;"",CHAR(34)&amp;"black"&amp;CHAR(34),"")</f>
        <v/>
      </c>
      <c r="IP2" s="48" t="str">
        <f>IF(HQ2&lt;&gt;"",CHAR(34)&amp;"blue"&amp;CHAR(34),"")</f>
        <v>"blue"</v>
      </c>
      <c r="IQ2" s="48" t="str">
        <f>IF(HR2&lt;&gt;"",CHAR(34)&amp;"green"&amp;CHAR(34),"")</f>
        <v>"green"</v>
      </c>
      <c r="IR2" s="48" t="str">
        <f>IF(HS2&lt;&gt;"",CHAR(34)&amp;"red"&amp;CHAR(34),"")</f>
        <v>"red"</v>
      </c>
      <c r="IS2" s="48" t="str">
        <f>IF(HT2&lt;&gt;"",CHAR(34)&amp;"yellow"&amp;CHAR(34),"")</f>
        <v>"yellow"</v>
      </c>
      <c r="IT2" s="48" t="str">
        <f>IF(HU2&lt;&gt;"",CHAR(34)&amp;"orange"&amp;CHAR(34),"")</f>
        <v/>
      </c>
      <c r="IU2" s="48" t="str">
        <f>IF(HV2&lt;&gt;"",CHAR(34)&amp;"brown"&amp;CHAR(34),"")</f>
        <v/>
      </c>
      <c r="IV2" s="48" t="str">
        <f>IF(HW2&lt;&gt;"",CHAR(34)&amp;"purple"&amp;CHAR(34),"")</f>
        <v/>
      </c>
      <c r="IW2" s="48" t="str">
        <f>IF(HX2&lt;&gt;"",CHAR(34)&amp;"white"&amp;CHAR(34),"")</f>
        <v>"white"</v>
      </c>
      <c r="IX2" s="48" t="str">
        <f>"{"&amp;CHAR(34)&amp;"url"&amp;CHAR(34)&amp;":"&amp;CHAR(34)&amp;IN2&amp;CHAR(34)&amp;","&amp;CHAR(34)&amp;"name"&amp;CHAR(34)&amp;":"&amp;CHAR(34)&amp;A2&amp;CHAR(34)&amp;"},"</f>
        <v>{"url":"http://mkweb.bcgsc.ca/color-summarizer/?url=https://i.ibb.co/WyjTJMx/Comoros-Flag.png&amp;precision=low&amp;num_clusters=5&amp;text=1","name":"Comoros"},</v>
      </c>
      <c r="IY2" s="48">
        <v>50</v>
      </c>
    </row>
    <row r="3" spans="1:259" s="48" customFormat="1" ht="38.4" customHeight="1" thickBot="1" x14ac:dyDescent="0.35">
      <c r="A3" s="79" t="s">
        <v>714</v>
      </c>
      <c r="B3" s="40" t="e" vm="25">
        <v>#VALUE!</v>
      </c>
      <c r="C3" s="41">
        <v>2</v>
      </c>
      <c r="D3" s="42" t="s">
        <v>715</v>
      </c>
      <c r="E3" s="43" t="s">
        <v>716</v>
      </c>
      <c r="F3" s="44" t="s">
        <v>163</v>
      </c>
      <c r="G3" s="45">
        <f>COUNTIF($A$1:$A$8369,A3)</f>
        <v>1</v>
      </c>
      <c r="H3" s="46"/>
      <c r="I3" s="47" t="s">
        <v>717</v>
      </c>
      <c r="J3" s="48" t="str">
        <f>""</f>
        <v/>
      </c>
      <c r="K3" s="49"/>
      <c r="L3" s="50"/>
      <c r="M3" s="50"/>
      <c r="N3" s="51" t="s">
        <v>180</v>
      </c>
      <c r="O3" s="52" t="s">
        <v>718</v>
      </c>
      <c r="P3" s="53" t="s">
        <v>719</v>
      </c>
      <c r="Q3" s="54">
        <v>1</v>
      </c>
      <c r="R3" s="55" t="s">
        <v>180</v>
      </c>
      <c r="S3" s="56">
        <v>0</v>
      </c>
      <c r="T3" s="57" t="s">
        <v>164</v>
      </c>
      <c r="U3" s="58" t="s">
        <v>164</v>
      </c>
      <c r="V3" s="58" t="s">
        <v>164</v>
      </c>
      <c r="W3" s="58" t="s">
        <v>164</v>
      </c>
      <c r="X3" s="58" t="s">
        <v>164</v>
      </c>
      <c r="Y3" s="58" t="s">
        <v>164</v>
      </c>
      <c r="Z3" s="58" t="s">
        <v>164</v>
      </c>
      <c r="AA3" s="58" t="s">
        <v>164</v>
      </c>
      <c r="AB3" s="58" t="s">
        <v>164</v>
      </c>
      <c r="AC3" s="58" t="s">
        <v>164</v>
      </c>
      <c r="AD3" s="58" t="s">
        <v>164</v>
      </c>
      <c r="AE3" s="58" t="s">
        <v>167</v>
      </c>
      <c r="AF3" s="59" t="s">
        <v>164</v>
      </c>
      <c r="AG3" s="59" t="s">
        <v>164</v>
      </c>
      <c r="AH3" s="59" t="s">
        <v>167</v>
      </c>
      <c r="AI3" s="59" t="s">
        <v>164</v>
      </c>
      <c r="AJ3" s="59" t="s">
        <v>164</v>
      </c>
      <c r="AK3" s="59" t="s">
        <v>164</v>
      </c>
      <c r="AL3" s="59" t="s">
        <v>164</v>
      </c>
      <c r="AM3" s="59" t="s">
        <v>164</v>
      </c>
      <c r="AN3" s="59" t="s">
        <v>164</v>
      </c>
      <c r="AO3" s="59" t="s">
        <v>164</v>
      </c>
      <c r="AP3" s="59" t="s">
        <v>164</v>
      </c>
      <c r="AQ3" s="59" t="s">
        <v>164</v>
      </c>
      <c r="AR3" s="59" t="s">
        <v>164</v>
      </c>
      <c r="AS3" s="59" t="s">
        <v>164</v>
      </c>
      <c r="AT3" s="60">
        <v>4</v>
      </c>
      <c r="AU3" s="59" t="s">
        <v>720</v>
      </c>
      <c r="AV3" s="59" t="str">
        <f>IF(LEFT(A3,1)="[",LEFT(A3,5)&amp;AU3&amp;A3,"")</f>
        <v>[COM]Autonomous Island[COM] Anjouan</v>
      </c>
      <c r="AW3" s="59" t="str">
        <f t="shared" si="0"/>
        <v>2[COM] Anjouan</v>
      </c>
      <c r="AX3" s="61"/>
      <c r="AY3" s="61"/>
      <c r="AZ3" s="62" t="s">
        <v>159</v>
      </c>
      <c r="BA3" s="62"/>
      <c r="BB3" s="62"/>
      <c r="BC3" s="63"/>
      <c r="BD3" s="64" t="s">
        <v>154</v>
      </c>
      <c r="BE3" s="47"/>
      <c r="BF3" s="64" t="s">
        <v>541</v>
      </c>
      <c r="BG3" s="64" t="s">
        <v>541</v>
      </c>
      <c r="BH3" s="64" t="s">
        <v>541</v>
      </c>
      <c r="BI3" s="64"/>
      <c r="BJ3" s="64"/>
      <c r="BK3" s="47"/>
      <c r="BL3" s="64" t="s">
        <v>154</v>
      </c>
      <c r="BM3" s="64" t="s">
        <v>159</v>
      </c>
      <c r="BN3" s="64"/>
      <c r="BO3" s="64"/>
      <c r="BP3" s="64"/>
      <c r="BQ3" s="64"/>
      <c r="BR3" s="64"/>
      <c r="BS3" s="64"/>
      <c r="BT3" s="64"/>
      <c r="BU3" s="65"/>
      <c r="BV3" s="66"/>
      <c r="BW3" s="66">
        <v>0</v>
      </c>
      <c r="BX3" s="47"/>
      <c r="CB3" s="6"/>
      <c r="CC3" s="6"/>
      <c r="CD3" s="67">
        <v>0</v>
      </c>
      <c r="CE3" s="67">
        <v>0</v>
      </c>
      <c r="CF3" s="67" t="e">
        <v>#REF!</v>
      </c>
      <c r="CG3" s="68" cm="1">
        <f t="array" ref="CG3">SUMPRODUCT(--(LEN(TRIM(BL3:BT3))&gt;0))</f>
        <v>2</v>
      </c>
      <c r="CH3" s="59" t="str">
        <f>IF(CG3=2,"y","n")</f>
        <v>y</v>
      </c>
      <c r="CI3" s="59" t="str">
        <f>IF(CG3=3,"y","n")</f>
        <v>n</v>
      </c>
      <c r="CJ3" s="59" t="str">
        <f>IF(CG3=4,"y","n")</f>
        <v>n</v>
      </c>
      <c r="CK3" s="59" t="str">
        <f>IF(CG3&gt;4,"y","n")</f>
        <v>n</v>
      </c>
      <c r="CL3" s="59" t="str">
        <f>IF(S3=0,"y","n")</f>
        <v>y</v>
      </c>
      <c r="CM3" s="59" t="str">
        <f>IF(S3=2,"y","n")</f>
        <v>n</v>
      </c>
      <c r="CN3" s="59" t="str">
        <f>IF(S3=3,"y","n")</f>
        <v>n</v>
      </c>
      <c r="CO3" s="59" t="str">
        <f>IF(S3&gt;=4,"y","n")</f>
        <v>n</v>
      </c>
      <c r="CP3" s="59" t="str">
        <f>IF(AT3=0,"y","n")</f>
        <v>n</v>
      </c>
      <c r="CQ3" s="59" t="str">
        <f>IF(AT3=1,"y","n")</f>
        <v>n</v>
      </c>
      <c r="CR3" s="59" t="str">
        <f>IF(AT3=2,"y","n")</f>
        <v>n</v>
      </c>
      <c r="CS3" s="59" t="str">
        <f>IF(AT3&gt;=3,"y","n")</f>
        <v>y</v>
      </c>
      <c r="CT3" s="69" t="str">
        <f>CHAR(34)&amp;A3&amp;CHAR(34)</f>
        <v>"[COM] Anjouan"</v>
      </c>
      <c r="CU3" s="70" t="str">
        <f>CHAR(34)&amp;"rgn_"&amp;R3&amp;CHAR(34)</f>
        <v>"rgn_Africa"</v>
      </c>
      <c r="CV3" s="48" t="str">
        <f>CHAR(34)&amp;D3&amp;CHAR(34)</f>
        <v>"https://upload.wikimedia.org/wikipedia/commons/thumb/a/a6/Flag_of_Anjouan_%28official%29.svg/383px-Flag_of_Anjouan_%28official%29.svg.png"</v>
      </c>
      <c r="CW3" s="48" t="str">
        <f>IF(CH3="y",CHAR(34)&amp;CH$1&amp;CHAR(34)&amp;",","")</f>
        <v>"2Color",</v>
      </c>
      <c r="CX3" s="48" t="str">
        <f>IF(CI3="y",CHAR(34)&amp;CI$1&amp;CHAR(34)&amp;",","")</f>
        <v/>
      </c>
      <c r="CY3" s="48" t="str">
        <f>IF(CJ3="y",CHAR(34)&amp;CJ$1&amp;CHAR(34)&amp;",","")</f>
        <v/>
      </c>
      <c r="CZ3" s="48" t="str">
        <f>IF(CK3="y",CHAR(34)&amp;CK$1&amp;CHAR(34)&amp;",","")</f>
        <v/>
      </c>
      <c r="DA3" s="48" t="str">
        <f>IF(Q3&gt;1,CHAR(34)&amp;"words2"&amp;CHAR(34)&amp;",","")</f>
        <v/>
      </c>
      <c r="DB3" s="48" t="str">
        <f>IF(Q3&gt;2,CHAR(34)&amp;"words3"&amp;CHAR(34)&amp;",","")</f>
        <v/>
      </c>
      <c r="DC3" s="48" t="str">
        <f>IF(Q3=2,CHAR(34)&amp;"exact2"&amp;CHAR(34)&amp;",","")</f>
        <v/>
      </c>
      <c r="DD3" s="48" t="str">
        <f>IF(LEN(CHAR(34)&amp;"lets"&amp;LEN(SUBSTITUTE(SUBSTITUTE(IFERROR(TRIM(SUBSTITUTE(SUBSTITUTE(SUBSTITUTE(IFERROR(TRIM(SUBSTITUTE(A3,MID(A3,FIND("(",A3),FIND(")",A3)-FIND("(",A3)+1),"")),A3),"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",""),"-",""))&amp;CHAR(34)&amp;",")=9,CHAR(34)&amp;"lets"&amp;LEN(SUBSTITUTE(SUBSTITUTE(IFERROR(TRIM(SUBSTITUTE(SUBSTITUTE(SUBSTITUTE(IFERROR(TRIM(SUBSTITUTE(A3,MID(A3,FIND("(",A3),FIND(")",A3)-FIND("(",A3)+1),"")),A3),"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",""),"-",""))&amp;CHAR(34)&amp;",",CHAR(34)&amp;"lets0"&amp;LEN(SUBSTITUTE(SUBSTITUTE(IFERROR(TRIM(SUBSTITUTE(SUBSTITUTE(SUBSTITUTE(IFERROR(TRIM(SUBSTITUTE(A3,MID(A3,FIND("(",A3),FIND(")",A3)-FIND("(",A3)+1),"")),A3),"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f>
        <v>"lets07",</v>
      </c>
      <c r="DE3" s="48" t="str">
        <f>IFERROR(CHAR(34)&amp;"start"&amp;LEFT(TRIM(SUBSTITUTE(SUBSTITUTE(TRIM(SUBSTITUTE(SUBSTITUTE(A3, MID(A3, FIND("[", A3), FIND("]", A3) - FIND("[", A3) + 1), ""), "  ", " ")), MID(TRIM(SUBSTITUTE(SUBSTITUTE(A3, MID(A3, FIND("[", A3), FIND("]", A3) - FIND("[", A3) + 1), ""), "  ", " ")), FIND("[", TRIM(SUBSTITUTE(SUBSTITUTE(A3, MID(A3, FIND("[", A3), FIND("]", A3) - FIND("[", A3) + 1), ""), "  ", " "))), FIND("]", TRIM(SUBSTITUTE(SUBSTITUTE(A3, MID(A3, FIND("[", A3), FIND("]", A3) - FIND("[", A3) + 1), ""), "  ", " "))) - FIND("[", TRIM(SUBSTITUTE(SUBSTITUTE(A3, MID(A3, FIND("[", A3), FIND("]", A3) - FIND("[", A3) + 1), ""), "  ", " "))) + 1), ""), "  ", " ")),1)&amp;CHAR(34)&amp;",",CHAR(34)&amp;"start"&amp;IFERROR(LEFT(SUBSTITUTE(A3,"["&amp;MID(A3,FIND("[",A3)+1,FIND("]",A3)-FIND("[",A3)-1)&amp;"] ",""),1),LEFT(A3,1))&amp;CHAR(34)&amp;",")</f>
        <v>"startA",</v>
      </c>
      <c r="DF3" s="48" t="str">
        <f>IFERROR(IF(SEARCH("tan",A3)&gt;0,CHAR(34)&amp;"withtn"&amp;CHAR(34)&amp;",",""),"")</f>
        <v/>
      </c>
      <c r="DG3" s="48" t="str">
        <f>IFERROR(IF(SEARCH("q",A3)&gt;0,CHAR(34)&amp;"with_q"&amp;CHAR(34)&amp;",",""),"")</f>
        <v/>
      </c>
      <c r="DH3" s="48" t="str">
        <f>IFERROR(IF(SEARCH("v",A3)&gt;0,CHAR(34)&amp;"with_v"&amp;CHAR(34)&amp;",",""),"")</f>
        <v/>
      </c>
      <c r="DI3" s="48" t="str">
        <f>IFERROR(IF(SEARCH("w",A3)&gt;0,CHAR(34)&amp;"with_w"&amp;CHAR(34)&amp;",",""),"")</f>
        <v/>
      </c>
      <c r="DJ3" s="48" t="str">
        <f>IFERROR(IF(SEARCH("y",A3)&gt;0,CHAR(34)&amp;"with_y"&amp;CHAR(34)&amp;",",""),"")</f>
        <v/>
      </c>
      <c r="DK3" s="48" t="str">
        <f>IFERROR(IF(SEARCH("z",A3)&gt;0,CHAR(34)&amp;"with_z"&amp;CHAR(34)&amp;",",""),"")</f>
        <v/>
      </c>
      <c r="DL3" s="48" t="str">
        <f>IF(CG3=2, CHAR(34) &amp; _xlfn.TEXTJOIN("", TRUE, _xlfn._xlws.SORT(HP3:HX3)) &amp; CHAR(34) &amp; ",", "")</f>
        <v>"REDWHI",</v>
      </c>
      <c r="DM3" s="48" t="str" cm="1">
        <f t="array" ref="DM3">IF(CG3=3,CHAR(34) &amp; _xlfn.TEXTJOIN("", TRUE, RIGHT(HP3:HX3, 2)) &amp; CHAR(34) &amp; ",", "")</f>
        <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
      </c>
      <c r="DP3" s="6" t="str">
        <f>IF(AND(ISNUMBER(SEARCH("20", O3)), ISERROR(SEARCH("1920", O3))), CHAR(34)&amp;"year00"&amp;CHAR(34)&amp;",", "")</f>
        <v>"year00",</v>
      </c>
      <c r="DQ3" s="6" t="str">
        <f>IF(CC3="y",CHAR(34)&amp;"soviet"&amp;CHAR(34)&amp;",","")</f>
        <v/>
      </c>
      <c r="DR3" s="6" t="str">
        <f>IF(BY3="y",CHAR(34)&amp;"dgband"&amp;CHAR(34)&amp;",","")</f>
        <v/>
      </c>
      <c r="DS3" s="6" t="str">
        <f>IF(W3="y",IF(AND(V3="n",BY3&lt;&gt;"y"),CHAR(34)&amp;"allver"&amp;CHAR(34)&amp;",",""),"")</f>
        <v/>
      </c>
      <c r="DT3" s="6" t="str">
        <f>IF(V3="y",IF(AND(W3="n",BY3&lt;&gt;"y"),CHAR(34)&amp;"allhor"&amp;CHAR(34)&amp;",",""),"")</f>
        <v/>
      </c>
      <c r="DU3" s="6" t="str">
        <f>IF(BY3="y",IF(AND(W3="n",V3="n"),CHAR(34)&amp;"alldia"&amp;CHAR(34)&amp;",",""),"")</f>
        <v/>
      </c>
      <c r="DV3" s="48" t="str">
        <f>IF(IA3&lt;&gt;"",(IF(IA3="y",CHAR(34)&amp;"largec"&amp;CHAR(34)&amp;",",CHAR(34)&amp;"smallc"&amp;CHAR(34)&amp;",")),"")</f>
        <v/>
      </c>
      <c r="DW3" s="48" t="str">
        <f>IF(CL3="y",CHAR(34)&amp;CL$1&amp;CHAR(34)&amp;",","")</f>
        <v>"NoBand",</v>
      </c>
      <c r="DX3" s="48" t="str">
        <f>IF(CM3="y",CHAR(34)&amp;CM$1&amp;CHAR(34)&amp;",","")</f>
        <v/>
      </c>
      <c r="DY3" s="48" t="str">
        <f>IF(CN3="y",CHAR(34)&amp;CN$1&amp;CHAR(34)&amp;",","")</f>
        <v/>
      </c>
      <c r="DZ3" s="48" t="str">
        <f>IF(CO3="y",CHAR(34)&amp;CO$1&amp;CHAR(34)&amp;",","")</f>
        <v/>
      </c>
      <c r="EA3" s="48" t="str">
        <f>IF(T3="y",CHAR(34)&amp;T$1&amp;CHAR(34)&amp;",","")</f>
        <v/>
      </c>
      <c r="EB3" s="48" t="str">
        <f>IF(U3="y",CHAR(34)&amp;U$1&amp;CHAR(34)&amp;",","")</f>
        <v/>
      </c>
      <c r="EC3" s="48" t="str">
        <f>IF(V3="y",CHAR(34)&amp;V$1&amp;CHAR(34)&amp;",","")</f>
        <v/>
      </c>
      <c r="ED3" s="48" t="str">
        <f>IF(W3="y",CHAR(34)&amp;W$1&amp;CHAR(34)&amp;",","")</f>
        <v/>
      </c>
      <c r="EE3" s="48" t="str">
        <f>IF(X3="y",CHAR(34)&amp;X$1&amp;CHAR(34)&amp;",","")</f>
        <v/>
      </c>
      <c r="EF3" s="48" t="str">
        <f>IF(AND(Y3&lt;&gt;"n",Y3&lt;&gt;""),CHAR(34)&amp;Y$1&amp;CHAR(34)&amp;",","")</f>
        <v/>
      </c>
      <c r="EG3" s="48" t="str">
        <f>IF(Z3="y",CHAR(34)&amp;Z$1&amp;CHAR(34)&amp;",","")</f>
        <v/>
      </c>
      <c r="EH3" s="48" t="str">
        <f>IF(AA3="y",CHAR(34)&amp;AA$1&amp;CHAR(34)&amp;",","")</f>
        <v/>
      </c>
      <c r="EI3" s="48" t="str">
        <f>IF(AB3="y",CHAR(34)&amp;AB$1&amp;CHAR(34)&amp;",","")</f>
        <v/>
      </c>
      <c r="EJ3" s="48" t="str">
        <f>IF(AC3="y",CHAR(34)&amp;AC$1&amp;CHAR(34)&amp;",","")</f>
        <v/>
      </c>
      <c r="EK3" s="48" t="str">
        <f>IF(AD3="y",CHAR(34)&amp;AD$1&amp;CHAR(34)&amp;",","")</f>
        <v/>
      </c>
      <c r="EL3" s="48" t="str">
        <f>IF(AE3="y",CHAR(34)&amp;AE$1&amp;CHAR(34)&amp;",","")</f>
        <v>"IsMoon",</v>
      </c>
      <c r="EM3" s="48" t="str">
        <f>IF(AF3="y",CHAR(34)&amp;AF$1&amp;CHAR(34)&amp;",","")</f>
        <v/>
      </c>
      <c r="EN3" s="48" t="str">
        <f>IF(AG3="y",CHAR(34)&amp;AG$1&amp;CHAR(34)&amp;",","")</f>
        <v/>
      </c>
      <c r="EO3" s="48" t="str">
        <f>IF(AH3="y",CHAR(34)&amp;AH$1&amp;CHAR(34)&amp;",","")</f>
        <v>"Center",</v>
      </c>
      <c r="EP3" s="48" t="str">
        <f>IF(AI3="y",CHAR(34)&amp;AI$1&amp;CHAR(34)&amp;",","")</f>
        <v/>
      </c>
      <c r="EQ3" s="48" t="str">
        <f>IF(AJ3="y",CHAR(34)&amp;AJ$1&amp;CHAR(34)&amp;",","")</f>
        <v/>
      </c>
      <c r="ER3" s="48" t="str">
        <f>IF(AK3="y",CHAR(34)&amp;AK$1&amp;CHAR(34)&amp;",","")</f>
        <v/>
      </c>
      <c r="ES3" s="48" t="str">
        <f>IF(AL3="y",CHAR(34)&amp;AL$1&amp;CHAR(34)&amp;",","")</f>
        <v/>
      </c>
      <c r="ET3" s="48" t="str">
        <f>IF(AM3="y",CHAR(34)&amp;AM$1&amp;CHAR(34)&amp;",","")</f>
        <v/>
      </c>
      <c r="EU3" s="48" t="str">
        <f>IF(AN3="y",CHAR(34)&amp;AN$1&amp;CHAR(34)&amp;",","")</f>
        <v/>
      </c>
      <c r="EV3" s="48" t="str">
        <f>IF(AO3="y",CHAR(34)&amp;AO$1&amp;CHAR(34)&amp;",","")</f>
        <v/>
      </c>
      <c r="EW3" s="48" t="str">
        <f>IF(AP3="y",CHAR(34)&amp;AP$1&amp;CHAR(34)&amp;",","")</f>
        <v/>
      </c>
      <c r="EX3" s="48" t="str">
        <f>IF(AQ3="y",CHAR(34)&amp;AQ$1&amp;CHAR(34)&amp;",","")</f>
        <v/>
      </c>
      <c r="EY3" s="48" t="str">
        <f>IF(AR3="y",CHAR(34)&amp;AR$1&amp;CHAR(34)&amp;",","")</f>
        <v/>
      </c>
      <c r="EZ3" s="48" t="str">
        <f>IF(AS3="y",CHAR(34)&amp;AS$1&amp;CHAR(34)&amp;",","")</f>
        <v/>
      </c>
      <c r="FA3" s="48" t="str">
        <f>IF(AT3&gt;0,CHAR(34)&amp;"sta"&amp;AZ3&amp;CHAR(34)&amp;",","")</f>
        <v>"staWHI",</v>
      </c>
      <c r="FB3" s="48" t="str">
        <f>IF(AND(AT3&gt;0,BA3&lt;&gt;""),CHAR(34)&amp;"sta"&amp;BA3&amp;CHAR(34)&amp;",","")</f>
        <v/>
      </c>
      <c r="FC3" s="48" t="str">
        <f>IF(AND(AT3&gt;0,BB3&lt;&gt;""),CHAR(34)&amp;"sta"&amp;BB3&amp;CHAR(34)&amp;",","")</f>
        <v/>
      </c>
      <c r="FD3" s="48" t="str">
        <f>IF(BV3="n",CHAR(34)&amp;"tcWHYE"&amp;CHAR(34)&amp;",",IF(BV3="y",CHAR(34)&amp;FD$1&amp;CHAR(34)&amp;",",""))</f>
        <v/>
      </c>
      <c r="FE3" s="48" t="str">
        <f>IF(COUNTIF(BL3:BT3,"BLU")=0,CHAR(34)&amp;"NO_BLU"&amp;CHAR(34)&amp;",", "")</f>
        <v>"NO_BLU",</v>
      </c>
      <c r="FF3" s="48" t="str">
        <f>IF(COUNTIF(BL3:BT3,"WHI")=0,CHAR(34)&amp;"NO_WHI"&amp;CHAR(34)&amp;",", "")</f>
        <v/>
      </c>
      <c r="FG3" s="48" t="str">
        <f>IF(COUNTIF(BL3:BT3,"RED")=0,CHAR(34)&amp;"NO_RED"&amp;CHAR(34)&amp;",", "")</f>
        <v/>
      </c>
      <c r="FH3" s="48" t="str">
        <f>IF(COUNTIF(BL3:BS3,"GRE")=0,CHAR(34)&amp;"NO_GRE"&amp;CHAR(34)&amp;",", "")</f>
        <v>"NO_GRE",</v>
      </c>
      <c r="FI3" s="48" t="str">
        <f>IF(COUNTIF(BL3:BT3,"YEL")=0,CHAR(34)&amp;"NO_YEL"&amp;CHAR(34)&amp;",", "")</f>
        <v>"NO_YEL",</v>
      </c>
      <c r="FJ3" s="48" t="str">
        <f>IF(COUNTIF(BL3:BT3,"BLA")=0,CHAR(34)&amp;"NO_BLA"&amp;CHAR(34)&amp;",", "")</f>
        <v>"NO_BLA",</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
      </c>
      <c r="FQ3" s="48" t="str">
        <f>IF(LEN(BF3)=3,CHAR(34)&amp;"001"&amp;BF3&amp;CHAR(34)&amp;",","")</f>
        <v/>
      </c>
      <c r="FR3" s="48" t="str">
        <f>IF(LEN(BG3)=3,CHAR(34)&amp;"002"&amp;BG3&amp;CHAR(34)&amp;",","")</f>
        <v/>
      </c>
      <c r="FS3" s="48" t="str">
        <f>IF(LEN(BH3)=3,CHAR(34)&amp;"003"&amp;BH3&amp;CHAR(34)&amp;",","")</f>
        <v/>
      </c>
      <c r="FT3" s="48" t="str">
        <f>CHAR(34)&amp;"myr"&amp;BD3&amp;CHAR(34)&amp;","</f>
        <v>"myrRED",</v>
      </c>
      <c r="FU3" s="48" t="str">
        <f>IF(AY3="y",CHAR(34)&amp;"island"&amp;CHAR(34)&amp;",","")</f>
        <v/>
      </c>
      <c r="FV3" s="48" t="str">
        <f>IF(BZ3="y",CHAR(34)&amp;"landlo"&amp;CHAR(34)&amp;",","")</f>
        <v/>
      </c>
      <c r="FW3" s="48" t="str">
        <f>IF(CA3="y",CHAR(34)&amp;"eunion"&amp;CHAR(34)&amp;",","")</f>
        <v/>
      </c>
      <c r="FX3" s="48" t="str">
        <f>SUBSTITUTE(IFERROR(SEARCH("[",A3),IFERROR(IF(AND(CA3&lt;&gt;"y",SEARCH("Europe",R3)&gt;0),CHAR(34)&amp;"noeuni"&amp;CHAR(34)&amp;",",""),"")),"1","")</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C3" s="48" t="str">
        <f>IFERROR(IF(SEARCH("Portuguese",CB3)&gt;0,CHAR(34)&amp;"portug"&amp;CHAR(34)&amp;",",""),"")</f>
        <v/>
      </c>
      <c r="GD3" s="48" t="str">
        <f>IFERROR(IF(SEARCH("German",CB3)&gt;0,CHAR(34)&amp;"german"&amp;CHAR(34)&amp;",",""),"")</f>
        <v/>
      </c>
      <c r="GE3" s="48" t="str">
        <f>IFERROR(IF(SEARCH("Dutch",CB3)&gt;0,CHAR(34)&amp;"dutchs"&amp;CHAR(34)&amp;",",""),"")</f>
        <v/>
      </c>
      <c r="GF3" s="48" t="str">
        <f>IFERROR(IF(SEARCH("Historical",AU3)&gt;0,CHAR(34)&amp;"histor"&amp;CHAR(34)&amp;",",""),"")</f>
        <v/>
      </c>
      <c r="GG3" s="48" t="str">
        <f>IF(BU3="y",CHAR(34)&amp;"unjack"&amp;CHAR(34)&amp;",","")</f>
        <v/>
      </c>
      <c r="GH3" s="48" t="str">
        <f>IF(CD3=1,CHAR(34)&amp;"southc"&amp;CHAR(34)&amp;",","")</f>
        <v/>
      </c>
      <c r="GI3" s="48" t="str">
        <f>IF(CE3=1,CHAR(34)&amp;"hasmap"&amp;CHAR(34)&amp;",","")</f>
        <v/>
      </c>
      <c r="GJ3" s="48" t="str">
        <f>IF(CP3="y",CHAR(34)&amp;CP$1&amp;CHAR(34)&amp;",","")</f>
        <v/>
      </c>
      <c r="GK3" s="48" t="str">
        <f>IF(GJ3="",CHAR(34)&amp;"HasSta"&amp;CHAR(34)&amp;",","")</f>
        <v>"HasSta",</v>
      </c>
      <c r="GL3" s="48" t="str">
        <f>IF(CQ3="y",CHAR(34)&amp;CQ$1&amp;CHAR(34)&amp;",","")</f>
        <v/>
      </c>
      <c r="GM3" s="48" t="str">
        <f>IF(CR3="y",CHAR(34)&amp;CR$1&amp;CHAR(34)&amp;",","")</f>
        <v/>
      </c>
      <c r="GN3" s="48" t="str">
        <f>IF(CS3="y",CHAR(34)&amp;CS$1&amp;CHAR(34)&amp;",","")</f>
        <v>"3+Star",</v>
      </c>
      <c r="GP3" s="48" t="str">
        <f>CHAR(34)&amp;AU3&amp;CHAR(34)</f>
        <v>"Autonomous Island"</v>
      </c>
      <c r="GS3" s="48" t="str">
        <f>SUBSTITUTE("["&amp;_xlfn.CONCAT(CW3:GN3)&amp;"]",",]","]")</f>
        <v>["2Color","lets07","startA","REDWHI","year00","NoBand","IsMoon","Center","staWHI","NO_BLU","NO_GRE","NO_YEL","NO_BLA","myrRED","HasSta","3+Star"]</v>
      </c>
      <c r="GT3" s="48" t="str">
        <f>IF(BL3&lt;&gt;"",CHAR(34)&amp;"cl_"&amp;BL3&amp;CHAR(34)&amp;",","")</f>
        <v>"cl_RED",</v>
      </c>
      <c r="GU3" s="48" t="str">
        <f>IF(BM3&lt;&gt;"",CHAR(34)&amp;"cl_"&amp;BM3&amp;CHAR(34)&amp;",","")</f>
        <v>"cl_WHI",</v>
      </c>
      <c r="GV3" s="48" t="str">
        <f>IF(BN3&lt;&gt;"",CHAR(34)&amp;"cl_"&amp;BN3&amp;CHAR(34)&amp;",","")</f>
        <v/>
      </c>
      <c r="GW3" s="48" t="str">
        <f>IF(BO3&lt;&gt;"",CHAR(34)&amp;"cl_"&amp;BO3&amp;CHAR(34)&amp;",","")</f>
        <v/>
      </c>
      <c r="GX3" s="48" t="str">
        <f>IF(BP3&lt;&gt;"",CHAR(34)&amp;"cl_"&amp;BP3&amp;CHAR(34)&amp;",","")</f>
        <v/>
      </c>
      <c r="GY3" s="48" t="str">
        <f>IF(BQ3&lt;&gt;"",CHAR(34)&amp;"cl_"&amp;BQ3&amp;CHAR(34)&amp;",","")</f>
        <v/>
      </c>
      <c r="GZ3" s="48" t="str">
        <f>IF(BR3&lt;&gt;"",CHAR(34)&amp;"cl_"&amp;BR3&amp;CHAR(34)&amp;",","")</f>
        <v/>
      </c>
      <c r="HA3" s="48" t="str">
        <f>IF(BS3&lt;&gt;"",CHAR(34)&amp;"cl_"&amp;BS3&amp;CHAR(34)&amp;",","")</f>
        <v/>
      </c>
      <c r="HB3" s="48" t="str">
        <f>IF(BT3&lt;&gt;"",CHAR(34)&amp;"cl_"&amp;BT3&amp;CHAR(34)&amp;",","")</f>
        <v/>
      </c>
      <c r="HC3" s="48" t="str">
        <f>SUBSTITUTE("["&amp;_xlfn.CONCAT(GT3:HB3)&amp;"]",",]","]")</f>
        <v>["cl_RED","cl_WHI"]</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{couname:"[COM] Anjouan",year:"2012 ",region:"rgn_Africa",Colors:["cl_RED","cl_WHI"],Items:["2Color","lets07","startA","REDWHI","year00","NoBand","IsMoon","Center","staWHI","NO_BLU","NO_GRE","NO_YEL","NO_BLA","myrRED","HasSta","3+Star"],Flag:"https://upload.wikimedia.org/wikipedia/commons/thumb/a/a6/Flag_of_Anjouan_%28official%29.svg/383px-Flag_of_Anjouan_%28official%29.svg.png",HDFlag:"https://upload.wikimedia.org/wikipedia/commons/thumb/a/a6/Flag_of_Anjouan_%28official%29.svg/2560px-Flag_of_Anjouan_%28official%29.svg.png",type:"Autonomous Island", describe: "\nAnjouan is an autonomous volcanic island in the Comoro Islands in the southwestern Indian Ocean, part of the Union of the Comoros.", isnew:".", links: "https://en.wikipedia.org/wiki/Anjouan"},</v>
      </c>
      <c r="HG3" s="73" t="str">
        <f>"{couname:"&amp;CT3&amp;(IF(HK3&lt;&gt;"",",subtype:"&amp;CHAR(34)&amp;HK3&amp;CHAR(34),""))&amp;",year:"&amp;HJ3&amp;",region:"&amp;CU3&amp;",Colors:"&amp;HC3&amp;",Items:"&amp;GS3&amp;",Flag:"&amp;CV3&amp;",HDFlag:"&amp;CHAR(34)&amp;E3&amp;CHAR(34)&amp;",type:"&amp;GP3&amp;", describe: "&amp;HI3&amp;", links: "&amp;HL3&amp;"},"</f>
        <v>{couname:"[COM] Anjouan",year:"2012 ",region:"rgn_Africa",Colors:["cl_RED","cl_WHI"],Items:["2Color","lets07","startA","REDWHI","year00","NoBand","IsMoon","Center","staWHI","NO_BLU","NO_GRE","NO_YEL","NO_BLA","myrRED","HasSta","3+Star"],Flag:"https://upload.wikimedia.org/wikipedia/commons/thumb/a/a6/Flag_of_Anjouan_%28official%29.svg/383px-Flag_of_Anjouan_%28official%29.svg.png",HDFlag:"https://upload.wikimedia.org/wikipedia/commons/thumb/a/a6/Flag_of_Anjouan_%28official%29.svg/2560px-Flag_of_Anjouan_%28official%29.svg.png",type:"Autonomous Island", describe: "\nAnjouan is an autonomous volcanic island in the Comoro Islands in the southwestern Indian Ocean, part of the Union of the Comoros.", links: "https://en.wikipedia.org/wiki/Anjouan"},</v>
      </c>
      <c r="HH3" s="48" t="str">
        <f>IF(P3&lt;&gt;"",CHAR(34)&amp;"\n"&amp;P3&amp;CHAR(34),CHAR(34)&amp;CHAR(34))</f>
        <v>"\nAnjouan is an autonomous volcanic island in the Comoro Islands in the southwestern Indian Ocean, part of the Union of the Comoros."</v>
      </c>
      <c r="HI3" s="48" t="str">
        <f>IF(J3=0,CHAR(34)&amp;CHAR(34),HH3)</f>
        <v>"\nAnjouan is an autonomous volcanic island in the Comoro Islands in the southwestern Indian Ocean, part of the Union of the Comoros."</v>
      </c>
      <c r="HJ3" s="48" t="str">
        <f>CHAR(34)&amp;O3&amp;CHAR(34)</f>
        <v>"2012 "</v>
      </c>
      <c r="HL3" s="48" t="str">
        <f>CHAR(34)&amp;I3&amp;CHAR(34)</f>
        <v>"https://en.wikipedia.org/wiki/Anjouan"</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{"couname":"[COM] Anjouan","year":"2012 ","region":"rgn_Africa","Colors":["cl_RED","cl_WHI"],"Items":["2Color","lets07","startA","REDWHI","year00","NoBand","IsMoon","Center","staWHI","NO_BLU","NO_GRE","NO_YEL","NO_BLA","myrRED","HasSta","3+Star"],"Flag":"https://upload.wikimedia.org/wikipedia/commons/thumb/a/a6/Flag_of_Anjouan_%28official%29.svg/383px-Flag_of_Anjouan_%28official%29.svg.png","HDFlag":"https://upload.wikimedia.org/wikipedia/commons/thumb/a/a6/Flag_of_Anjouan_%28official%29.svg/2560px-Flag_of_Anjouan_%28official%29.svg.png","type":"Autonomous Island", "describe": "\nAnjouan is an autonomous volcanic island in the Comoro Islands in the southwestern Indian Ocean, part of the Union of the Comoros.", "isnew": ".", "links": "https://en.wikipedia.org/wiki/Anjouan"},</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{"couname":"[COM] Anjouan","year":"2012 ","region":"rgn_Africa","Colors":["cl_RED","cl_WHI"],"Items":["2Color","lets07","startA","REDWHI","year00","NoBand","IsMoon","Center","staWHI","NO_BLU","NO_GRE","NO_YEL","NO_BLA","myrRED","HasSta","3+Star"],"Flag":"https://upload.wikimedia.org/wikipedia/commons/thumb/a/a6/Flag_of_Anjouan_%28official%29.svg/383px-Flag_of_Anjouan_%28official%29.svg.png","HDFlag":"https://upload.wikimedia.org/wikipedia/commons/thumb/a/a6/Flag_of_Anjouan_%28official%29.svg/2560px-Flag_of_Anjouan_%28official%29.svg.png","type":"Autonomous Island", "describe": "\nAnjouan is an autonomous volcanic island in the Comoro Islands in the southwestern Indian Ocean, part of the Union of the Comoros.", "isnew": ".", "links": "https://en.wikipedia.org/wiki/Anjouan"},</v>
      </c>
      <c r="HO3" s="75"/>
      <c r="HP3" s="48" t="str" cm="1">
        <f t="array" ref="HP3">IF(_xlfn.TEXTJOIN(", ", TRUE, IF(ISNUMBER(SEARCH("BLA", BL3:BT3)), COLUMN(BL3:BT3) - COLUMN(BL3) + 1, ""))&lt;&gt;"","BLA","")</f>
        <v/>
      </c>
      <c r="HQ3" s="48" t="str" cm="1">
        <f t="array" ref="HQ3">IF(_xlfn.TEXTJOIN(", ", TRUE, IF(ISNUMBER(SEARCH("BLU", BL3:BT3)), COLUMN(BL3:BT3) - COLUMN(BL3) + 1, ""))&lt;&gt;"","BLU","")</f>
        <v/>
      </c>
      <c r="HR3" s="48" t="str" cm="1">
        <f t="array" ref="HR3">IF(_xlfn.TEXTJOIN(", ", TRUE, IF(ISNUMBER(SEARCH("GRE", BL3:BT3)), COLUMN(BL3:BT3) - COLUMN(BL3) + 1, ""))&lt;&gt;"","GRE","")</f>
        <v/>
      </c>
      <c r="HS3" s="48" t="str" cm="1">
        <f t="array" ref="HS3">IF(_xlfn.TEXTJOIN(", ", TRUE, IF(ISNUMBER(SEARCH("RED", BL3:BT3)), COLUMN(BL3:BT3) - COLUMN(BL3) + 1, ""))&lt;&gt;"","RED","")</f>
        <v>RED</v>
      </c>
      <c r="HT3" s="48" t="str" cm="1">
        <f t="array" ref="HT3">IF(_xlfn.TEXTJOIN(", ", TRUE, IF(ISNUMBER(SEARCH("YEL", BL3:BT3)), COLUMN(BL3:BT3) - COLUMN(BL3) + 1, ""))&lt;&gt;"","YEL","")</f>
        <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L3" s="48">
        <f>SUM(IC3:IK3)</f>
        <v>0</v>
      </c>
      <c r="IM3" s="45">
        <f>COUNTIF(IC3:IK3,"&gt;0")-CG3</f>
        <v>-2</v>
      </c>
      <c r="IN3" s="78" t="str">
        <f>"http://mkweb.bcgsc.ca/color-summarizer/?url="&amp;D3&amp;"&amp;precision=low&amp;num_clusters="&amp;CG3&amp;"&amp;text=1"</f>
        <v>http://mkweb.bcgsc.ca/color-summarizer/?url=https://upload.wikimedia.org/wikipedia/commons/thumb/a/a6/Flag_of_Anjouan_%28official%29.svg/383px-Flag_of_Anjouan_%28official%29.svg.png&amp;precision=low&amp;num_clusters=2&amp;text=1</v>
      </c>
      <c r="IO3" s="48" t="str">
        <f>IF(HP3&lt;&gt;"",CHAR(34)&amp;"black"&amp;CHAR(34),"")</f>
        <v/>
      </c>
      <c r="IP3" s="48" t="str">
        <f>IF(HQ3&lt;&gt;"",CHAR(34)&amp;"blue"&amp;CHAR(34),"")</f>
        <v/>
      </c>
      <c r="IQ3" s="48" t="str">
        <f>IF(HR3&lt;&gt;"",CHAR(34)&amp;"green"&amp;CHAR(34),"")</f>
        <v/>
      </c>
      <c r="IR3" s="48" t="str">
        <f>IF(HS3&lt;&gt;"",CHAR(34)&amp;"red"&amp;CHAR(34),"")</f>
        <v>"red"</v>
      </c>
      <c r="IS3" s="48" t="str">
        <f>IF(HT3&lt;&gt;"",CHAR(34)&amp;"yellow"&amp;CHAR(34),"")</f>
        <v/>
      </c>
      <c r="IT3" s="48" t="str">
        <f>IF(HU3&lt;&gt;"",CHAR(34)&amp;"orange"&amp;CHAR(34),"")</f>
        <v/>
      </c>
      <c r="IU3" s="48" t="str">
        <f>IF(HV3&lt;&gt;"",CHAR(34)&amp;"brown"&amp;CHAR(34),"")</f>
        <v/>
      </c>
      <c r="IV3" s="48" t="str">
        <f>IF(HW3&lt;&gt;"",CHAR(34)&amp;"purple"&amp;CHAR(34),"")</f>
        <v/>
      </c>
      <c r="IW3" s="48" t="str">
        <f>IF(HX3&lt;&gt;"",CHAR(34)&amp;"white"&amp;CHAR(34),"")</f>
        <v>"white"</v>
      </c>
      <c r="IX3" s="48" t="str">
        <f>"{"&amp;CHAR(34)&amp;"url"&amp;CHAR(34)&amp;":"&amp;CHAR(34)&amp;IN3&amp;CHAR(34)&amp;","&amp;CHAR(34)&amp;"name"&amp;CHAR(34)&amp;":"&amp;CHAR(34)&amp;A3&amp;CHAR(34)&amp;"},"</f>
        <v>{"url":"http://mkweb.bcgsc.ca/color-summarizer/?url=https://upload.wikimedia.org/wikipedia/commons/thumb/a/a6/Flag_of_Anjouan_%28official%29.svg/383px-Flag_of_Anjouan_%28official%29.svg.png&amp;precision=low&amp;num_clusters=2&amp;text=1","name":"[COM] Anjouan"},</v>
      </c>
      <c r="IY3" s="48">
        <v>379</v>
      </c>
    </row>
    <row r="4" spans="1:259" s="48" customFormat="1" ht="38.4" customHeight="1" thickBot="1" x14ac:dyDescent="0.35">
      <c r="A4" s="79" t="s">
        <v>721</v>
      </c>
      <c r="B4" s="40" t="e" vm="26">
        <v>#VALUE!</v>
      </c>
      <c r="C4" s="41">
        <v>2</v>
      </c>
      <c r="D4" s="42" t="s">
        <v>722</v>
      </c>
      <c r="E4" s="43" t="s">
        <v>723</v>
      </c>
      <c r="F4" s="44" t="s">
        <v>163</v>
      </c>
      <c r="G4" s="45">
        <f>COUNTIF($A$1:$A$8369,A4)</f>
        <v>1</v>
      </c>
      <c r="H4" s="46"/>
      <c r="I4" s="47" t="s">
        <v>724</v>
      </c>
      <c r="J4" s="48" t="str">
        <f>""</f>
        <v/>
      </c>
      <c r="K4" s="49"/>
      <c r="L4" s="50"/>
      <c r="M4" s="50"/>
      <c r="N4" s="51" t="s">
        <v>180</v>
      </c>
      <c r="O4" s="52" t="s">
        <v>725</v>
      </c>
      <c r="P4" s="53" t="s">
        <v>726</v>
      </c>
      <c r="Q4" s="54">
        <v>2</v>
      </c>
      <c r="R4" s="55" t="s">
        <v>180</v>
      </c>
      <c r="S4" s="56">
        <v>0</v>
      </c>
      <c r="T4" s="57" t="s">
        <v>164</v>
      </c>
      <c r="U4" s="58" t="s">
        <v>164</v>
      </c>
      <c r="V4" s="58" t="s">
        <v>164</v>
      </c>
      <c r="W4" s="58" t="s">
        <v>164</v>
      </c>
      <c r="X4" s="58" t="s">
        <v>164</v>
      </c>
      <c r="Y4" s="58" t="s">
        <v>164</v>
      </c>
      <c r="Z4" s="58" t="s">
        <v>164</v>
      </c>
      <c r="AA4" s="58" t="s">
        <v>164</v>
      </c>
      <c r="AB4" s="58" t="s">
        <v>164</v>
      </c>
      <c r="AC4" s="58" t="s">
        <v>164</v>
      </c>
      <c r="AD4" s="58" t="s">
        <v>164</v>
      </c>
      <c r="AE4" s="58" t="s">
        <v>167</v>
      </c>
      <c r="AF4" s="59" t="s">
        <v>164</v>
      </c>
      <c r="AG4" s="59" t="s">
        <v>164</v>
      </c>
      <c r="AH4" s="59" t="s">
        <v>164</v>
      </c>
      <c r="AI4" s="59" t="s">
        <v>164</v>
      </c>
      <c r="AJ4" s="59" t="s">
        <v>164</v>
      </c>
      <c r="AK4" s="59" t="s">
        <v>164</v>
      </c>
      <c r="AL4" s="59" t="s">
        <v>164</v>
      </c>
      <c r="AM4" s="59" t="s">
        <v>164</v>
      </c>
      <c r="AN4" s="59" t="s">
        <v>164</v>
      </c>
      <c r="AO4" s="59" t="s">
        <v>164</v>
      </c>
      <c r="AP4" s="59" t="s">
        <v>164</v>
      </c>
      <c r="AQ4" s="59" t="s">
        <v>164</v>
      </c>
      <c r="AR4" s="59" t="s">
        <v>164</v>
      </c>
      <c r="AS4" s="59" t="s">
        <v>164</v>
      </c>
      <c r="AT4" s="60">
        <v>4</v>
      </c>
      <c r="AU4" s="59" t="s">
        <v>720</v>
      </c>
      <c r="AV4" s="59" t="str">
        <f>IF(LEFT(A4,1)="[",LEFT(A4,5)&amp;AU4&amp;A4,"")</f>
        <v>[COM]Autonomous Island[COM] Grande Comore</v>
      </c>
      <c r="AW4" s="59" t="str">
        <f t="shared" si="0"/>
        <v>2[COM] Grande Comore</v>
      </c>
      <c r="AX4" s="61"/>
      <c r="AY4" s="61"/>
      <c r="AZ4" s="62" t="s">
        <v>159</v>
      </c>
      <c r="BA4" s="62"/>
      <c r="BB4" s="62"/>
      <c r="BC4" s="63"/>
      <c r="BD4" s="64" t="s">
        <v>152</v>
      </c>
      <c r="BE4" s="47"/>
      <c r="BF4" s="64" t="s">
        <v>541</v>
      </c>
      <c r="BG4" s="64" t="s">
        <v>541</v>
      </c>
      <c r="BH4" s="64" t="s">
        <v>541</v>
      </c>
      <c r="BI4" s="64"/>
      <c r="BJ4" s="64"/>
      <c r="BK4" s="47"/>
      <c r="BL4" s="64" t="s">
        <v>152</v>
      </c>
      <c r="BM4" s="64" t="s">
        <v>159</v>
      </c>
      <c r="BN4" s="64"/>
      <c r="BO4" s="64"/>
      <c r="BP4" s="64"/>
      <c r="BQ4" s="64"/>
      <c r="BR4" s="64"/>
      <c r="BS4" s="64"/>
      <c r="BT4" s="64"/>
      <c r="BU4" s="65"/>
      <c r="BV4" s="66"/>
      <c r="BW4" s="66">
        <v>0</v>
      </c>
      <c r="BX4" s="47"/>
      <c r="CB4" s="6"/>
      <c r="CC4" s="6"/>
      <c r="CD4" s="67">
        <v>0</v>
      </c>
      <c r="CE4" s="67">
        <v>0</v>
      </c>
      <c r="CF4" s="67" t="e">
        <v>#REF!</v>
      </c>
      <c r="CG4" s="68" cm="1">
        <f t="array" ref="CG4">SUMPRODUCT(--(LEN(TRIM(BL4:BT4))&gt;0))</f>
        <v>2</v>
      </c>
      <c r="CH4" s="59" t="str">
        <f>IF(CG4=2,"y","n")</f>
        <v>y</v>
      </c>
      <c r="CI4" s="59" t="str">
        <f>IF(CG4=3,"y","n")</f>
        <v>n</v>
      </c>
      <c r="CJ4" s="59" t="str">
        <f>IF(CG4=4,"y","n")</f>
        <v>n</v>
      </c>
      <c r="CK4" s="59" t="str">
        <f>IF(CG4&gt;4,"y","n")</f>
        <v>n</v>
      </c>
      <c r="CL4" s="59" t="str">
        <f>IF(S4=0,"y","n")</f>
        <v>y</v>
      </c>
      <c r="CM4" s="59" t="str">
        <f>IF(S4=2,"y","n")</f>
        <v>n</v>
      </c>
      <c r="CN4" s="59" t="str">
        <f>IF(S4=3,"y","n")</f>
        <v>n</v>
      </c>
      <c r="CO4" s="59" t="str">
        <f>IF(S4&gt;=4,"y","n")</f>
        <v>n</v>
      </c>
      <c r="CP4" s="59" t="str">
        <f>IF(AT4=0,"y","n")</f>
        <v>n</v>
      </c>
      <c r="CQ4" s="59" t="str">
        <f>IF(AT4=1,"y","n")</f>
        <v>n</v>
      </c>
      <c r="CR4" s="59" t="str">
        <f>IF(AT4=2,"y","n")</f>
        <v>n</v>
      </c>
      <c r="CS4" s="59" t="str">
        <f>IF(AT4&gt;=3,"y","n")</f>
        <v>y</v>
      </c>
      <c r="CT4" s="69" t="str">
        <f>CHAR(34)&amp;A4&amp;CHAR(34)</f>
        <v>"[COM] Grande Comore"</v>
      </c>
      <c r="CU4" s="70" t="str">
        <f>CHAR(34)&amp;"rgn_"&amp;R4&amp;CHAR(34)</f>
        <v>"rgn_Africa"</v>
      </c>
      <c r="CV4" s="48" t="str">
        <f>CHAR(34)&amp;D4&amp;CHAR(34)</f>
        <v>"https://upload.wikimedia.org/wikipedia/commons/thumb/3/33/Flag_of_Grande_Comore.svg/383px-Flag_of_Grande_Comore.svg.png"</v>
      </c>
      <c r="CW4" s="48" t="str">
        <f>IF(CH4="y",CHAR(34)&amp;CH$1&amp;CHAR(34)&amp;",","")</f>
        <v>"2Color",</v>
      </c>
      <c r="CX4" s="48" t="str">
        <f>IF(CI4="y",CHAR(34)&amp;CI$1&amp;CHAR(34)&amp;",","")</f>
        <v/>
      </c>
      <c r="CY4" s="48" t="str">
        <f>IF(CJ4="y",CHAR(34)&amp;CJ$1&amp;CHAR(34)&amp;",","")</f>
        <v/>
      </c>
      <c r="CZ4" s="48" t="str">
        <f>IF(CK4="y",CHAR(34)&amp;CK$1&amp;CHAR(34)&amp;",","")</f>
        <v/>
      </c>
      <c r="DA4" s="48" t="str">
        <f>IF(Q4&gt;1,CHAR(34)&amp;"words2"&amp;CHAR(34)&amp;",","")</f>
        <v>"words2",</v>
      </c>
      <c r="DB4" s="48" t="str">
        <f>IF(Q4&gt;2,CHAR(34)&amp;"words3"&amp;CHAR(34)&amp;",","")</f>
        <v/>
      </c>
      <c r="DC4" s="48" t="str">
        <f>IF(Q4=2,CHAR(34)&amp;"exact2"&amp;CHAR(34)&amp;",","")</f>
        <v>"exact2",</v>
      </c>
      <c r="DD4" s="48" t="str">
        <f>IF(LEN(CHAR(34)&amp;"lets"&amp;LEN(SUBSTITUTE(SUBSTITUTE(IFERROR(TRIM(SUBSTITUTE(SUBSTITUTE(SUBSTITUTE(IFERROR(TRIM(SUBSTITUTE(A4,MID(A4,FIND("(",A4),FIND(")",A4)-FIND("(",A4)+1),"")),A4)," ",""),"-",""),MID(SUBSTITUTE(SUBSTITUTE(IFERROR(TRIM(SUBSTITUTE(A4,MID(A4,FIND("(",A4),FIND(")",A4)-FIND("(",A4)+1),"")),A4)," ",""),"-",""),FIND("[",SUBSTITUTE(SUBSTITUTE(IFERROR(TRIM(SUBSTITUTE(A4,MID(A4,FIND("(",A4),FIND(")",A4)-FIND("(",A4)+1),"")),A4)," ",""),"-","")),FIND("]",SUBSTITUTE(SUBSTITUTE(IFERROR(TRIM(SUBSTITUTE(A4,MID(A4,FIND("(",A4),FIND(")",A4)-FIND("(",A4)+1),"")),A4)," ",""),"-",""))-FIND("[",SUBSTITUTE(SUBSTITUTE(IFERROR(TRIM(SUBSTITUTE(A4,MID(A4,FIND("(",A4),FIND(")",A4)-FIND("(",A4)+1),"")),A4)," ",""),"-",""))+1),"")),SUBSTITUTE(SUBSTITUTE(IFERROR(TRIM(SUBSTITUTE(A4,MID(A4,FIND("(",A4),FIND(")",A4)-FIND("(",A4)+1),"")),A4)," ",""),"-",""))," ",""),"-",""))&amp;CHAR(34)&amp;",")=9,CHAR(34)&amp;"lets"&amp;LEN(SUBSTITUTE(SUBSTITUTE(IFERROR(TRIM(SUBSTITUTE(SUBSTITUTE(SUBSTITUTE(IFERROR(TRIM(SUBSTITUTE(A4,MID(A4,FIND("(",A4),FIND(")",A4)-FIND("(",A4)+1),"")),A4)," ",""),"-",""),MID(SUBSTITUTE(SUBSTITUTE(IFERROR(TRIM(SUBSTITUTE(A4,MID(A4,FIND("(",A4),FIND(")",A4)-FIND("(",A4)+1),"")),A4)," ",""),"-",""),FIND("[",SUBSTITUTE(SUBSTITUTE(IFERROR(TRIM(SUBSTITUTE(A4,MID(A4,FIND("(",A4),FIND(")",A4)-FIND("(",A4)+1),"")),A4)," ",""),"-","")),FIND("]",SUBSTITUTE(SUBSTITUTE(IFERROR(TRIM(SUBSTITUTE(A4,MID(A4,FIND("(",A4),FIND(")",A4)-FIND("(",A4)+1),"")),A4)," ",""),"-",""))-FIND("[",SUBSTITUTE(SUBSTITUTE(IFERROR(TRIM(SUBSTITUTE(A4,MID(A4,FIND("(",A4),FIND(")",A4)-FIND("(",A4)+1),"")),A4)," ",""),"-",""))+1),"")),SUBSTITUTE(SUBSTITUTE(IFERROR(TRIM(SUBSTITUTE(A4,MID(A4,FIND("(",A4),FIND(")",A4)-FIND("(",A4)+1),"")),A4)," ",""),"-",""))," ",""),"-",""))&amp;CHAR(34)&amp;",",CHAR(34)&amp;"lets0"&amp;LEN(SUBSTITUTE(SUBSTITUTE(IFERROR(TRIM(SUBSTITUTE(SUBSTITUTE(SUBSTITUTE(IFERROR(TRIM(SUBSTITUTE(A4,MID(A4,FIND("(",A4),FIND(")",A4)-FIND("(",A4)+1),"")),A4)," ",""),"-",""),MID(SUBSTITUTE(SUBSTITUTE(IFERROR(TRIM(SUBSTITUTE(A4,MID(A4,FIND("(",A4),FIND(")",A4)-FIND("(",A4)+1),"")),A4)," ",""),"-",""),FIND("[",SUBSTITUTE(SUBSTITUTE(IFERROR(TRIM(SUBSTITUTE(A4,MID(A4,FIND("(",A4),FIND(")",A4)-FIND("(",A4)+1),"")),A4)," ",""),"-","")),FIND("]",SUBSTITUTE(SUBSTITUTE(IFERROR(TRIM(SUBSTITUTE(A4,MID(A4,FIND("(",A4),FIND(")",A4)-FIND("(",A4)+1),"")),A4)," ",""),"-",""))-FIND("[",SUBSTITUTE(SUBSTITUTE(IFERROR(TRIM(SUBSTITUTE(A4,MID(A4,FIND("(",A4),FIND(")",A4)-FIND("(",A4)+1),"")),A4)," ",""),"-",""))+1),"")),SUBSTITUTE(SUBSTITUTE(IFERROR(TRIM(SUBSTITUTE(A4,MID(A4,FIND("(",A4),FIND(")",A4)-FIND("(",A4)+1),"")),A4)," ",""),"-",""))," ",""),"-",""))&amp;CHAR(34)&amp;",")</f>
        <v>"lets12",</v>
      </c>
      <c r="DE4" s="48" t="str">
        <f>IFERROR(CHAR(34)&amp;"start"&amp;LEFT(TRIM(SUBSTITUTE(SUBSTITUTE(TRIM(SUBSTITUTE(SUBSTITUTE(A4, MID(A4, FIND("[", A4), FIND("]", A4) - FIND("[", A4) + 1), ""), "  ", " ")), MID(TRIM(SUBSTITUTE(SUBSTITUTE(A4, MID(A4, FIND("[", A4), FIND("]", A4) - FIND("[", A4) + 1), ""), "  ", " ")), FIND("[", TRIM(SUBSTITUTE(SUBSTITUTE(A4, MID(A4, FIND("[", A4), FIND("]", A4) - FIND("[", A4) + 1), ""), "  ", " "))), FIND("]", TRIM(SUBSTITUTE(SUBSTITUTE(A4, MID(A4, FIND("[", A4), FIND("]", A4) - FIND("[", A4) + 1), ""), "  ", " "))) - FIND("[", TRIM(SUBSTITUTE(SUBSTITUTE(A4, MID(A4, FIND("[", A4), FIND("]", A4) - FIND("[", A4) + 1), ""), "  ", " "))) + 1), ""), "  ", " ")),1)&amp;CHAR(34)&amp;",",CHAR(34)&amp;"start"&amp;IFERROR(LEFT(SUBSTITUTE(A4,"["&amp;MID(A4,FIND("[",A4)+1,FIND("]",A4)-FIND("[",A4)-1)&amp;"] ",""),1),LEFT(A4,1))&amp;CHAR(34)&amp;",")</f>
        <v>"startG",</v>
      </c>
      <c r="DF4" s="48" t="str">
        <f>IFERROR(IF(SEARCH("tan",A4)&gt;0,CHAR(34)&amp;"withtn"&amp;CHAR(34)&amp;",",""),"")</f>
        <v/>
      </c>
      <c r="DG4" s="48" t="str">
        <f>IFERROR(IF(SEARCH("q",A4)&gt;0,CHAR(34)&amp;"with_q"&amp;CHAR(34)&amp;",",""),"")</f>
        <v/>
      </c>
      <c r="DH4" s="48" t="str">
        <f>IFERROR(IF(SEARCH("v",A4)&gt;0,CHAR(34)&amp;"with_v"&amp;CHAR(34)&amp;",",""),"")</f>
        <v/>
      </c>
      <c r="DI4" s="48" t="str">
        <f>IFERROR(IF(SEARCH("w",A4)&gt;0,CHAR(34)&amp;"with_w"&amp;CHAR(34)&amp;",",""),"")</f>
        <v/>
      </c>
      <c r="DJ4" s="48" t="str">
        <f>IFERROR(IF(SEARCH("y",A4)&gt;0,CHAR(34)&amp;"with_y"&amp;CHAR(34)&amp;",",""),"")</f>
        <v/>
      </c>
      <c r="DK4" s="48" t="str">
        <f>IFERROR(IF(SEARCH("z",A4)&gt;0,CHAR(34)&amp;"with_z"&amp;CHAR(34)&amp;",",""),"")</f>
        <v/>
      </c>
      <c r="DL4" s="48" t="str">
        <f>IF(CG4=2, CHAR(34) &amp; _xlfn.TEXTJOIN("", TRUE, _xlfn._xlws.SORT(HP4:HX4)) &amp; CHAR(34) &amp; ",", "")</f>
        <v>"BLUWHI",</v>
      </c>
      <c r="DM4" s="48" t="str" cm="1">
        <f t="array" ref="DM4">IF(CG4=3,CHAR(34) &amp; _xlfn.TEXTJOIN("", TRUE, RIGHT(HP4:HX4, 2)) &amp; CHAR(34) &amp; ",", "")</f>
        <v/>
      </c>
      <c r="DN4" s="48" t="str">
        <f>IF(AND(ISNUMBER(SEARCH("18", O4)), ISERROR(SEARCH("1918", O4)), ISERROR(SEARCH("2018", O4))), CHAR(34) &amp; "year18" &amp; CHAR(34) &amp; ",", "")</f>
        <v/>
      </c>
      <c r="DO4" s="48" t="str">
        <f>IF(AND(ISNUMBER(SEARCH("19", O4)), ISERROR(SEARCH("1819", O4)),  ISERROR(SEARCH("1219", O4)),ISERROR(SEARCH("1119", O4)),ISERROR(SEARCH("1190", O4)),ISERROR(SEARCH("2019", O4))), CHAR(34) &amp; "year19" &amp; CHAR(34) &amp; ",", "")</f>
        <v/>
      </c>
      <c r="DP4" s="6" t="str">
        <f>IF(AND(ISNUMBER(SEARCH("20", O4)), ISERROR(SEARCH("1920", O4))), CHAR(34)&amp;"year00"&amp;CHAR(34)&amp;",", "")</f>
        <v>"year00",</v>
      </c>
      <c r="DQ4" s="6" t="str">
        <f>IF(CC4="y",CHAR(34)&amp;"soviet"&amp;CHAR(34)&amp;",","")</f>
        <v/>
      </c>
      <c r="DR4" s="6" t="str">
        <f>IF(BY4="y",CHAR(34)&amp;"dgband"&amp;CHAR(34)&amp;",","")</f>
        <v/>
      </c>
      <c r="DS4" s="6" t="str">
        <f>IF(W4="y",IF(AND(V4="n",BY4&lt;&gt;"y"),CHAR(34)&amp;"allver"&amp;CHAR(34)&amp;",",""),"")</f>
        <v/>
      </c>
      <c r="DT4" s="6" t="str">
        <f>IF(V4="y",IF(AND(W4="n",BY4&lt;&gt;"y"),CHAR(34)&amp;"allhor"&amp;CHAR(34)&amp;",",""),"")</f>
        <v/>
      </c>
      <c r="DU4" s="6" t="str">
        <f>IF(BY4="y",IF(AND(W4="n",V4="n"),CHAR(34)&amp;"alldia"&amp;CHAR(34)&amp;",",""),"")</f>
        <v/>
      </c>
      <c r="DV4" s="48" t="str">
        <f>IF(IA4&lt;&gt;"",(IF(IA4="y",CHAR(34)&amp;"largec"&amp;CHAR(34)&amp;",",CHAR(34)&amp;"smallc"&amp;CHAR(34)&amp;",")),"")</f>
        <v/>
      </c>
      <c r="DW4" s="48" t="str">
        <f>IF(CL4="y",CHAR(34)&amp;CL$1&amp;CHAR(34)&amp;",","")</f>
        <v>"NoBand",</v>
      </c>
      <c r="DX4" s="48" t="str">
        <f>IF(CM4="y",CHAR(34)&amp;CM$1&amp;CHAR(34)&amp;",","")</f>
        <v/>
      </c>
      <c r="DY4" s="48" t="str">
        <f>IF(CN4="y",CHAR(34)&amp;CN$1&amp;CHAR(34)&amp;",","")</f>
        <v/>
      </c>
      <c r="DZ4" s="48" t="str">
        <f>IF(CO4="y",CHAR(34)&amp;CO$1&amp;CHAR(34)&amp;",","")</f>
        <v/>
      </c>
      <c r="EA4" s="48" t="str">
        <f>IF(T4="y",CHAR(34)&amp;T$1&amp;CHAR(34)&amp;",","")</f>
        <v/>
      </c>
      <c r="EB4" s="48" t="str">
        <f>IF(U4="y",CHAR(34)&amp;U$1&amp;CHAR(34)&amp;",","")</f>
        <v/>
      </c>
      <c r="EC4" s="48" t="str">
        <f>IF(V4="y",CHAR(34)&amp;V$1&amp;CHAR(34)&amp;",","")</f>
        <v/>
      </c>
      <c r="ED4" s="48" t="str">
        <f>IF(W4="y",CHAR(34)&amp;W$1&amp;CHAR(34)&amp;",","")</f>
        <v/>
      </c>
      <c r="EE4" s="48" t="str">
        <f>IF(X4="y",CHAR(34)&amp;X$1&amp;CHAR(34)&amp;",","")</f>
        <v/>
      </c>
      <c r="EF4" s="48" t="str">
        <f>IF(AND(Y4&lt;&gt;"n",Y4&lt;&gt;""),CHAR(34)&amp;Y$1&amp;CHAR(34)&amp;",","")</f>
        <v/>
      </c>
      <c r="EG4" s="48" t="str">
        <f>IF(Z4="y",CHAR(34)&amp;Z$1&amp;CHAR(34)&amp;",","")</f>
        <v/>
      </c>
      <c r="EH4" s="48" t="str">
        <f>IF(AA4="y",CHAR(34)&amp;AA$1&amp;CHAR(34)&amp;",","")</f>
        <v/>
      </c>
      <c r="EI4" s="48" t="str">
        <f>IF(AB4="y",CHAR(34)&amp;AB$1&amp;CHAR(34)&amp;",","")</f>
        <v/>
      </c>
      <c r="EJ4" s="48" t="str">
        <f>IF(AC4="y",CHAR(34)&amp;AC$1&amp;CHAR(34)&amp;",","")</f>
        <v/>
      </c>
      <c r="EK4" s="48" t="str">
        <f>IF(AD4="y",CHAR(34)&amp;AD$1&amp;CHAR(34)&amp;",","")</f>
        <v/>
      </c>
      <c r="EL4" s="48" t="str">
        <f>IF(AE4="y",CHAR(34)&amp;AE$1&amp;CHAR(34)&amp;",","")</f>
        <v>"IsMoon",</v>
      </c>
      <c r="EM4" s="48" t="str">
        <f>IF(AF4="y",CHAR(34)&amp;AF$1&amp;CHAR(34)&amp;",","")</f>
        <v/>
      </c>
      <c r="EN4" s="48" t="str">
        <f>IF(AG4="y",CHAR(34)&amp;AG$1&amp;CHAR(34)&amp;",","")</f>
        <v/>
      </c>
      <c r="EO4" s="48" t="str">
        <f>IF(AH4="y",CHAR(34)&amp;AH$1&amp;CHAR(34)&amp;",","")</f>
        <v/>
      </c>
      <c r="EP4" s="48" t="str">
        <f>IF(AI4="y",CHAR(34)&amp;AI$1&amp;CHAR(34)&amp;",","")</f>
        <v/>
      </c>
      <c r="EQ4" s="48" t="str">
        <f>IF(AJ4="y",CHAR(34)&amp;AJ$1&amp;CHAR(34)&amp;",","")</f>
        <v/>
      </c>
      <c r="ER4" s="48" t="str">
        <f>IF(AK4="y",CHAR(34)&amp;AK$1&amp;CHAR(34)&amp;",","")</f>
        <v/>
      </c>
      <c r="ES4" s="48" t="str">
        <f>IF(AL4="y",CHAR(34)&amp;AL$1&amp;CHAR(34)&amp;",","")</f>
        <v/>
      </c>
      <c r="ET4" s="48" t="str">
        <f>IF(AM4="y",CHAR(34)&amp;AM$1&amp;CHAR(34)&amp;",","")</f>
        <v/>
      </c>
      <c r="EU4" s="48" t="str">
        <f>IF(AN4="y",CHAR(34)&amp;AN$1&amp;CHAR(34)&amp;",","")</f>
        <v/>
      </c>
      <c r="EV4" s="48" t="str">
        <f>IF(AO4="y",CHAR(34)&amp;AO$1&amp;CHAR(34)&amp;",","")</f>
        <v/>
      </c>
      <c r="EW4" s="48" t="str">
        <f>IF(AP4="y",CHAR(34)&amp;AP$1&amp;CHAR(34)&amp;",","")</f>
        <v/>
      </c>
      <c r="EX4" s="48" t="str">
        <f>IF(AQ4="y",CHAR(34)&amp;AQ$1&amp;CHAR(34)&amp;",","")</f>
        <v/>
      </c>
      <c r="EY4" s="48" t="str">
        <f>IF(AR4="y",CHAR(34)&amp;AR$1&amp;CHAR(34)&amp;",","")</f>
        <v/>
      </c>
      <c r="EZ4" s="48" t="str">
        <f>IF(AS4="y",CHAR(34)&amp;AS$1&amp;CHAR(34)&amp;",","")</f>
        <v/>
      </c>
      <c r="FA4" s="48" t="str">
        <f>IF(AT4&gt;0,CHAR(34)&amp;"sta"&amp;AZ4&amp;CHAR(34)&amp;",","")</f>
        <v>"staWHI",</v>
      </c>
      <c r="FB4" s="48" t="str">
        <f>IF(AND(AT4&gt;0,BA4&lt;&gt;""),CHAR(34)&amp;"sta"&amp;BA4&amp;CHAR(34)&amp;",","")</f>
        <v/>
      </c>
      <c r="FC4" s="48" t="str">
        <f>IF(AND(AT4&gt;0,BB4&lt;&gt;""),CHAR(34)&amp;"sta"&amp;BB4&amp;CHAR(34)&amp;",","")</f>
        <v/>
      </c>
      <c r="FD4" s="48" t="str">
        <f>IF(BV4="n",CHAR(34)&amp;"tcWHYE"&amp;CHAR(34)&amp;",",IF(BV4="y",CHAR(34)&amp;FD$1&amp;CHAR(34)&amp;",",""))</f>
        <v/>
      </c>
      <c r="FE4" s="48" t="str">
        <f>IF(COUNTIF(BL4:BT4,"BLU")=0,CHAR(34)&amp;"NO_BLU"&amp;CHAR(34)&amp;",", "")</f>
        <v/>
      </c>
      <c r="FF4" s="48" t="str">
        <f>IF(COUNTIF(BL4:BT4,"WHI")=0,CHAR(34)&amp;"NO_WHI"&amp;CHAR(34)&amp;",", "")</f>
        <v/>
      </c>
      <c r="FG4" s="48" t="str">
        <f>IF(COUNTIF(BL4:BT4,"RED")=0,CHAR(34)&amp;"NO_RED"&amp;CHAR(34)&amp;",", "")</f>
        <v>"NO_RED",</v>
      </c>
      <c r="FH4" s="48" t="str">
        <f>IF(COUNTIF(BL4:BS4,"GRE")=0,CHAR(34)&amp;"NO_GRE"&amp;CHAR(34)&amp;",", "")</f>
        <v>"NO_GRE",</v>
      </c>
      <c r="FI4" s="48" t="str">
        <f>IF(COUNTIF(BL4:BT4,"YEL")=0,CHAR(34)&amp;"NO_YEL"&amp;CHAR(34)&amp;",", "")</f>
        <v>"NO_YEL",</v>
      </c>
      <c r="FJ4" s="48" t="str">
        <f>IF(COUNTIF(BL4:BT4,"BLA")=0,CHAR(34)&amp;"NO_BLA"&amp;CHAR(34)&amp;",", "")</f>
        <v>"NO_BLA",</v>
      </c>
      <c r="FK4" s="48" t="str">
        <f>IF(AND(FH4&lt;&gt;"",FF4&lt;&gt;""),CHAR(34)&amp;"WHGRNO"&amp;CHAR(34)&amp;",","")</f>
        <v/>
      </c>
      <c r="FL4" s="48" t="str">
        <f>IF(AND(FI4&lt;&gt;"",FF4&lt;&gt;""),CHAR(34)&amp;"WHYENO"&amp;CHAR(34)&amp;",","")</f>
        <v/>
      </c>
      <c r="FM4" s="48" t="str">
        <f>IF(AND(FJ4&lt;&gt;"",FF4&lt;&gt;""),CHAR(34)&amp;"BAWHNO"&amp;CHAR(34)&amp;",","")</f>
        <v/>
      </c>
      <c r="FN4" s="48" t="str">
        <f>IF(AND(FE4&lt;&gt;"",FF4&lt;&gt;""),CHAR(34)&amp;"BLWHNO"&amp;CHAR(34)&amp;",","")</f>
        <v/>
      </c>
      <c r="FO4" s="48" t="str">
        <f>IF(AND(FE4&lt;&gt;"",FG4&lt;&gt;""),CHAR(34)&amp;"BLRENO"&amp;CHAR(34)&amp;",","")</f>
        <v/>
      </c>
      <c r="FP4" s="48" t="str">
        <f>IF(AND(FF4&lt;&gt;"",FF4&lt;&gt;""),CHAR(34)&amp;"WHRENO"&amp;CHAR(34)&amp;",","")</f>
        <v/>
      </c>
      <c r="FQ4" s="48" t="str">
        <f>IF(LEN(BF4)=3,CHAR(34)&amp;"001"&amp;BF4&amp;CHAR(34)&amp;",","")</f>
        <v/>
      </c>
      <c r="FR4" s="48" t="str">
        <f>IF(LEN(BG4)=3,CHAR(34)&amp;"002"&amp;BG4&amp;CHAR(34)&amp;",","")</f>
        <v/>
      </c>
      <c r="FS4" s="48" t="str">
        <f>IF(LEN(BH4)=3,CHAR(34)&amp;"003"&amp;BH4&amp;CHAR(34)&amp;",","")</f>
        <v/>
      </c>
      <c r="FT4" s="48" t="str">
        <f>CHAR(34)&amp;"myr"&amp;BD4&amp;CHAR(34)&amp;","</f>
        <v>"myrBLU",</v>
      </c>
      <c r="FU4" s="48" t="str">
        <f>IF(AY4="y",CHAR(34)&amp;"island"&amp;CHAR(34)&amp;",","")</f>
        <v/>
      </c>
      <c r="FV4" s="48" t="str">
        <f>IF(BZ4="y",CHAR(34)&amp;"landlo"&amp;CHAR(34)&amp;",","")</f>
        <v/>
      </c>
      <c r="FW4" s="48" t="str">
        <f>IF(CA4="y",CHAR(34)&amp;"eunion"&amp;CHAR(34)&amp;",","")</f>
        <v/>
      </c>
      <c r="FX4" s="48" t="str">
        <f>SUBSTITUTE(IFERROR(SEARCH("[",A4),IFERROR(IF(AND(CA4&lt;&gt;"y",SEARCH("Europe",R4)&gt;0),CHAR(34)&amp;"noeuni"&amp;CHAR(34)&amp;",",""),"")),"1","")</f>
        <v/>
      </c>
      <c r="FY4" s="48" t="str">
        <f>IFERROR(IF(SEARCH("Arabic",CB4)&gt;0,CHAR(34)&amp;"arabic"&amp;CHAR(34)&amp;",",""),"")</f>
        <v/>
      </c>
      <c r="FZ4" s="48" t="str">
        <f>IFERROR(IF(SEARCH("English",CB4)&gt;0,CHAR(34)&amp;"englis"&amp;CHAR(34)&amp;",",""),"")</f>
        <v/>
      </c>
      <c r="GA4" s="48" t="str">
        <f>IFERROR(IF(SEARCH("French",CB4)&gt;0,CHAR(34)&amp;"french"&amp;CHAR(34)&amp;",",""),"")</f>
        <v/>
      </c>
      <c r="GB4" s="48" t="str">
        <f>IFERROR(IF(SEARCH("Spanish",CB4)&gt;0,CHAR(34)&amp;"spanis"&amp;CHAR(34)&amp;",",""),"")</f>
        <v/>
      </c>
      <c r="GC4" s="48" t="str">
        <f>IFERROR(IF(SEARCH("Portuguese",CB4)&gt;0,CHAR(34)&amp;"portug"&amp;CHAR(34)&amp;",",""),"")</f>
        <v/>
      </c>
      <c r="GD4" s="48" t="str">
        <f>IFERROR(IF(SEARCH("German",CB4)&gt;0,CHAR(34)&amp;"german"&amp;CHAR(34)&amp;",",""),"")</f>
        <v/>
      </c>
      <c r="GE4" s="48" t="str">
        <f>IFERROR(IF(SEARCH("Dutch",CB4)&gt;0,CHAR(34)&amp;"dutchs"&amp;CHAR(34)&amp;",",""),"")</f>
        <v/>
      </c>
      <c r="GF4" s="48" t="str">
        <f>IFERROR(IF(SEARCH("Historical",AU4)&gt;0,CHAR(34)&amp;"histor"&amp;CHAR(34)&amp;",",""),"")</f>
        <v/>
      </c>
      <c r="GG4" s="48" t="str">
        <f>IF(BU4="y",CHAR(34)&amp;"unjack"&amp;CHAR(34)&amp;",","")</f>
        <v/>
      </c>
      <c r="GH4" s="48" t="str">
        <f>IF(CD4=1,CHAR(34)&amp;"southc"&amp;CHAR(34)&amp;",","")</f>
        <v/>
      </c>
      <c r="GI4" s="48" t="str">
        <f>IF(CE4=1,CHAR(34)&amp;"hasmap"&amp;CHAR(34)&amp;",","")</f>
        <v/>
      </c>
      <c r="GJ4" s="48" t="str">
        <f>IF(CP4="y",CHAR(34)&amp;CP$1&amp;CHAR(34)&amp;",","")</f>
        <v/>
      </c>
      <c r="GK4" s="48" t="str">
        <f>IF(GJ4="",CHAR(34)&amp;"HasSta"&amp;CHAR(34)&amp;",","")</f>
        <v>"HasSta",</v>
      </c>
      <c r="GL4" s="48" t="str">
        <f>IF(CQ4="y",CHAR(34)&amp;CQ$1&amp;CHAR(34)&amp;",","")</f>
        <v/>
      </c>
      <c r="GM4" s="48" t="str">
        <f>IF(CR4="y",CHAR(34)&amp;CR$1&amp;CHAR(34)&amp;",","")</f>
        <v/>
      </c>
      <c r="GN4" s="48" t="str">
        <f>IF(CS4="y",CHAR(34)&amp;CS$1&amp;CHAR(34)&amp;",","")</f>
        <v>"3+Star",</v>
      </c>
      <c r="GP4" s="48" t="str">
        <f>CHAR(34)&amp;AU4&amp;CHAR(34)</f>
        <v>"Autonomous Island"</v>
      </c>
      <c r="GS4" s="48" t="str">
        <f>SUBSTITUTE("["&amp;_xlfn.CONCAT(CW4:GN4)&amp;"]",",]","]")</f>
        <v>["2Color","words2","exact2","lets12","startG","BLUWHI","year00","NoBand","IsMoon","staWHI","NO_RED","NO_GRE","NO_YEL","NO_BLA","myrBLU","HasSta","3+Star"]</v>
      </c>
      <c r="GT4" s="48" t="str">
        <f>IF(BL4&lt;&gt;"",CHAR(34)&amp;"cl_"&amp;BL4&amp;CHAR(34)&amp;",","")</f>
        <v>"cl_BLU",</v>
      </c>
      <c r="GU4" s="48" t="str">
        <f>IF(BM4&lt;&gt;"",CHAR(34)&amp;"cl_"&amp;BM4&amp;CHAR(34)&amp;",","")</f>
        <v>"cl_WHI",</v>
      </c>
      <c r="GV4" s="48" t="str">
        <f>IF(BN4&lt;&gt;"",CHAR(34)&amp;"cl_"&amp;BN4&amp;CHAR(34)&amp;",","")</f>
        <v/>
      </c>
      <c r="GW4" s="48" t="str">
        <f>IF(BO4&lt;&gt;"",CHAR(34)&amp;"cl_"&amp;BO4&amp;CHAR(34)&amp;",","")</f>
        <v/>
      </c>
      <c r="GX4" s="48" t="str">
        <f>IF(BP4&lt;&gt;"",CHAR(34)&amp;"cl_"&amp;BP4&amp;CHAR(34)&amp;",","")</f>
        <v/>
      </c>
      <c r="GY4" s="48" t="str">
        <f>IF(BQ4&lt;&gt;"",CHAR(34)&amp;"cl_"&amp;BQ4&amp;CHAR(34)&amp;",","")</f>
        <v/>
      </c>
      <c r="GZ4" s="48" t="str">
        <f>IF(BR4&lt;&gt;"",CHAR(34)&amp;"cl_"&amp;BR4&amp;CHAR(34)&amp;",","")</f>
        <v/>
      </c>
      <c r="HA4" s="48" t="str">
        <f>IF(BS4&lt;&gt;"",CHAR(34)&amp;"cl_"&amp;BS4&amp;CHAR(34)&amp;",","")</f>
        <v/>
      </c>
      <c r="HB4" s="48" t="str">
        <f>IF(BT4&lt;&gt;"",CHAR(34)&amp;"cl_"&amp;BT4&amp;CHAR(34)&amp;",","")</f>
        <v/>
      </c>
      <c r="HC4" s="48" t="str">
        <f>SUBSTITUTE("["&amp;_xlfn.CONCAT(GT4:HB4)&amp;"]",",]","]")</f>
        <v>["cl_BLU","cl_WHI"]</v>
      </c>
      <c r="HE4" s="71"/>
      <c r="HF4" s="72" t="str">
        <f>"{couname:"&amp;CT4&amp;(IF(HK4&lt;&gt;"",",subtype:"&amp;CHAR(34)&amp;HK4&amp;CHAR(34),""))&amp;",year:"&amp;HJ4&amp;",region:"&amp;CU4&amp;",Colors:"&amp;HC4&amp;",Items:"&amp;GS4&amp;",Flag:"&amp;CV4&amp;",HDFlag:"&amp;CHAR(34)&amp;E4&amp;CHAR(34)&amp;",type:"&amp;GP4&amp;", describe: "&amp;HH4&amp;", isnew:"&amp;CHAR(34)&amp;F4&amp;CHAR(34)&amp;", links: "&amp;HL4&amp;"},"</f>
        <v>{couname:"[COM] Grande Comore",year:"2002 ",region:"rgn_Africa",Colors:["cl_BLU","cl_WHI"],Items:["2Color","words2","exact2","lets12","startG","BLUWHI","year00","NoBand","IsMoon","staWHI","NO_RED","NO_GRE","NO_YEL","NO_BLA","myrBLU","HasSta","3+Star"],Flag:"https://upload.wikimedia.org/wikipedia/commons/thumb/3/33/Flag_of_Grande_Comore.svg/383px-Flag_of_Grande_Comore.svg.png",HDFlag:"https://upload.wikimedia.org/wikipedia/commons/thumb/3/33/Flag_of_Grande_Comore.svg/2560px-Flag_of_Grande_Comore.svg.png",type:"Autonomous Island", describe: "\nGrande Comore (Ngazidja) is an island in Comoros off the coast of Africa. It is the largest island in the Comoros nation. The island's capital is Moroni, which is also the national capital. The island is made up of two shield volcanoes, with Mount Karthala being the country's highest point at 2,361 m (7,746 ft) above sea level. ", isnew:".", links: "https://en.wikipedia.org/wiki/Grande_Comore"},</v>
      </c>
      <c r="HG4" s="73" t="str">
        <f>"{couname:"&amp;CT4&amp;(IF(HK4&lt;&gt;"",",subtype:"&amp;CHAR(34)&amp;HK4&amp;CHAR(34),""))&amp;",year:"&amp;HJ4&amp;",region:"&amp;CU4&amp;",Colors:"&amp;HC4&amp;",Items:"&amp;GS4&amp;",Flag:"&amp;CV4&amp;",HDFlag:"&amp;CHAR(34)&amp;E4&amp;CHAR(34)&amp;",type:"&amp;GP4&amp;", describe: "&amp;HI4&amp;", links: "&amp;HL4&amp;"},"</f>
        <v>{couname:"[COM] Grande Comore",year:"2002 ",region:"rgn_Africa",Colors:["cl_BLU","cl_WHI"],Items:["2Color","words2","exact2","lets12","startG","BLUWHI","year00","NoBand","IsMoon","staWHI","NO_RED","NO_GRE","NO_YEL","NO_BLA","myrBLU","HasSta","3+Star"],Flag:"https://upload.wikimedia.org/wikipedia/commons/thumb/3/33/Flag_of_Grande_Comore.svg/383px-Flag_of_Grande_Comore.svg.png",HDFlag:"https://upload.wikimedia.org/wikipedia/commons/thumb/3/33/Flag_of_Grande_Comore.svg/2560px-Flag_of_Grande_Comore.svg.png",type:"Autonomous Island", describe: "\nGrande Comore (Ngazidja) is an island in Comoros off the coast of Africa. It is the largest island in the Comoros nation. The island's capital is Moroni, which is also the national capital. The island is made up of two shield volcanoes, with Mount Karthala being the country's highest point at 2,361 m (7,746 ft) above sea level. ", links: "https://en.wikipedia.org/wiki/Grande_Comore"},</v>
      </c>
      <c r="HH4" s="48" t="str">
        <f>IF(P4&lt;&gt;"",CHAR(34)&amp;"\n"&amp;P4&amp;CHAR(34),CHAR(34)&amp;CHAR(34))</f>
        <v>"\nGrande Comore (Ngazidja) is an island in Comoros off the coast of Africa. It is the largest island in the Comoros nation. The island's capital is Moroni, which is also the national capital. The island is made up of two shield volcanoes, with Mount Karthala being the country's highest point at 2,361 m (7,746 ft) above sea level. "</v>
      </c>
      <c r="HI4" s="48" t="str">
        <f>IF(J4=0,CHAR(34)&amp;CHAR(34),HH4)</f>
        <v>"\nGrande Comore (Ngazidja) is an island in Comoros off the coast of Africa. It is the largest island in the Comoros nation. The island's capital is Moroni, which is also the national capital. The island is made up of two shield volcanoes, with Mount Karthala being the country's highest point at 2,361 m (7,746 ft) above sea level. "</v>
      </c>
      <c r="HJ4" s="48" t="str">
        <f>CHAR(34)&amp;O4&amp;CHAR(34)</f>
        <v>"2002 "</v>
      </c>
      <c r="HL4" s="48" t="str">
        <f>CHAR(34)&amp;I4&amp;CHAR(34)</f>
        <v>"https://en.wikipedia.org/wiki/Grande_Comore"</v>
      </c>
      <c r="HM4" s="72"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"&amp;HH4&amp;", "&amp;CHAR(34)&amp;"isnew"&amp;CHAR(34)&amp;": "&amp;CHAR(34)&amp;F4&amp;CHAR(34)&amp;", "&amp;CHAR(34)&amp;"links"&amp;CHAR(34)&amp;": "&amp;HL4&amp;"},"</f>
        <v>{"couname":"[COM] Grande Comore","year":"2002 ","region":"rgn_Africa","Colors":["cl_BLU","cl_WHI"],"Items":["2Color","words2","exact2","lets12","startG","BLUWHI","year00","NoBand","IsMoon","staWHI","NO_RED","NO_GRE","NO_YEL","NO_BLA","myrBLU","HasSta","3+Star"],"Flag":"https://upload.wikimedia.org/wikipedia/commons/thumb/3/33/Flag_of_Grande_Comore.svg/383px-Flag_of_Grande_Comore.svg.png","HDFlag":"https://upload.wikimedia.org/wikipedia/commons/thumb/3/33/Flag_of_Grande_Comore.svg/2560px-Flag_of_Grande_Comore.svg.png","type":"Autonomous Island", "describe": "\nGrande Comore (Ngazidja) is an island in Comoros off the coast of Africa. It is the largest island in the Comoros nation. The island's capital is Moroni, which is also the national capital. The island is made up of two shield volcanoes, with Mount Karthala being the country's highest point at 2,361 m (7,746 ft) above sea level. ", "isnew": ".", "links": "https://en.wikipedia.org/wiki/Grande_Comore"},</v>
      </c>
      <c r="HN4" s="74"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"&amp;HI4&amp;", "&amp;CHAR(34)&amp;"isnew"&amp;CHAR(34)&amp;": "&amp;CHAR(34)&amp;F4&amp;CHAR(34)&amp;", "&amp;CHAR(34)&amp;"links"&amp;CHAR(34)&amp;": "&amp;HL4&amp;"},"</f>
        <v>{"couname":"[COM] Grande Comore","year":"2002 ","region":"rgn_Africa","Colors":["cl_BLU","cl_WHI"],"Items":["2Color","words2","exact2","lets12","startG","BLUWHI","year00","NoBand","IsMoon","staWHI","NO_RED","NO_GRE","NO_YEL","NO_BLA","myrBLU","HasSta","3+Star"],"Flag":"https://upload.wikimedia.org/wikipedia/commons/thumb/3/33/Flag_of_Grande_Comore.svg/383px-Flag_of_Grande_Comore.svg.png","HDFlag":"https://upload.wikimedia.org/wikipedia/commons/thumb/3/33/Flag_of_Grande_Comore.svg/2560px-Flag_of_Grande_Comore.svg.png","type":"Autonomous Island", "describe": "\nGrande Comore (Ngazidja) is an island in Comoros off the coast of Africa. It is the largest island in the Comoros nation. The island's capital is Moroni, which is also the national capital. The island is made up of two shield volcanoes, with Mount Karthala being the country's highest point at 2,361 m (7,746 ft) above sea level. ", "isnew": ".", "links": "https://en.wikipedia.org/wiki/Grande_Comore"},</v>
      </c>
      <c r="HO4" s="75"/>
      <c r="HP4" s="48" t="str" cm="1">
        <f t="array" ref="HP4">IF(_xlfn.TEXTJOIN(", ", TRUE, IF(ISNUMBER(SEARCH("BLA", BL4:BT4)), COLUMN(BL4:BT4) - COLUMN(BL4) + 1, ""))&lt;&gt;"","BLA","")</f>
        <v/>
      </c>
      <c r="HQ4" s="48" t="str" cm="1">
        <f t="array" ref="HQ4">IF(_xlfn.TEXTJOIN(", ", TRUE, IF(ISNUMBER(SEARCH("BLU", BL4:BT4)), COLUMN(BL4:BT4) - COLUMN(BL4) + 1, ""))&lt;&gt;"","BLU","")</f>
        <v>BLU</v>
      </c>
      <c r="HR4" s="48" t="str" cm="1">
        <f t="array" ref="HR4">IF(_xlfn.TEXTJOIN(", ", TRUE, IF(ISNUMBER(SEARCH("GRE", BL4:BT4)), COLUMN(BL4:BT4) - COLUMN(BL4) + 1, ""))&lt;&gt;"","GRE","")</f>
        <v/>
      </c>
      <c r="HS4" s="48" t="str" cm="1">
        <f t="array" ref="HS4">IF(_xlfn.TEXTJOIN(", ", TRUE, IF(ISNUMBER(SEARCH("RED", BL4:BT4)), COLUMN(BL4:BT4) - COLUMN(BL4) + 1, ""))&lt;&gt;"","RED","")</f>
        <v/>
      </c>
      <c r="HT4" s="48" t="str" cm="1">
        <f t="array" ref="HT4">IF(_xlfn.TEXTJOIN(", ", TRUE, IF(ISNUMBER(SEARCH("YEL", BL4:BT4)), COLUMN(BL4:BT4) - COLUMN(BL4) + 1, ""))&lt;&gt;"","YEL","")</f>
        <v/>
      </c>
      <c r="HU4" s="48" t="str" cm="1">
        <f t="array" ref="HU4">IF(_xlfn.TEXTJOIN(", ", TRUE, IF(ISNUMBER(SEARCH("ORA", BL4:BT4)), COLUMN(BL4:BT4) - COLUMN(BL4) + 1, ""))&lt;&gt;"","ORA","")</f>
        <v/>
      </c>
      <c r="HV4" s="48" t="str" cm="1">
        <f t="array" ref="HV4">IF(_xlfn.TEXTJOIN(", ", TRUE, IF(ISNUMBER(SEARCH("BRO", BL4:BT4)), COLUMN(BL4:BT4) - COLUMN(BL4) + 1, ""))&lt;&gt;"","BRO","")</f>
        <v/>
      </c>
      <c r="HW4" s="48" t="str" cm="1">
        <f t="array" ref="HW4">IF(_xlfn.TEXTJOIN(", ", TRUE, IF(ISNUMBER(SEARCH("PUR", BL4:BT4)), COLUMN(BL4:BT4) - COLUMN(BL4) + 1, ""))&lt;&gt;"","PUR","")</f>
        <v/>
      </c>
      <c r="HX4" s="48" t="str" cm="1">
        <f t="array" ref="HX4">IF(_xlfn.TEXTJOIN(", ", TRUE, IF(ISNUMBER(SEARCH("WHI", BL4:BT4)), COLUMN(BL4:BT4) - COLUMN(BL4) + 1, ""))&lt;&gt;"","WHI","")</f>
        <v>WHI</v>
      </c>
      <c r="HY4" s="76"/>
      <c r="HZ4" s="76"/>
      <c r="IA4" s="6"/>
      <c r="IB4" s="6"/>
      <c r="IC4" s="77"/>
      <c r="ID4" s="77"/>
      <c r="IE4" s="77"/>
      <c r="IF4" s="77"/>
      <c r="IG4" s="77"/>
      <c r="IH4" s="77"/>
      <c r="II4" s="77"/>
      <c r="IJ4" s="77"/>
      <c r="IK4" s="77"/>
      <c r="IL4" s="48">
        <f>SUM(IC4:IK4)</f>
        <v>0</v>
      </c>
      <c r="IM4" s="45">
        <f>COUNTIF(IC4:IK4,"&gt;0")-CG4</f>
        <v>-2</v>
      </c>
      <c r="IN4" s="78" t="str">
        <f>"http://mkweb.bcgsc.ca/color-summarizer/?url="&amp;D4&amp;"&amp;precision=low&amp;num_clusters="&amp;CG4&amp;"&amp;text=1"</f>
        <v>http://mkweb.bcgsc.ca/color-summarizer/?url=https://upload.wikimedia.org/wikipedia/commons/thumb/3/33/Flag_of_Grande_Comore.svg/383px-Flag_of_Grande_Comore.svg.png&amp;precision=low&amp;num_clusters=2&amp;text=1</v>
      </c>
      <c r="IO4" s="48" t="str">
        <f>IF(HP4&lt;&gt;"",CHAR(34)&amp;"black"&amp;CHAR(34),"")</f>
        <v/>
      </c>
      <c r="IP4" s="48" t="str">
        <f>IF(HQ4&lt;&gt;"",CHAR(34)&amp;"blue"&amp;CHAR(34),"")</f>
        <v>"blue"</v>
      </c>
      <c r="IQ4" s="48" t="str">
        <f>IF(HR4&lt;&gt;"",CHAR(34)&amp;"green"&amp;CHAR(34),"")</f>
        <v/>
      </c>
      <c r="IR4" s="48" t="str">
        <f>IF(HS4&lt;&gt;"",CHAR(34)&amp;"red"&amp;CHAR(34),"")</f>
        <v/>
      </c>
      <c r="IS4" s="48" t="str">
        <f>IF(HT4&lt;&gt;"",CHAR(34)&amp;"yellow"&amp;CHAR(34),"")</f>
        <v/>
      </c>
      <c r="IT4" s="48" t="str">
        <f>IF(HU4&lt;&gt;"",CHAR(34)&amp;"orange"&amp;CHAR(34),"")</f>
        <v/>
      </c>
      <c r="IU4" s="48" t="str">
        <f>IF(HV4&lt;&gt;"",CHAR(34)&amp;"brown"&amp;CHAR(34),"")</f>
        <v/>
      </c>
      <c r="IV4" s="48" t="str">
        <f>IF(HW4&lt;&gt;"",CHAR(34)&amp;"purple"&amp;CHAR(34),"")</f>
        <v/>
      </c>
      <c r="IW4" s="48" t="str">
        <f>IF(HX4&lt;&gt;"",CHAR(34)&amp;"white"&amp;CHAR(34),"")</f>
        <v>"white"</v>
      </c>
      <c r="IX4" s="48" t="str">
        <f>"{"&amp;CHAR(34)&amp;"url"&amp;CHAR(34)&amp;":"&amp;CHAR(34)&amp;IN4&amp;CHAR(34)&amp;","&amp;CHAR(34)&amp;"name"&amp;CHAR(34)&amp;":"&amp;CHAR(34)&amp;A4&amp;CHAR(34)&amp;"},"</f>
        <v>{"url":"http://mkweb.bcgsc.ca/color-summarizer/?url=https://upload.wikimedia.org/wikipedia/commons/thumb/3/33/Flag_of_Grande_Comore.svg/383px-Flag_of_Grande_Comore.svg.png&amp;precision=low&amp;num_clusters=2&amp;text=1","name":"[COM] Grande Comore"},</v>
      </c>
      <c r="IY4" s="48">
        <v>380</v>
      </c>
    </row>
    <row r="5" spans="1:259" s="48" customFormat="1" ht="38.4" customHeight="1" thickBot="1" x14ac:dyDescent="0.35">
      <c r="A5" s="79" t="s">
        <v>727</v>
      </c>
      <c r="B5" s="40" t="e" vm="27">
        <v>#VALUE!</v>
      </c>
      <c r="C5" s="41">
        <v>2</v>
      </c>
      <c r="D5" s="42" t="s">
        <v>728</v>
      </c>
      <c r="E5" s="43" t="s">
        <v>729</v>
      </c>
      <c r="F5" s="44" t="s">
        <v>163</v>
      </c>
      <c r="G5" s="45">
        <f>COUNTIF($A$1:$A$8369,A5)</f>
        <v>1</v>
      </c>
      <c r="H5" s="46"/>
      <c r="I5" s="47" t="s">
        <v>730</v>
      </c>
      <c r="J5" s="48" t="str">
        <f>""</f>
        <v/>
      </c>
      <c r="K5" s="49"/>
      <c r="L5" s="50"/>
      <c r="M5" s="50"/>
      <c r="N5" s="51" t="s">
        <v>180</v>
      </c>
      <c r="O5" s="52" t="s">
        <v>731</v>
      </c>
      <c r="P5" s="53" t="s">
        <v>732</v>
      </c>
      <c r="Q5" s="54">
        <v>1</v>
      </c>
      <c r="R5" s="55" t="s">
        <v>180</v>
      </c>
      <c r="S5" s="56">
        <v>0</v>
      </c>
      <c r="T5" s="57" t="s">
        <v>164</v>
      </c>
      <c r="U5" s="58" t="s">
        <v>164</v>
      </c>
      <c r="V5" s="58" t="s">
        <v>164</v>
      </c>
      <c r="W5" s="58" t="s">
        <v>164</v>
      </c>
      <c r="X5" s="58" t="s">
        <v>164</v>
      </c>
      <c r="Y5" s="58" t="s">
        <v>164</v>
      </c>
      <c r="Z5" s="58" t="s">
        <v>164</v>
      </c>
      <c r="AA5" s="58" t="s">
        <v>164</v>
      </c>
      <c r="AB5" s="58" t="s">
        <v>164</v>
      </c>
      <c r="AC5" s="58" t="s">
        <v>164</v>
      </c>
      <c r="AD5" s="58" t="s">
        <v>164</v>
      </c>
      <c r="AE5" s="58" t="s">
        <v>164</v>
      </c>
      <c r="AF5" s="59" t="s">
        <v>164</v>
      </c>
      <c r="AG5" s="59" t="s">
        <v>164</v>
      </c>
      <c r="AH5" s="59" t="s">
        <v>167</v>
      </c>
      <c r="AI5" s="59" t="s">
        <v>164</v>
      </c>
      <c r="AJ5" s="59" t="s">
        <v>164</v>
      </c>
      <c r="AK5" s="59" t="s">
        <v>164</v>
      </c>
      <c r="AL5" s="59" t="s">
        <v>164</v>
      </c>
      <c r="AM5" s="59" t="s">
        <v>164</v>
      </c>
      <c r="AN5" s="59" t="s">
        <v>164</v>
      </c>
      <c r="AO5" s="59" t="s">
        <v>164</v>
      </c>
      <c r="AP5" s="59" t="s">
        <v>164</v>
      </c>
      <c r="AQ5" s="59" t="s">
        <v>164</v>
      </c>
      <c r="AR5" s="59" t="s">
        <v>164</v>
      </c>
      <c r="AS5" s="59" t="s">
        <v>164</v>
      </c>
      <c r="AT5" s="60">
        <v>1</v>
      </c>
      <c r="AU5" s="59" t="s">
        <v>720</v>
      </c>
      <c r="AV5" s="59" t="str">
        <f>IF(LEFT(A5,1)="[",LEFT(A5,5)&amp;AU5&amp;A5,"")</f>
        <v>[COM]Autonomous Island[COM] Moheli</v>
      </c>
      <c r="AW5" s="59" t="str">
        <f t="shared" si="0"/>
        <v>2[COM] Moheli</v>
      </c>
      <c r="AX5" s="61"/>
      <c r="AY5" s="61"/>
      <c r="AZ5" s="62" t="s">
        <v>154</v>
      </c>
      <c r="BA5" s="62"/>
      <c r="BB5" s="62"/>
      <c r="BC5" s="63"/>
      <c r="BD5" s="64" t="s">
        <v>155</v>
      </c>
      <c r="BE5" s="47"/>
      <c r="BF5" s="64" t="s">
        <v>541</v>
      </c>
      <c r="BG5" s="64" t="s">
        <v>541</v>
      </c>
      <c r="BH5" s="64" t="s">
        <v>541</v>
      </c>
      <c r="BI5" s="64"/>
      <c r="BJ5" s="64"/>
      <c r="BK5" s="47"/>
      <c r="BL5" s="64" t="s">
        <v>155</v>
      </c>
      <c r="BM5" s="64" t="s">
        <v>154</v>
      </c>
      <c r="BN5" s="64"/>
      <c r="BO5" s="64"/>
      <c r="BP5" s="64"/>
      <c r="BQ5" s="64"/>
      <c r="BR5" s="64"/>
      <c r="BS5" s="64"/>
      <c r="BT5" s="64"/>
      <c r="BU5" s="65"/>
      <c r="BV5" s="66"/>
      <c r="BW5" s="66">
        <v>0</v>
      </c>
      <c r="BX5" s="47"/>
      <c r="CB5" s="6"/>
      <c r="CC5" s="6"/>
      <c r="CD5" s="67">
        <v>0</v>
      </c>
      <c r="CE5" s="67">
        <v>0</v>
      </c>
      <c r="CF5" s="67" t="e">
        <v>#REF!</v>
      </c>
      <c r="CG5" s="68" cm="1">
        <f t="array" ref="CG5">SUMPRODUCT(--(LEN(TRIM(BL5:BT5))&gt;0))</f>
        <v>2</v>
      </c>
      <c r="CH5" s="59" t="str">
        <f>IF(CG5=2,"y","n")</f>
        <v>y</v>
      </c>
      <c r="CI5" s="59" t="str">
        <f>IF(CG5=3,"y","n")</f>
        <v>n</v>
      </c>
      <c r="CJ5" s="59" t="str">
        <f>IF(CG5=4,"y","n")</f>
        <v>n</v>
      </c>
      <c r="CK5" s="59" t="str">
        <f>IF(CG5&gt;4,"y","n")</f>
        <v>n</v>
      </c>
      <c r="CL5" s="59" t="str">
        <f>IF(S5=0,"y","n")</f>
        <v>y</v>
      </c>
      <c r="CM5" s="59" t="str">
        <f>IF(S5=2,"y","n")</f>
        <v>n</v>
      </c>
      <c r="CN5" s="59" t="str">
        <f>IF(S5=3,"y","n")</f>
        <v>n</v>
      </c>
      <c r="CO5" s="59" t="str">
        <f>IF(S5&gt;=4,"y","n")</f>
        <v>n</v>
      </c>
      <c r="CP5" s="59" t="str">
        <f>IF(AT5=0,"y","n")</f>
        <v>n</v>
      </c>
      <c r="CQ5" s="59" t="str">
        <f>IF(AT5=1,"y","n")</f>
        <v>y</v>
      </c>
      <c r="CR5" s="59" t="str">
        <f>IF(AT5=2,"y","n")</f>
        <v>n</v>
      </c>
      <c r="CS5" s="59" t="str">
        <f>IF(AT5&gt;=3,"y","n")</f>
        <v>n</v>
      </c>
      <c r="CT5" s="69" t="str">
        <f>CHAR(34)&amp;A5&amp;CHAR(34)</f>
        <v>"[COM] Moheli"</v>
      </c>
      <c r="CU5" s="70" t="str">
        <f>CHAR(34)&amp;"rgn_"&amp;R5&amp;CHAR(34)</f>
        <v>"rgn_Africa"</v>
      </c>
      <c r="CV5" s="48" t="str">
        <f>CHAR(34)&amp;D5&amp;CHAR(34)</f>
        <v>"https://upload.wikimedia.org/wikipedia/commons/thumb/c/c2/Flag_of_Moh%C3%A9li_%28official%29.svg/383px-Flag_of_Moh%C3%A9li_%28official%29.svg.png"</v>
      </c>
      <c r="CW5" s="48" t="str">
        <f>IF(CH5="y",CHAR(34)&amp;CH$1&amp;CHAR(34)&amp;",","")</f>
        <v>"2Color",</v>
      </c>
      <c r="CX5" s="48" t="str">
        <f>IF(CI5="y",CHAR(34)&amp;CI$1&amp;CHAR(34)&amp;",","")</f>
        <v/>
      </c>
      <c r="CY5" s="48" t="str">
        <f>IF(CJ5="y",CHAR(34)&amp;CJ$1&amp;CHAR(34)&amp;",","")</f>
        <v/>
      </c>
      <c r="CZ5" s="48" t="str">
        <f>IF(CK5="y",CHAR(34)&amp;CK$1&amp;CHAR(34)&amp;",","")</f>
        <v/>
      </c>
      <c r="DA5" s="48" t="str">
        <f>IF(Q5&gt;1,CHAR(34)&amp;"words2"&amp;CHAR(34)&amp;",","")</f>
        <v/>
      </c>
      <c r="DB5" s="48" t="str">
        <f>IF(Q5&gt;2,CHAR(34)&amp;"words3"&amp;CHAR(34)&amp;",","")</f>
        <v/>
      </c>
      <c r="DC5" s="48" t="str">
        <f>IF(Q5=2,CHAR(34)&amp;"exact2"&amp;CHAR(34)&amp;",","")</f>
        <v/>
      </c>
      <c r="DD5" s="48" t="str">
        <f>IF(LEN(CHAR(34)&amp;"lets"&amp;LEN(SUBSTITUTE(SUBSTITUTE(IFERROR(TRIM(SUBSTITUTE(SUBSTITUTE(SUBSTITUTE(IFERROR(TRIM(SUBSTITUTE(A5,MID(A5,FIND("(",A5),FIND(")",A5)-FIND("(",A5)+1),"")),A5)," ",""),"-",""),MID(SUBSTITUTE(SUBSTITUTE(IFERROR(TRIM(SUBSTITUTE(A5,MID(A5,FIND("(",A5),FIND(")",A5)-FIND("(",A5)+1),"")),A5)," ",""),"-",""),FIND("[",SUBSTITUTE(SUBSTITUTE(IFERROR(TRIM(SUBSTITUTE(A5,MID(A5,FIND("(",A5),FIND(")",A5)-FIND("(",A5)+1),"")),A5)," ",""),"-","")),FIND("]",SUBSTITUTE(SUBSTITUTE(IFERROR(TRIM(SUBSTITUTE(A5,MID(A5,FIND("(",A5),FIND(")",A5)-FIND("(",A5)+1),"")),A5)," ",""),"-",""))-FIND("[",SUBSTITUTE(SUBSTITUTE(IFERROR(TRIM(SUBSTITUTE(A5,MID(A5,FIND("(",A5),FIND(")",A5)-FIND("(",A5)+1),"")),A5)," ",""),"-",""))+1),"")),SUBSTITUTE(SUBSTITUTE(IFERROR(TRIM(SUBSTITUTE(A5,MID(A5,FIND("(",A5),FIND(")",A5)-FIND("(",A5)+1),"")),A5)," ",""),"-",""))," ",""),"-",""))&amp;CHAR(34)&amp;",")=9,CHAR(34)&amp;"lets"&amp;LEN(SUBSTITUTE(SUBSTITUTE(IFERROR(TRIM(SUBSTITUTE(SUBSTITUTE(SUBSTITUTE(IFERROR(TRIM(SUBSTITUTE(A5,MID(A5,FIND("(",A5),FIND(")",A5)-FIND("(",A5)+1),"")),A5)," ",""),"-",""),MID(SUBSTITUTE(SUBSTITUTE(IFERROR(TRIM(SUBSTITUTE(A5,MID(A5,FIND("(",A5),FIND(")",A5)-FIND("(",A5)+1),"")),A5)," ",""),"-",""),FIND("[",SUBSTITUTE(SUBSTITUTE(IFERROR(TRIM(SUBSTITUTE(A5,MID(A5,FIND("(",A5),FIND(")",A5)-FIND("(",A5)+1),"")),A5)," ",""),"-","")),FIND("]",SUBSTITUTE(SUBSTITUTE(IFERROR(TRIM(SUBSTITUTE(A5,MID(A5,FIND("(",A5),FIND(")",A5)-FIND("(",A5)+1),"")),A5)," ",""),"-",""))-FIND("[",SUBSTITUTE(SUBSTITUTE(IFERROR(TRIM(SUBSTITUTE(A5,MID(A5,FIND("(",A5),FIND(")",A5)-FIND("(",A5)+1),"")),A5)," ",""),"-",""))+1),"")),SUBSTITUTE(SUBSTITUTE(IFERROR(TRIM(SUBSTITUTE(A5,MID(A5,FIND("(",A5),FIND(")",A5)-FIND("(",A5)+1),"")),A5)," ",""),"-",""))," ",""),"-",""))&amp;CHAR(34)&amp;",",CHAR(34)&amp;"lets0"&amp;LEN(SUBSTITUTE(SUBSTITUTE(IFERROR(TRIM(SUBSTITUTE(SUBSTITUTE(SUBSTITUTE(IFERROR(TRIM(SUBSTITUTE(A5,MID(A5,FIND("(",A5),FIND(")",A5)-FIND("(",A5)+1),"")),A5)," ",""),"-",""),MID(SUBSTITUTE(SUBSTITUTE(IFERROR(TRIM(SUBSTITUTE(A5,MID(A5,FIND("(",A5),FIND(")",A5)-FIND("(",A5)+1),"")),A5)," ",""),"-",""),FIND("[",SUBSTITUTE(SUBSTITUTE(IFERROR(TRIM(SUBSTITUTE(A5,MID(A5,FIND("(",A5),FIND(")",A5)-FIND("(",A5)+1),"")),A5)," ",""),"-","")),FIND("]",SUBSTITUTE(SUBSTITUTE(IFERROR(TRIM(SUBSTITUTE(A5,MID(A5,FIND("(",A5),FIND(")",A5)-FIND("(",A5)+1),"")),A5)," ",""),"-",""))-FIND("[",SUBSTITUTE(SUBSTITUTE(IFERROR(TRIM(SUBSTITUTE(A5,MID(A5,FIND("(",A5),FIND(")",A5)-FIND("(",A5)+1),"")),A5)," ",""),"-",""))+1),"")),SUBSTITUTE(SUBSTITUTE(IFERROR(TRIM(SUBSTITUTE(A5,MID(A5,FIND("(",A5),FIND(")",A5)-FIND("(",A5)+1),"")),A5)," ",""),"-",""))," ",""),"-",""))&amp;CHAR(34)&amp;",")</f>
        <v>"lets06",</v>
      </c>
      <c r="DE5" s="48" t="str">
        <f>IFERROR(CHAR(34)&amp;"start"&amp;LEFT(TRIM(SUBSTITUTE(SUBSTITUTE(TRIM(SUBSTITUTE(SUBSTITUTE(A5, MID(A5, FIND("[", A5), FIND("]", A5) - FIND("[", A5) + 1), ""), "  ", " ")), MID(TRIM(SUBSTITUTE(SUBSTITUTE(A5, MID(A5, FIND("[", A5), FIND("]", A5) - FIND("[", A5) + 1), ""), "  ", " ")), FIND("[", TRIM(SUBSTITUTE(SUBSTITUTE(A5, MID(A5, FIND("[", A5), FIND("]", A5) - FIND("[", A5) + 1), ""), "  ", " "))), FIND("]", TRIM(SUBSTITUTE(SUBSTITUTE(A5, MID(A5, FIND("[", A5), FIND("]", A5) - FIND("[", A5) + 1), ""), "  ", " "))) - FIND("[", TRIM(SUBSTITUTE(SUBSTITUTE(A5, MID(A5, FIND("[", A5), FIND("]", A5) - FIND("[", A5) + 1), ""), "  ", " "))) + 1), ""), "  ", " ")),1)&amp;CHAR(34)&amp;",",CHAR(34)&amp;"start"&amp;IFERROR(LEFT(SUBSTITUTE(A5,"["&amp;MID(A5,FIND("[",A5)+1,FIND("]",A5)-FIND("[",A5)-1)&amp;"] ",""),1),LEFT(A5,1))&amp;CHAR(34)&amp;",")</f>
        <v>"startM",</v>
      </c>
      <c r="DF5" s="48" t="str">
        <f>IFERROR(IF(SEARCH("tan",A5)&gt;0,CHAR(34)&amp;"withtn"&amp;CHAR(34)&amp;",",""),"")</f>
        <v/>
      </c>
      <c r="DG5" s="48" t="str">
        <f>IFERROR(IF(SEARCH("q",A5)&gt;0,CHAR(34)&amp;"with_q"&amp;CHAR(34)&amp;",",""),"")</f>
        <v/>
      </c>
      <c r="DH5" s="48" t="str">
        <f>IFERROR(IF(SEARCH("v",A5)&gt;0,CHAR(34)&amp;"with_v"&amp;CHAR(34)&amp;",",""),"")</f>
        <v/>
      </c>
      <c r="DI5" s="48" t="str">
        <f>IFERROR(IF(SEARCH("w",A5)&gt;0,CHAR(34)&amp;"with_w"&amp;CHAR(34)&amp;",",""),"")</f>
        <v/>
      </c>
      <c r="DJ5" s="48" t="str">
        <f>IFERROR(IF(SEARCH("y",A5)&gt;0,CHAR(34)&amp;"with_y"&amp;CHAR(34)&amp;",",""),"")</f>
        <v/>
      </c>
      <c r="DK5" s="48" t="str">
        <f>IFERROR(IF(SEARCH("z",A5)&gt;0,CHAR(34)&amp;"with_z"&amp;CHAR(34)&amp;",",""),"")</f>
        <v/>
      </c>
      <c r="DL5" s="48" t="str">
        <f>IF(CG5=2, CHAR(34) &amp; _xlfn.TEXTJOIN("", TRUE, _xlfn._xlws.SORT(HP5:HX5)) &amp; CHAR(34) &amp; ",", "")</f>
        <v>"REDYEL",</v>
      </c>
      <c r="DM5" s="48" t="str" cm="1">
        <f t="array" ref="DM5">IF(CG5=3,CHAR(34) &amp; _xlfn.TEXTJOIN("", TRUE, RIGHT(HP5:HX5, 2)) &amp; CHAR(34) &amp; ",", "")</f>
        <v/>
      </c>
      <c r="DN5" s="48" t="str">
        <f>IF(AND(ISNUMBER(SEARCH("18", O5)), ISERROR(SEARCH("1918", O5)), ISERROR(SEARCH("2018", O5))), CHAR(34) &amp; "year18" &amp; CHAR(34) &amp; ",", "")</f>
        <v/>
      </c>
      <c r="DO5" s="48" t="str">
        <f>IF(AND(ISNUMBER(SEARCH("19", O5)), ISERROR(SEARCH("1819", O5)),  ISERROR(SEARCH("1219", O5)),ISERROR(SEARCH("1119", O5)),ISERROR(SEARCH("1190", O5)),ISERROR(SEARCH("2019", O5))), CHAR(34) &amp; "year19" &amp; CHAR(34) &amp; ",", "")</f>
        <v/>
      </c>
      <c r="DP5" s="6" t="str">
        <f>IF(AND(ISNUMBER(SEARCH("20", O5)), ISERROR(SEARCH("1920", O5))), CHAR(34)&amp;"year00"&amp;CHAR(34)&amp;",", "")</f>
        <v>"year00",</v>
      </c>
      <c r="DQ5" s="6" t="str">
        <f>IF(CC5="y",CHAR(34)&amp;"soviet"&amp;CHAR(34)&amp;",","")</f>
        <v/>
      </c>
      <c r="DR5" s="6" t="str">
        <f>IF(BY5="y",CHAR(34)&amp;"dgband"&amp;CHAR(34)&amp;",","")</f>
        <v/>
      </c>
      <c r="DS5" s="6" t="str">
        <f>IF(W5="y",IF(AND(V5="n",BY5&lt;&gt;"y"),CHAR(34)&amp;"allver"&amp;CHAR(34)&amp;",",""),"")</f>
        <v/>
      </c>
      <c r="DT5" s="6" t="str">
        <f>IF(V5="y",IF(AND(W5="n",BY5&lt;&gt;"y"),CHAR(34)&amp;"allhor"&amp;CHAR(34)&amp;",",""),"")</f>
        <v/>
      </c>
      <c r="DU5" s="6" t="str">
        <f>IF(BY5="y",IF(AND(W5="n",V5="n"),CHAR(34)&amp;"alldia"&amp;CHAR(34)&amp;",",""),"")</f>
        <v/>
      </c>
      <c r="DV5" s="48" t="str">
        <f>IF(IA5&lt;&gt;"",(IF(IA5="y",CHAR(34)&amp;"largec"&amp;CHAR(34)&amp;",",CHAR(34)&amp;"smallc"&amp;CHAR(34)&amp;",")),"")</f>
        <v/>
      </c>
      <c r="DW5" s="48" t="str">
        <f>IF(CL5="y",CHAR(34)&amp;CL$1&amp;CHAR(34)&amp;",","")</f>
        <v>"NoBand",</v>
      </c>
      <c r="DX5" s="48" t="str">
        <f>IF(CM5="y",CHAR(34)&amp;CM$1&amp;CHAR(34)&amp;",","")</f>
        <v/>
      </c>
      <c r="DY5" s="48" t="str">
        <f>IF(CN5="y",CHAR(34)&amp;CN$1&amp;CHAR(34)&amp;",","")</f>
        <v/>
      </c>
      <c r="DZ5" s="48" t="str">
        <f>IF(CO5="y",CHAR(34)&amp;CO$1&amp;CHAR(34)&amp;",","")</f>
        <v/>
      </c>
      <c r="EA5" s="48" t="str">
        <f>IF(T5="y",CHAR(34)&amp;T$1&amp;CHAR(34)&amp;",","")</f>
        <v/>
      </c>
      <c r="EB5" s="48" t="str">
        <f>IF(U5="y",CHAR(34)&amp;U$1&amp;CHAR(34)&amp;",","")</f>
        <v/>
      </c>
      <c r="EC5" s="48" t="str">
        <f>IF(V5="y",CHAR(34)&amp;V$1&amp;CHAR(34)&amp;",","")</f>
        <v/>
      </c>
      <c r="ED5" s="48" t="str">
        <f>IF(W5="y",CHAR(34)&amp;W$1&amp;CHAR(34)&amp;",","")</f>
        <v/>
      </c>
      <c r="EE5" s="48" t="str">
        <f>IF(X5="y",CHAR(34)&amp;X$1&amp;CHAR(34)&amp;",","")</f>
        <v/>
      </c>
      <c r="EF5" s="48" t="str">
        <f>IF(AND(Y5&lt;&gt;"n",Y5&lt;&gt;""),CHAR(34)&amp;Y$1&amp;CHAR(34)&amp;",","")</f>
        <v/>
      </c>
      <c r="EG5" s="48" t="str">
        <f>IF(Z5="y",CHAR(34)&amp;Z$1&amp;CHAR(34)&amp;",","")</f>
        <v/>
      </c>
      <c r="EH5" s="48" t="str">
        <f>IF(AA5="y",CHAR(34)&amp;AA$1&amp;CHAR(34)&amp;",","")</f>
        <v/>
      </c>
      <c r="EI5" s="48" t="str">
        <f>IF(AB5="y",CHAR(34)&amp;AB$1&amp;CHAR(34)&amp;",","")</f>
        <v/>
      </c>
      <c r="EJ5" s="48" t="str">
        <f>IF(AC5="y",CHAR(34)&amp;AC$1&amp;CHAR(34)&amp;",","")</f>
        <v/>
      </c>
      <c r="EK5" s="48" t="str">
        <f>IF(AD5="y",CHAR(34)&amp;AD$1&amp;CHAR(34)&amp;",","")</f>
        <v/>
      </c>
      <c r="EL5" s="48" t="str">
        <f>IF(AE5="y",CHAR(34)&amp;AE$1&amp;CHAR(34)&amp;",","")</f>
        <v/>
      </c>
      <c r="EM5" s="48" t="str">
        <f>IF(AF5="y",CHAR(34)&amp;AF$1&amp;CHAR(34)&amp;",","")</f>
        <v/>
      </c>
      <c r="EN5" s="48" t="str">
        <f>IF(AG5="y",CHAR(34)&amp;AG$1&amp;CHAR(34)&amp;",","")</f>
        <v/>
      </c>
      <c r="EO5" s="48" t="str">
        <f>IF(AH5="y",CHAR(34)&amp;AH$1&amp;CHAR(34)&amp;",","")</f>
        <v>"Center",</v>
      </c>
      <c r="EP5" s="48" t="str">
        <f>IF(AI5="y",CHAR(34)&amp;AI$1&amp;CHAR(34)&amp;",","")</f>
        <v/>
      </c>
      <c r="EQ5" s="48" t="str">
        <f>IF(AJ5="y",CHAR(34)&amp;AJ$1&amp;CHAR(34)&amp;",","")</f>
        <v/>
      </c>
      <c r="ER5" s="48" t="str">
        <f>IF(AK5="y",CHAR(34)&amp;AK$1&amp;CHAR(34)&amp;",","")</f>
        <v/>
      </c>
      <c r="ES5" s="48" t="str">
        <f>IF(AL5="y",CHAR(34)&amp;AL$1&amp;CHAR(34)&amp;",","")</f>
        <v/>
      </c>
      <c r="ET5" s="48" t="str">
        <f>IF(AM5="y",CHAR(34)&amp;AM$1&amp;CHAR(34)&amp;",","")</f>
        <v/>
      </c>
      <c r="EU5" s="48" t="str">
        <f>IF(AN5="y",CHAR(34)&amp;AN$1&amp;CHAR(34)&amp;",","")</f>
        <v/>
      </c>
      <c r="EV5" s="48" t="str">
        <f>IF(AO5="y",CHAR(34)&amp;AO$1&amp;CHAR(34)&amp;",","")</f>
        <v/>
      </c>
      <c r="EW5" s="48" t="str">
        <f>IF(AP5="y",CHAR(34)&amp;AP$1&amp;CHAR(34)&amp;",","")</f>
        <v/>
      </c>
      <c r="EX5" s="48" t="str">
        <f>IF(AQ5="y",CHAR(34)&amp;AQ$1&amp;CHAR(34)&amp;",","")</f>
        <v/>
      </c>
      <c r="EY5" s="48" t="str">
        <f>IF(AR5="y",CHAR(34)&amp;AR$1&amp;CHAR(34)&amp;",","")</f>
        <v/>
      </c>
      <c r="EZ5" s="48" t="str">
        <f>IF(AS5="y",CHAR(34)&amp;AS$1&amp;CHAR(34)&amp;",","")</f>
        <v/>
      </c>
      <c r="FA5" s="48" t="str">
        <f>IF(AT5&gt;0,CHAR(34)&amp;"sta"&amp;AZ5&amp;CHAR(34)&amp;",","")</f>
        <v>"staRED",</v>
      </c>
      <c r="FB5" s="48" t="str">
        <f>IF(AND(AT5&gt;0,BA5&lt;&gt;""),CHAR(34)&amp;"sta"&amp;BA5&amp;CHAR(34)&amp;",","")</f>
        <v/>
      </c>
      <c r="FC5" s="48" t="str">
        <f>IF(AND(AT5&gt;0,BB5&lt;&gt;""),CHAR(34)&amp;"sta"&amp;BB5&amp;CHAR(34)&amp;",","")</f>
        <v/>
      </c>
      <c r="FD5" s="48" t="str">
        <f>IF(BV5="n",CHAR(34)&amp;"tcWHYE"&amp;CHAR(34)&amp;",",IF(BV5="y",CHAR(34)&amp;FD$1&amp;CHAR(34)&amp;",",""))</f>
        <v/>
      </c>
      <c r="FE5" s="48" t="str">
        <f>IF(COUNTIF(BL5:BT5,"BLU")=0,CHAR(34)&amp;"NO_BLU"&amp;CHAR(34)&amp;",", "")</f>
        <v>"NO_BLU",</v>
      </c>
      <c r="FF5" s="48" t="str">
        <f>IF(COUNTIF(BL5:BT5,"WHI")=0,CHAR(34)&amp;"NO_WHI"&amp;CHAR(34)&amp;",", "")</f>
        <v>"NO_WHI",</v>
      </c>
      <c r="FG5" s="48" t="str">
        <f>IF(COUNTIF(BL5:BT5,"RED")=0,CHAR(34)&amp;"NO_RED"&amp;CHAR(34)&amp;",", "")</f>
        <v/>
      </c>
      <c r="FH5" s="48" t="str">
        <f>IF(COUNTIF(BL5:BS5,"GRE")=0,CHAR(34)&amp;"NO_GRE"&amp;CHAR(34)&amp;",", "")</f>
        <v>"NO_GRE",</v>
      </c>
      <c r="FI5" s="48" t="str">
        <f>IF(COUNTIF(BL5:BT5,"YEL")=0,CHAR(34)&amp;"NO_YEL"&amp;CHAR(34)&amp;",", "")</f>
        <v/>
      </c>
      <c r="FJ5" s="48" t="str">
        <f>IF(COUNTIF(BL5:BT5,"BLA")=0,CHAR(34)&amp;"NO_BLA"&amp;CHAR(34)&amp;",", "")</f>
        <v>"NO_BLA",</v>
      </c>
      <c r="FK5" s="48" t="str">
        <f>IF(AND(FH5&lt;&gt;"",FF5&lt;&gt;""),CHAR(34)&amp;"WHGRNO"&amp;CHAR(34)&amp;",","")</f>
        <v>"WHGRNO",</v>
      </c>
      <c r="FL5" s="48" t="str">
        <f>IF(AND(FI5&lt;&gt;"",FF5&lt;&gt;""),CHAR(34)&amp;"WHYENO"&amp;CHAR(34)&amp;",","")</f>
        <v/>
      </c>
      <c r="FM5" s="48" t="str">
        <f>IF(AND(FJ5&lt;&gt;"",FF5&lt;&gt;""),CHAR(34)&amp;"BAWHNO"&amp;CHAR(34)&amp;",","")</f>
        <v>"BAWHNO",</v>
      </c>
      <c r="FN5" s="48" t="str">
        <f>IF(AND(FE5&lt;&gt;"",FF5&lt;&gt;""),CHAR(34)&amp;"BLWHNO"&amp;CHAR(34)&amp;",","")</f>
        <v>"BLWHNO",</v>
      </c>
      <c r="FO5" s="48" t="str">
        <f>IF(AND(FE5&lt;&gt;"",FG5&lt;&gt;""),CHAR(34)&amp;"BLRENO"&amp;CHAR(34)&amp;",","")</f>
        <v/>
      </c>
      <c r="FP5" s="48" t="str">
        <f>IF(AND(FF5&lt;&gt;"",FF5&lt;&gt;""),CHAR(34)&amp;"WHRENO"&amp;CHAR(34)&amp;",","")</f>
        <v>"WHRENO",</v>
      </c>
      <c r="FQ5" s="48" t="str">
        <f>IF(LEN(BF5)=3,CHAR(34)&amp;"001"&amp;BF5&amp;CHAR(34)&amp;",","")</f>
        <v/>
      </c>
      <c r="FR5" s="48" t="str">
        <f>IF(LEN(BG5)=3,CHAR(34)&amp;"002"&amp;BG5&amp;CHAR(34)&amp;",","")</f>
        <v/>
      </c>
      <c r="FS5" s="48" t="str">
        <f>IF(LEN(BH5)=3,CHAR(34)&amp;"003"&amp;BH5&amp;CHAR(34)&amp;",","")</f>
        <v/>
      </c>
      <c r="FT5" s="48" t="str">
        <f>CHAR(34)&amp;"myr"&amp;BD5&amp;CHAR(34)&amp;","</f>
        <v>"myrYEL",</v>
      </c>
      <c r="FU5" s="48" t="str">
        <f>IF(AY5="y",CHAR(34)&amp;"island"&amp;CHAR(34)&amp;",","")</f>
        <v/>
      </c>
      <c r="FV5" s="48" t="str">
        <f>IF(BZ5="y",CHAR(34)&amp;"landlo"&amp;CHAR(34)&amp;",","")</f>
        <v/>
      </c>
      <c r="FW5" s="48" t="str">
        <f>IF(CA5="y",CHAR(34)&amp;"eunion"&amp;CHAR(34)&amp;",","")</f>
        <v/>
      </c>
      <c r="FX5" s="48" t="str">
        <f>SUBSTITUTE(IFERROR(SEARCH("[",A5),IFERROR(IF(AND(CA5&lt;&gt;"y",SEARCH("Europe",R5)&gt;0),CHAR(34)&amp;"noeuni"&amp;CHAR(34)&amp;",",""),"")),"1","")</f>
        <v/>
      </c>
      <c r="FY5" s="48" t="str">
        <f>IFERROR(IF(SEARCH("Arabic",CB5)&gt;0,CHAR(34)&amp;"arabic"&amp;CHAR(34)&amp;",",""),"")</f>
        <v/>
      </c>
      <c r="FZ5" s="48" t="str">
        <f>IFERROR(IF(SEARCH("English",CB5)&gt;0,CHAR(34)&amp;"englis"&amp;CHAR(34)&amp;",",""),"")</f>
        <v/>
      </c>
      <c r="GA5" s="48" t="str">
        <f>IFERROR(IF(SEARCH("French",CB5)&gt;0,CHAR(34)&amp;"french"&amp;CHAR(34)&amp;",",""),"")</f>
        <v/>
      </c>
      <c r="GB5" s="48" t="str">
        <f>IFERROR(IF(SEARCH("Spanish",CB5)&gt;0,CHAR(34)&amp;"spanis"&amp;CHAR(34)&amp;",",""),"")</f>
        <v/>
      </c>
      <c r="GC5" s="48" t="str">
        <f>IFERROR(IF(SEARCH("Portuguese",CB5)&gt;0,CHAR(34)&amp;"portug"&amp;CHAR(34)&amp;",",""),"")</f>
        <v/>
      </c>
      <c r="GD5" s="48" t="str">
        <f>IFERROR(IF(SEARCH("German",CB5)&gt;0,CHAR(34)&amp;"german"&amp;CHAR(34)&amp;",",""),"")</f>
        <v/>
      </c>
      <c r="GE5" s="48" t="str">
        <f>IFERROR(IF(SEARCH("Dutch",CB5)&gt;0,CHAR(34)&amp;"dutchs"&amp;CHAR(34)&amp;",",""),"")</f>
        <v/>
      </c>
      <c r="GF5" s="48" t="str">
        <f>IFERROR(IF(SEARCH("Historical",AU5)&gt;0,CHAR(34)&amp;"histor"&amp;CHAR(34)&amp;",",""),"")</f>
        <v/>
      </c>
      <c r="GG5" s="48" t="str">
        <f>IF(BU5="y",CHAR(34)&amp;"unjack"&amp;CHAR(34)&amp;",","")</f>
        <v/>
      </c>
      <c r="GH5" s="48" t="str">
        <f>IF(CD5=1,CHAR(34)&amp;"southc"&amp;CHAR(34)&amp;",","")</f>
        <v/>
      </c>
      <c r="GI5" s="48" t="str">
        <f>IF(CE5=1,CHAR(34)&amp;"hasmap"&amp;CHAR(34)&amp;",","")</f>
        <v/>
      </c>
      <c r="GJ5" s="48" t="str">
        <f>IF(CP5="y",CHAR(34)&amp;CP$1&amp;CHAR(34)&amp;",","")</f>
        <v/>
      </c>
      <c r="GK5" s="48" t="str">
        <f>IF(GJ5="",CHAR(34)&amp;"HasSta"&amp;CHAR(34)&amp;",","")</f>
        <v>"HasSta",</v>
      </c>
      <c r="GL5" s="48" t="str">
        <f>IF(CQ5="y",CHAR(34)&amp;CQ$1&amp;CHAR(34)&amp;",","")</f>
        <v>"1Stars",</v>
      </c>
      <c r="GM5" s="48" t="str">
        <f>IF(CR5="y",CHAR(34)&amp;CR$1&amp;CHAR(34)&amp;",","")</f>
        <v/>
      </c>
      <c r="GN5" s="48" t="str">
        <f>IF(CS5="y",CHAR(34)&amp;CS$1&amp;CHAR(34)&amp;",","")</f>
        <v/>
      </c>
      <c r="GP5" s="48" t="str">
        <f>CHAR(34)&amp;AU5&amp;CHAR(34)</f>
        <v>"Autonomous Island"</v>
      </c>
      <c r="GS5" s="48" t="str">
        <f>SUBSTITUTE("["&amp;_xlfn.CONCAT(CW5:GN5)&amp;"]",",]","]")</f>
        <v>["2Color","lets06","startM","REDYEL","year00","NoBand","Center","staRED","NO_BLU","NO_WHI","NO_GRE","NO_BLA","WHGRNO","BAWHNO","BLWHNO","WHRENO","myrYEL","HasSta","1Stars"]</v>
      </c>
      <c r="GT5" s="48" t="str">
        <f>IF(BL5&lt;&gt;"",CHAR(34)&amp;"cl_"&amp;BL5&amp;CHAR(34)&amp;",","")</f>
        <v>"cl_YEL",</v>
      </c>
      <c r="GU5" s="48" t="str">
        <f>IF(BM5&lt;&gt;"",CHAR(34)&amp;"cl_"&amp;BM5&amp;CHAR(34)&amp;",","")</f>
        <v>"cl_RED",</v>
      </c>
      <c r="GV5" s="48" t="str">
        <f>IF(BN5&lt;&gt;"",CHAR(34)&amp;"cl_"&amp;BN5&amp;CHAR(34)&amp;",","")</f>
        <v/>
      </c>
      <c r="GW5" s="48" t="str">
        <f>IF(BO5&lt;&gt;"",CHAR(34)&amp;"cl_"&amp;BO5&amp;CHAR(34)&amp;",","")</f>
        <v/>
      </c>
      <c r="GX5" s="48" t="str">
        <f>IF(BP5&lt;&gt;"",CHAR(34)&amp;"cl_"&amp;BP5&amp;CHAR(34)&amp;",","")</f>
        <v/>
      </c>
      <c r="GY5" s="48" t="str">
        <f>IF(BQ5&lt;&gt;"",CHAR(34)&amp;"cl_"&amp;BQ5&amp;CHAR(34)&amp;",","")</f>
        <v/>
      </c>
      <c r="GZ5" s="48" t="str">
        <f>IF(BR5&lt;&gt;"",CHAR(34)&amp;"cl_"&amp;BR5&amp;CHAR(34)&amp;",","")</f>
        <v/>
      </c>
      <c r="HA5" s="48" t="str">
        <f>IF(BS5&lt;&gt;"",CHAR(34)&amp;"cl_"&amp;BS5&amp;CHAR(34)&amp;",","")</f>
        <v/>
      </c>
      <c r="HB5" s="48" t="str">
        <f>IF(BT5&lt;&gt;"",CHAR(34)&amp;"cl_"&amp;BT5&amp;CHAR(34)&amp;",","")</f>
        <v/>
      </c>
      <c r="HC5" s="48" t="str">
        <f>SUBSTITUTE("["&amp;_xlfn.CONCAT(GT5:HB5)&amp;"]",",]","]")</f>
        <v>["cl_YEL","cl_RED"]</v>
      </c>
      <c r="HE5" s="71"/>
      <c r="HF5" s="72" t="str">
        <f>"{couname:"&amp;CT5&amp;(IF(HK5&lt;&gt;"",",subtype:"&amp;CHAR(34)&amp;HK5&amp;CHAR(34),""))&amp;",year:"&amp;HJ5&amp;",region:"&amp;CU5&amp;",Colors:"&amp;HC5&amp;",Items:"&amp;GS5&amp;",Flag:"&amp;CV5&amp;",HDFlag:"&amp;CHAR(34)&amp;E5&amp;CHAR(34)&amp;",type:"&amp;GP5&amp;", describe: "&amp;HH5&amp;", isnew:"&amp;CHAR(34)&amp;F5&amp;CHAR(34)&amp;", links: "&amp;HL5&amp;"},"</f>
        <v>{couname:"[COM] Moheli",year:"2003 ",region:"rgn_Africa",Colors:["cl_YEL","cl_RED"],Items:["2Color","lets06","startM","REDYEL","year00","NoBand","Center","staRED","NO_BLU","NO_WHI","NO_GRE","NO_BLA","WHGRNO","BAWHNO","BLWHNO","WHRENO","myrYEL","HasSta","1Stars"],Flag:"https://upload.wikimedia.org/wikipedia/commons/thumb/c/c2/Flag_of_Moh%C3%A9li_%28official%29.svg/383px-Flag_of_Moh%C3%A9li_%28official%29.svg.png",HDFlag:"https://upload.wikimedia.org/wikipedia/commons/thumb/c/c2/Flag_of_Moh%C3%A9li_%28official%29.svg/2560px-Flag_of_Moh%C3%A9li_%28official%29.svg.png",type:"Autonomous Island", describe: "\nMohéli, also known as Mwali, is an autonomously-governed island that forms part of the Union of the Comoros. It is the smallest of the three major islands in the country.", isnew:".", links: "https://en.wikipedia.org/wiki/Mohéli"},</v>
      </c>
      <c r="HG5" s="73" t="str">
        <f>"{couname:"&amp;CT5&amp;(IF(HK5&lt;&gt;"",",subtype:"&amp;CHAR(34)&amp;HK5&amp;CHAR(34),""))&amp;",year:"&amp;HJ5&amp;",region:"&amp;CU5&amp;",Colors:"&amp;HC5&amp;",Items:"&amp;GS5&amp;",Flag:"&amp;CV5&amp;",HDFlag:"&amp;CHAR(34)&amp;E5&amp;CHAR(34)&amp;",type:"&amp;GP5&amp;", describe: "&amp;HI5&amp;", links: "&amp;HL5&amp;"},"</f>
        <v>{couname:"[COM] Moheli",year:"2003 ",region:"rgn_Africa",Colors:["cl_YEL","cl_RED"],Items:["2Color","lets06","startM","REDYEL","year00","NoBand","Center","staRED","NO_BLU","NO_WHI","NO_GRE","NO_BLA","WHGRNO","BAWHNO","BLWHNO","WHRENO","myrYEL","HasSta","1Stars"],Flag:"https://upload.wikimedia.org/wikipedia/commons/thumb/c/c2/Flag_of_Moh%C3%A9li_%28official%29.svg/383px-Flag_of_Moh%C3%A9li_%28official%29.svg.png",HDFlag:"https://upload.wikimedia.org/wikipedia/commons/thumb/c/c2/Flag_of_Moh%C3%A9li_%28official%29.svg/2560px-Flag_of_Moh%C3%A9li_%28official%29.svg.png",type:"Autonomous Island", describe: "\nMohéli, also known as Mwali, is an autonomously-governed island that forms part of the Union of the Comoros. It is the smallest of the three major islands in the country.", links: "https://en.wikipedia.org/wiki/Mohéli"},</v>
      </c>
      <c r="HH5" s="48" t="str">
        <f>IF(P5&lt;&gt;"",CHAR(34)&amp;"\n"&amp;P5&amp;CHAR(34),CHAR(34)&amp;CHAR(34))</f>
        <v>"\nMohéli, also known as Mwali, is an autonomously-governed island that forms part of the Union of the Comoros. It is the smallest of the three major islands in the country."</v>
      </c>
      <c r="HI5" s="48" t="str">
        <f>IF(J5=0,CHAR(34)&amp;CHAR(34),HH5)</f>
        <v>"\nMohéli, also known as Mwali, is an autonomously-governed island that forms part of the Union of the Comoros. It is the smallest of the three major islands in the country."</v>
      </c>
      <c r="HJ5" s="48" t="str">
        <f>CHAR(34)&amp;O5&amp;CHAR(34)</f>
        <v>"2003 "</v>
      </c>
      <c r="HL5" s="48" t="str">
        <f>CHAR(34)&amp;I5&amp;CHAR(34)</f>
        <v>"https://en.wikipedia.org/wiki/Mohéli"</v>
      </c>
      <c r="HM5" s="72" t="str">
        <f>"{"&amp;CHAR(34)&amp;"couname"&amp;CHAR(34)&amp;":"&amp;CT5&amp;(IF(H5&lt;&gt;"",","&amp;CHAR(34)&amp;"subtype"&amp;CHAR(34)&amp;":"&amp;CHAR(34)&amp;H5&amp;CHAR(34),""))&amp;","&amp;CHAR(34)&amp;"year"&amp;CHAR(34)&amp;":"&amp;HJ5&amp;","&amp;CHAR(34)&amp;"region"&amp;CHAR(34)&amp;":"&amp;CU5&amp;","&amp;CHAR(34)&amp;"Colors"&amp;CHAR(34)&amp;":"&amp;HC5&amp;","&amp;CHAR(34)&amp;"Items"&amp;CHAR(34)&amp;":"&amp;GS5&amp;","&amp;CHAR(34)&amp;"Flag"&amp;CHAR(34)&amp;":"&amp;CV5&amp;","&amp;CHAR(34)&amp;"HDFlag"&amp;CHAR(34)&amp;":"&amp;CHAR(34)&amp;E5&amp;CHAR(34)&amp;","&amp;CHAR(34)&amp;"type"&amp;CHAR(34)&amp;":"&amp;GP5&amp;", "&amp;CHAR(34)&amp;"describe"&amp;CHAR(34)&amp;": "&amp;HH5&amp;", "&amp;CHAR(34)&amp;"isnew"&amp;CHAR(34)&amp;": "&amp;CHAR(34)&amp;F5&amp;CHAR(34)&amp;", "&amp;CHAR(34)&amp;"links"&amp;CHAR(34)&amp;": "&amp;HL5&amp;"},"</f>
        <v>{"couname":"[COM] Moheli","year":"2003 ","region":"rgn_Africa","Colors":["cl_YEL","cl_RED"],"Items":["2Color","lets06","startM","REDYEL","year00","NoBand","Center","staRED","NO_BLU","NO_WHI","NO_GRE","NO_BLA","WHGRNO","BAWHNO","BLWHNO","WHRENO","myrYEL","HasSta","1Stars"],"Flag":"https://upload.wikimedia.org/wikipedia/commons/thumb/c/c2/Flag_of_Moh%C3%A9li_%28official%29.svg/383px-Flag_of_Moh%C3%A9li_%28official%29.svg.png","HDFlag":"https://upload.wikimedia.org/wikipedia/commons/thumb/c/c2/Flag_of_Moh%C3%A9li_%28official%29.svg/2560px-Flag_of_Moh%C3%A9li_%28official%29.svg.png","type":"Autonomous Island", "describe": "\nMohéli, also known as Mwali, is an autonomously-governed island that forms part of the Union of the Comoros. It is the smallest of the three major islands in the country.", "isnew": ".", "links": "https://en.wikipedia.org/wiki/Mohéli"},</v>
      </c>
      <c r="HN5" s="74" t="str">
        <f>"{"&amp;CHAR(34)&amp;"couname"&amp;CHAR(34)&amp;":"&amp;CT5&amp;(IF(H5&lt;&gt;"",","&amp;CHAR(34)&amp;"subtype"&amp;CHAR(34)&amp;":"&amp;CHAR(34)&amp;H5&amp;CHAR(34),""))&amp;","&amp;CHAR(34)&amp;"year"&amp;CHAR(34)&amp;":"&amp;HJ5&amp;","&amp;CHAR(34)&amp;"region"&amp;CHAR(34)&amp;":"&amp;CU5&amp;","&amp;CHAR(34)&amp;"Colors"&amp;CHAR(34)&amp;":"&amp;HC5&amp;","&amp;CHAR(34)&amp;"Items"&amp;CHAR(34)&amp;":"&amp;GS5&amp;","&amp;CHAR(34)&amp;"Flag"&amp;CHAR(34)&amp;":"&amp;CV5&amp;","&amp;CHAR(34)&amp;"HDFlag"&amp;CHAR(34)&amp;":"&amp;CHAR(34)&amp;E5&amp;CHAR(34)&amp;","&amp;CHAR(34)&amp;"type"&amp;CHAR(34)&amp;":"&amp;GP5&amp;", "&amp;CHAR(34)&amp;"describe"&amp;CHAR(34)&amp;": "&amp;HI5&amp;", "&amp;CHAR(34)&amp;"isnew"&amp;CHAR(34)&amp;": "&amp;CHAR(34)&amp;F5&amp;CHAR(34)&amp;", "&amp;CHAR(34)&amp;"links"&amp;CHAR(34)&amp;": "&amp;HL5&amp;"},"</f>
        <v>{"couname":"[COM] Moheli","year":"2003 ","region":"rgn_Africa","Colors":["cl_YEL","cl_RED"],"Items":["2Color","lets06","startM","REDYEL","year00","NoBand","Center","staRED","NO_BLU","NO_WHI","NO_GRE","NO_BLA","WHGRNO","BAWHNO","BLWHNO","WHRENO","myrYEL","HasSta","1Stars"],"Flag":"https://upload.wikimedia.org/wikipedia/commons/thumb/c/c2/Flag_of_Moh%C3%A9li_%28official%29.svg/383px-Flag_of_Moh%C3%A9li_%28official%29.svg.png","HDFlag":"https://upload.wikimedia.org/wikipedia/commons/thumb/c/c2/Flag_of_Moh%C3%A9li_%28official%29.svg/2560px-Flag_of_Moh%C3%A9li_%28official%29.svg.png","type":"Autonomous Island", "describe": "\nMohéli, also known as Mwali, is an autonomously-governed island that forms part of the Union of the Comoros. It is the smallest of the three major islands in the country.", "isnew": ".", "links": "https://en.wikipedia.org/wiki/Mohéli"},</v>
      </c>
      <c r="HO5" s="75"/>
      <c r="HP5" s="48" t="str" cm="1">
        <f t="array" ref="HP5">IF(_xlfn.TEXTJOIN(", ", TRUE, IF(ISNUMBER(SEARCH("BLA", BL5:BT5)), COLUMN(BL5:BT5) - COLUMN(BL5) + 1, ""))&lt;&gt;"","BLA","")</f>
        <v/>
      </c>
      <c r="HQ5" s="48" t="str" cm="1">
        <f t="array" ref="HQ5">IF(_xlfn.TEXTJOIN(", ", TRUE, IF(ISNUMBER(SEARCH("BLU", BL5:BT5)), COLUMN(BL5:BT5) - COLUMN(BL5) + 1, ""))&lt;&gt;"","BLU","")</f>
        <v/>
      </c>
      <c r="HR5" s="48" t="str" cm="1">
        <f t="array" ref="HR5">IF(_xlfn.TEXTJOIN(", ", TRUE, IF(ISNUMBER(SEARCH("GRE", BL5:BT5)), COLUMN(BL5:BT5) - COLUMN(BL5) + 1, ""))&lt;&gt;"","GRE","")</f>
        <v/>
      </c>
      <c r="HS5" s="48" t="str" cm="1">
        <f t="array" ref="HS5">IF(_xlfn.TEXTJOIN(", ", TRUE, IF(ISNUMBER(SEARCH("RED", BL5:BT5)), COLUMN(BL5:BT5) - COLUMN(BL5) + 1, ""))&lt;&gt;"","RED","")</f>
        <v>RED</v>
      </c>
      <c r="HT5" s="48" t="str" cm="1">
        <f t="array" ref="HT5">IF(_xlfn.TEXTJOIN(", ", TRUE, IF(ISNUMBER(SEARCH("YEL", BL5:BT5)), COLUMN(BL5:BT5) - COLUMN(BL5) + 1, ""))&lt;&gt;"","YEL","")</f>
        <v>YEL</v>
      </c>
      <c r="HU5" s="48" t="str" cm="1">
        <f t="array" ref="HU5">IF(_xlfn.TEXTJOIN(", ", TRUE, IF(ISNUMBER(SEARCH("ORA", BL5:BT5)), COLUMN(BL5:BT5) - COLUMN(BL5) + 1, ""))&lt;&gt;"","ORA","")</f>
        <v/>
      </c>
      <c r="HV5" s="48" t="str" cm="1">
        <f t="array" ref="HV5">IF(_xlfn.TEXTJOIN(", ", TRUE, IF(ISNUMBER(SEARCH("BRO", BL5:BT5)), COLUMN(BL5:BT5) - COLUMN(BL5) + 1, ""))&lt;&gt;"","BRO","")</f>
        <v/>
      </c>
      <c r="HW5" s="48" t="str" cm="1">
        <f t="array" ref="HW5">IF(_xlfn.TEXTJOIN(", ", TRUE, IF(ISNUMBER(SEARCH("PUR", BL5:BT5)), COLUMN(BL5:BT5) - COLUMN(BL5) + 1, ""))&lt;&gt;"","PUR","")</f>
        <v/>
      </c>
      <c r="HX5" s="48" t="str" cm="1">
        <f t="array" ref="HX5">IF(_xlfn.TEXTJOIN(", ", TRUE, IF(ISNUMBER(SEARCH("WHI", BL5:BT5)), COLUMN(BL5:BT5) - COLUMN(BL5) + 1, ""))&lt;&gt;"","WHI","")</f>
        <v/>
      </c>
      <c r="HY5" s="76"/>
      <c r="HZ5" s="76"/>
      <c r="IA5" s="6"/>
      <c r="IB5" s="6"/>
      <c r="IC5" s="77"/>
      <c r="ID5" s="77"/>
      <c r="IE5" s="77"/>
      <c r="IF5" s="77"/>
      <c r="IG5" s="77"/>
      <c r="IH5" s="77"/>
      <c r="II5" s="77"/>
      <c r="IJ5" s="77"/>
      <c r="IK5" s="77"/>
      <c r="IL5" s="48">
        <f>SUM(IC5:IK5)</f>
        <v>0</v>
      </c>
      <c r="IM5" s="45">
        <f>COUNTIF(IC5:IK5,"&gt;0")-CG5</f>
        <v>-2</v>
      </c>
      <c r="IN5" s="78" t="str">
        <f>"http://mkweb.bcgsc.ca/color-summarizer/?url="&amp;D5&amp;"&amp;precision=low&amp;num_clusters="&amp;CG5&amp;"&amp;text=1"</f>
        <v>http://mkweb.bcgsc.ca/color-summarizer/?url=https://upload.wikimedia.org/wikipedia/commons/thumb/c/c2/Flag_of_Moh%C3%A9li_%28official%29.svg/383px-Flag_of_Moh%C3%A9li_%28official%29.svg.png&amp;precision=low&amp;num_clusters=2&amp;text=1</v>
      </c>
      <c r="IO5" s="48" t="str">
        <f>IF(HP5&lt;&gt;"",CHAR(34)&amp;"black"&amp;CHAR(34),"")</f>
        <v/>
      </c>
      <c r="IP5" s="48" t="str">
        <f>IF(HQ5&lt;&gt;"",CHAR(34)&amp;"blue"&amp;CHAR(34),"")</f>
        <v/>
      </c>
      <c r="IQ5" s="48" t="str">
        <f>IF(HR5&lt;&gt;"",CHAR(34)&amp;"green"&amp;CHAR(34),"")</f>
        <v/>
      </c>
      <c r="IR5" s="48" t="str">
        <f>IF(HS5&lt;&gt;"",CHAR(34)&amp;"red"&amp;CHAR(34),"")</f>
        <v>"red"</v>
      </c>
      <c r="IS5" s="48" t="str">
        <f>IF(HT5&lt;&gt;"",CHAR(34)&amp;"yellow"&amp;CHAR(34),"")</f>
        <v>"yellow"</v>
      </c>
      <c r="IT5" s="48" t="str">
        <f>IF(HU5&lt;&gt;"",CHAR(34)&amp;"orange"&amp;CHAR(34),"")</f>
        <v/>
      </c>
      <c r="IU5" s="48" t="str">
        <f>IF(HV5&lt;&gt;"",CHAR(34)&amp;"brown"&amp;CHAR(34),"")</f>
        <v/>
      </c>
      <c r="IV5" s="48" t="str">
        <f>IF(HW5&lt;&gt;"",CHAR(34)&amp;"purple"&amp;CHAR(34),"")</f>
        <v/>
      </c>
      <c r="IW5" s="48" t="str">
        <f>IF(HX5&lt;&gt;"",CHAR(34)&amp;"white"&amp;CHAR(34),"")</f>
        <v/>
      </c>
      <c r="IX5" s="48" t="str">
        <f>"{"&amp;CHAR(34)&amp;"url"&amp;CHAR(34)&amp;":"&amp;CHAR(34)&amp;IN5&amp;CHAR(34)&amp;","&amp;CHAR(34)&amp;"name"&amp;CHAR(34)&amp;":"&amp;CHAR(34)&amp;A5&amp;CHAR(34)&amp;"},"</f>
        <v>{"url":"http://mkweb.bcgsc.ca/color-summarizer/?url=https://upload.wikimedia.org/wikipedia/commons/thumb/c/c2/Flag_of_Moh%C3%A9li_%28official%29.svg/383px-Flag_of_Moh%C3%A9li_%28official%29.svg.png&amp;precision=low&amp;num_clusters=2&amp;text=1","name":"[COM] Moheli"},</v>
      </c>
      <c r="IY5" s="48">
        <v>381</v>
      </c>
    </row>
    <row r="6" spans="1:259" ht="38.4" customHeight="1" x14ac:dyDescent="0.3">
      <c r="F6" s="82"/>
      <c r="G6" s="82"/>
      <c r="H6" s="82"/>
      <c r="I6" s="82"/>
      <c r="J6" s="82"/>
      <c r="K6" s="82"/>
    </row>
    <row r="7" spans="1:259" ht="38.4" customHeight="1" x14ac:dyDescent="0.3">
      <c r="K7" s="81"/>
    </row>
    <row r="8" spans="1:259" ht="38.4" customHeight="1" x14ac:dyDescent="0.3">
      <c r="K8" s="81"/>
    </row>
    <row r="9" spans="1:259" ht="38.4" customHeight="1" x14ac:dyDescent="0.3">
      <c r="K9" s="81"/>
    </row>
    <row r="10" spans="1:259" ht="38.4" customHeight="1" x14ac:dyDescent="0.3">
      <c r="K10" s="81"/>
    </row>
  </sheetData>
  <autoFilter ref="A1:IY1" xr:uid="{A1051193-A95B-4CFB-A73C-F0184620C81F}">
    <sortState xmlns:xlrd2="http://schemas.microsoft.com/office/spreadsheetml/2017/richdata2" ref="A2:IY5">
      <sortCondition ref="AW1"/>
    </sortState>
  </autoFilter>
  <conditionalFormatting sqref="H1 CW1:GS1 IA1:IB1">
    <cfRule type="cellIs" dxfId="5433" priority="118" operator="greaterThan">
      <formula>0</formula>
    </cfRule>
  </conditionalFormatting>
  <conditionalFormatting sqref="H1 H7:H1048576 G7:K10">
    <cfRule type="cellIs" dxfId="5432" priority="84" stopIfTrue="1" operator="notEqual">
      <formula>""</formula>
    </cfRule>
  </conditionalFormatting>
  <conditionalFormatting sqref="T1:BK1">
    <cfRule type="cellIs" dxfId="5431" priority="121" operator="greaterThan">
      <formula>0</formula>
    </cfRule>
  </conditionalFormatting>
  <conditionalFormatting sqref="BV1:BW1 BV6:BW1048576">
    <cfRule type="cellIs" dxfId="5430" priority="120" operator="equal">
      <formula>"nc"</formula>
    </cfRule>
  </conditionalFormatting>
  <conditionalFormatting sqref="HF1:HG1">
    <cfRule type="cellIs" dxfId="5429" priority="122" operator="greaterThan">
      <formula>0</formula>
    </cfRule>
  </conditionalFormatting>
  <conditionalFormatting sqref="HK1">
    <cfRule type="cellIs" dxfId="5428" priority="119" operator="greaterThan">
      <formula>0</formula>
    </cfRule>
  </conditionalFormatting>
  <conditionalFormatting sqref="HP1:HX1">
    <cfRule type="cellIs" dxfId="5427" priority="96" operator="equal">
      <formula>"PIN"</formula>
    </cfRule>
    <cfRule type="cellIs" dxfId="5426" priority="97" operator="equal">
      <formula>"ORA"</formula>
    </cfRule>
    <cfRule type="cellIs" dxfId="5425" priority="98" operator="equal">
      <formula>"GRA"</formula>
    </cfRule>
    <cfRule type="cellIs" dxfId="5424" priority="99" operator="equal">
      <formula>"PUR"</formula>
    </cfRule>
    <cfRule type="cellIs" dxfId="5423" priority="100" operator="equal">
      <formula>"BRO"</formula>
    </cfRule>
    <cfRule type="cellIs" dxfId="5422" priority="101" operator="equal">
      <formula>"YEL"</formula>
    </cfRule>
    <cfRule type="cellIs" dxfId="5421" priority="102" operator="equal">
      <formula>"BLU"</formula>
    </cfRule>
    <cfRule type="cellIs" dxfId="5420" priority="103" operator="equal">
      <formula>"WHI"</formula>
    </cfRule>
    <cfRule type="cellIs" dxfId="5419" priority="104" operator="equal">
      <formula>"GRE"</formula>
    </cfRule>
    <cfRule type="cellIs" dxfId="5418" priority="105" operator="equal">
      <formula>"RED"</formula>
    </cfRule>
    <cfRule type="cellIs" dxfId="5417" priority="106" operator="equal">
      <formula>"BLA"</formula>
    </cfRule>
  </conditionalFormatting>
  <conditionalFormatting sqref="IC1:IK1">
    <cfRule type="cellIs" dxfId="5416" priority="107" operator="equal">
      <formula>"PIN"</formula>
    </cfRule>
    <cfRule type="cellIs" dxfId="5415" priority="108" operator="equal">
      <formula>"ORA"</formula>
    </cfRule>
    <cfRule type="cellIs" dxfId="5414" priority="109" operator="equal">
      <formula>"GRA"</formula>
    </cfRule>
    <cfRule type="cellIs" dxfId="5413" priority="110" operator="equal">
      <formula>"PUR"</formula>
    </cfRule>
    <cfRule type="cellIs" dxfId="5412" priority="111" operator="equal">
      <formula>"BRO"</formula>
    </cfRule>
    <cfRule type="cellIs" dxfId="5411" priority="112" operator="equal">
      <formula>"YEL"</formula>
    </cfRule>
    <cfRule type="cellIs" dxfId="5410" priority="113" operator="equal">
      <formula>"BLU"</formula>
    </cfRule>
    <cfRule type="cellIs" dxfId="5409" priority="114" operator="equal">
      <formula>"WHI"</formula>
    </cfRule>
    <cfRule type="cellIs" dxfId="5408" priority="115" operator="equal">
      <formula>"GRE"</formula>
    </cfRule>
    <cfRule type="cellIs" dxfId="5407" priority="116" operator="equal">
      <formula>"RED"</formula>
    </cfRule>
    <cfRule type="cellIs" dxfId="5406" priority="117" operator="equal">
      <formula>"BLA"</formula>
    </cfRule>
  </conditionalFormatting>
  <conditionalFormatting sqref="IO1:IW1">
    <cfRule type="cellIs" dxfId="5405" priority="85" operator="equal">
      <formula>"PIN"</formula>
    </cfRule>
    <cfRule type="cellIs" dxfId="5404" priority="86" operator="equal">
      <formula>"ORA"</formula>
    </cfRule>
    <cfRule type="cellIs" dxfId="5403" priority="87" operator="equal">
      <formula>"GRA"</formula>
    </cfRule>
    <cfRule type="cellIs" dxfId="5402" priority="88" operator="equal">
      <formula>"PUR"</formula>
    </cfRule>
    <cfRule type="cellIs" dxfId="5401" priority="89" operator="equal">
      <formula>"BRO"</formula>
    </cfRule>
    <cfRule type="cellIs" dxfId="5400" priority="90" operator="equal">
      <formula>"YEL"</formula>
    </cfRule>
    <cfRule type="cellIs" dxfId="5399" priority="91" operator="equal">
      <formula>"BLU"</formula>
    </cfRule>
    <cfRule type="cellIs" dxfId="5398" priority="92" operator="equal">
      <formula>"WHI"</formula>
    </cfRule>
    <cfRule type="cellIs" dxfId="5397" priority="93" operator="equal">
      <formula>"GRE"</formula>
    </cfRule>
    <cfRule type="cellIs" dxfId="5396" priority="94" operator="equal">
      <formula>"RED"</formula>
    </cfRule>
    <cfRule type="cellIs" dxfId="5395" priority="95" operator="equal">
      <formula>"BLA"</formula>
    </cfRule>
  </conditionalFormatting>
  <conditionalFormatting sqref="H2">
    <cfRule type="cellIs" dxfId="5394" priority="77" stopIfTrue="1" operator="notEqual">
      <formula>""</formula>
    </cfRule>
  </conditionalFormatting>
  <conditionalFormatting sqref="R2 CU2">
    <cfRule type="cellIs" dxfId="5393" priority="79" operator="greaterThan">
      <formula>0</formula>
    </cfRule>
  </conditionalFormatting>
  <conditionalFormatting sqref="T2:AS2 CH2:CS2">
    <cfRule type="cellIs" dxfId="5392" priority="74" stopIfTrue="1" operator="equal">
      <formula>"n"</formula>
    </cfRule>
    <cfRule type="cellIs" dxfId="5391" priority="75" stopIfTrue="1" operator="equal">
      <formula>"y"</formula>
    </cfRule>
    <cfRule type="cellIs" dxfId="5390" priority="76" operator="greaterThan">
      <formula>0</formula>
    </cfRule>
  </conditionalFormatting>
  <conditionalFormatting sqref="AZ2:BB2">
    <cfRule type="expression" dxfId="5389" priority="61">
      <formula>$AT2=0</formula>
    </cfRule>
  </conditionalFormatting>
  <conditionalFormatting sqref="AZ2:BU2">
    <cfRule type="cellIs" dxfId="5388" priority="62" operator="equal">
      <formula>"PIN"</formula>
    </cfRule>
    <cfRule type="cellIs" dxfId="5387" priority="63" operator="equal">
      <formula>"ORA"</formula>
    </cfRule>
    <cfRule type="cellIs" dxfId="5386" priority="64" operator="equal">
      <formula>"GRA"</formula>
    </cfRule>
    <cfRule type="cellIs" dxfId="5385" priority="65" operator="equal">
      <formula>"PUR"</formula>
    </cfRule>
    <cfRule type="cellIs" dxfId="5384" priority="66" operator="equal">
      <formula>"BRO"</formula>
    </cfRule>
    <cfRule type="cellIs" dxfId="5383" priority="67" operator="equal">
      <formula>"YEL"</formula>
    </cfRule>
    <cfRule type="cellIs" dxfId="5382" priority="68" operator="equal">
      <formula>"BLU"</formula>
    </cfRule>
    <cfRule type="cellIs" dxfId="5381" priority="69" operator="equal">
      <formula>"WHI"</formula>
    </cfRule>
    <cfRule type="cellIs" dxfId="5380" priority="70" operator="equal">
      <formula>"GRE"</formula>
    </cfRule>
    <cfRule type="cellIs" dxfId="5379" priority="71" operator="equal">
      <formula>"RED"</formula>
    </cfRule>
    <cfRule type="cellIs" dxfId="5378" priority="72" operator="equal">
      <formula>"BLA"</formula>
    </cfRule>
  </conditionalFormatting>
  <conditionalFormatting sqref="BV2">
    <cfRule type="cellIs" dxfId="5377" priority="78" operator="equal">
      <formula>"nc"</formula>
    </cfRule>
  </conditionalFormatting>
  <conditionalFormatting sqref="CD2:CF2 BZ2:CA2">
    <cfRule type="cellIs" dxfId="5376" priority="73" operator="greaterThan">
      <formula>0</formula>
    </cfRule>
  </conditionalFormatting>
  <conditionalFormatting sqref="IC2:IK2">
    <cfRule type="expression" dxfId="5375" priority="60">
      <formula>$IL2&gt;0</formula>
    </cfRule>
  </conditionalFormatting>
  <conditionalFormatting sqref="BX2:CA2 CD2:CF2">
    <cfRule type="cellIs" dxfId="5374" priority="48" operator="equal">
      <formula>"y"</formula>
    </cfRule>
    <cfRule type="cellIs" dxfId="5373" priority="49" operator="equal">
      <formula>"PIN"</formula>
    </cfRule>
    <cfRule type="cellIs" dxfId="5372" priority="50" operator="equal">
      <formula>"ORA"</formula>
    </cfRule>
    <cfRule type="cellIs" dxfId="5371" priority="51" operator="equal">
      <formula>"GRA"</formula>
    </cfRule>
    <cfRule type="cellIs" dxfId="5370" priority="52" operator="equal">
      <formula>"PUR"</formula>
    </cfRule>
    <cfRule type="cellIs" dxfId="5369" priority="53" operator="equal">
      <formula>"BRO"</formula>
    </cfRule>
    <cfRule type="cellIs" dxfId="5368" priority="54" operator="equal">
      <formula>"YEL"</formula>
    </cfRule>
    <cfRule type="cellIs" dxfId="5367" priority="55" operator="equal">
      <formula>"BLU"</formula>
    </cfRule>
    <cfRule type="cellIs" dxfId="5366" priority="56" operator="equal">
      <formula>"WHI"</formula>
    </cfRule>
    <cfRule type="cellIs" dxfId="5365" priority="57" operator="equal">
      <formula>"GRE"</formula>
    </cfRule>
    <cfRule type="cellIs" dxfId="5364" priority="58" operator="equal">
      <formula>"RED"</formula>
    </cfRule>
    <cfRule type="cellIs" dxfId="5363" priority="59" operator="equal">
      <formula>"BLA"</formula>
    </cfRule>
  </conditionalFormatting>
  <conditionalFormatting sqref="J2">
    <cfRule type="colorScale" priority="80">
      <colorScale>
        <cfvo type="min"/>
        <cfvo type="percentile" val="50"/>
        <cfvo type="max"/>
        <color rgb="FFF8696B"/>
        <color rgb="FFFFEB84"/>
        <color rgb="FF63BE7B"/>
      </colorScale>
    </cfRule>
  </conditionalFormatting>
  <conditionalFormatting sqref="S2">
    <cfRule type="colorScale" priority="81">
      <colorScale>
        <cfvo type="min"/>
        <cfvo type="max"/>
        <color rgb="FFFCFCFF"/>
        <color rgb="FF754BFB"/>
      </colorScale>
    </cfRule>
  </conditionalFormatting>
  <conditionalFormatting sqref="AT2">
    <cfRule type="colorScale" priority="82">
      <colorScale>
        <cfvo type="min"/>
        <cfvo type="max"/>
        <color rgb="FFFCFCFF"/>
        <color theme="8" tint="0.39997558519241921"/>
      </colorScale>
    </cfRule>
  </conditionalFormatting>
  <conditionalFormatting sqref="CG2">
    <cfRule type="colorScale" priority="83">
      <colorScale>
        <cfvo type="min"/>
        <cfvo type="max"/>
        <color rgb="FFFCFCFF"/>
        <color rgb="FF63BE7B"/>
      </colorScale>
    </cfRule>
  </conditionalFormatting>
  <conditionalFormatting sqref="H3:H5">
    <cfRule type="cellIs" dxfId="5362" priority="40" stopIfTrue="1" operator="notEqual">
      <formula>""</formula>
    </cfRule>
  </conditionalFormatting>
  <conditionalFormatting sqref="R3:R5 CU3:CU5">
    <cfRule type="cellIs" dxfId="5361" priority="43" operator="greaterThan">
      <formula>0</formula>
    </cfRule>
  </conditionalFormatting>
  <conditionalFormatting sqref="T3:AS5 CH3:CS5">
    <cfRule type="cellIs" dxfId="5360" priority="37" stopIfTrue="1" operator="equal">
      <formula>"n"</formula>
    </cfRule>
    <cfRule type="cellIs" dxfId="5359" priority="38" stopIfTrue="1" operator="equal">
      <formula>"y"</formula>
    </cfRule>
    <cfRule type="cellIs" dxfId="5358" priority="39" operator="greaterThan">
      <formula>0</formula>
    </cfRule>
  </conditionalFormatting>
  <conditionalFormatting sqref="AZ3:BB5">
    <cfRule type="expression" dxfId="5357" priority="24">
      <formula>$AT3=0</formula>
    </cfRule>
  </conditionalFormatting>
  <conditionalFormatting sqref="CD3:CF5 BX3:CA5 AZ3:BU5">
    <cfRule type="cellIs" dxfId="5356" priority="25" operator="equal">
      <formula>"PIN"</formula>
    </cfRule>
    <cfRule type="cellIs" dxfId="5355" priority="26" operator="equal">
      <formula>"ORA"</formula>
    </cfRule>
    <cfRule type="cellIs" dxfId="5354" priority="27" operator="equal">
      <formula>"GRA"</formula>
    </cfRule>
    <cfRule type="cellIs" dxfId="5353" priority="28" operator="equal">
      <formula>"PUR"</formula>
    </cfRule>
    <cfRule type="cellIs" dxfId="5352" priority="29" operator="equal">
      <formula>"BRO"</formula>
    </cfRule>
    <cfRule type="cellIs" dxfId="5351" priority="30" operator="equal">
      <formula>"YEL"</formula>
    </cfRule>
    <cfRule type="cellIs" dxfId="5350" priority="31" operator="equal">
      <formula>"BLU"</formula>
    </cfRule>
    <cfRule type="cellIs" dxfId="5349" priority="32" operator="equal">
      <formula>"WHI"</formula>
    </cfRule>
    <cfRule type="cellIs" dxfId="5348" priority="33" operator="equal">
      <formula>"GRE"</formula>
    </cfRule>
    <cfRule type="cellIs" dxfId="5347" priority="34" operator="equal">
      <formula>"RED"</formula>
    </cfRule>
    <cfRule type="cellIs" dxfId="5346" priority="35" operator="equal">
      <formula>"BLA"</formula>
    </cfRule>
  </conditionalFormatting>
  <conditionalFormatting sqref="BV3:BV5">
    <cfRule type="cellIs" dxfId="5345" priority="42" operator="equal">
      <formula>"nc"</formula>
    </cfRule>
  </conditionalFormatting>
  <conditionalFormatting sqref="CD3:CF5 BX3:CA5">
    <cfRule type="cellIs" dxfId="5344" priority="41" operator="equal">
      <formula>"y"</formula>
    </cfRule>
  </conditionalFormatting>
  <conditionalFormatting sqref="CD3:CF5 BZ3:CA5">
    <cfRule type="cellIs" dxfId="5343" priority="36" operator="greaterThan">
      <formula>0</formula>
    </cfRule>
  </conditionalFormatting>
  <conditionalFormatting sqref="IC3:IK5">
    <cfRule type="expression" dxfId="5342" priority="23">
      <formula>$IL3&gt;0</formula>
    </cfRule>
  </conditionalFormatting>
  <conditionalFormatting sqref="IC3:IC5">
    <cfRule type="cellIs" dxfId="5341" priority="17" stopIfTrue="1" operator="greaterThan">
      <formula>0</formula>
    </cfRule>
  </conditionalFormatting>
  <conditionalFormatting sqref="ID3:ID5">
    <cfRule type="cellIs" dxfId="5340" priority="15" stopIfTrue="1" operator="greaterThan">
      <formula>0</formula>
    </cfRule>
  </conditionalFormatting>
  <conditionalFormatting sqref="II3:II5 IE3:IF5">
    <cfRule type="cellIs" dxfId="5339" priority="22" operator="greaterThan">
      <formula>0</formula>
    </cfRule>
  </conditionalFormatting>
  <conditionalFormatting sqref="II3:II5 IF3:IF5">
    <cfRule type="cellIs" dxfId="5338" priority="16" stopIfTrue="1" operator="greaterThan">
      <formula>0</formula>
    </cfRule>
  </conditionalFormatting>
  <conditionalFormatting sqref="IG3:IG5">
    <cfRule type="cellIs" dxfId="5337" priority="21" operator="greaterThan">
      <formula>0</formula>
    </cfRule>
  </conditionalFormatting>
  <conditionalFormatting sqref="IH3:II5">
    <cfRule type="cellIs" dxfId="5336" priority="20" operator="greaterThan">
      <formula>0</formula>
    </cfRule>
  </conditionalFormatting>
  <conditionalFormatting sqref="IJ3:IJ5">
    <cfRule type="cellIs" dxfId="5335" priority="19" operator="greaterThan">
      <formula>0</formula>
    </cfRule>
  </conditionalFormatting>
  <conditionalFormatting sqref="IK3:IK5">
    <cfRule type="cellIs" dxfId="5334" priority="18" operator="greaterThan">
      <formula>0</formula>
    </cfRule>
  </conditionalFormatting>
  <conditionalFormatting sqref="IF3:IF5">
    <cfRule type="cellIs" dxfId="5333" priority="14" stopIfTrue="1" operator="greaterThan">
      <formula>0</formula>
    </cfRule>
  </conditionalFormatting>
  <conditionalFormatting sqref="IM3:IM5">
    <cfRule type="cellIs" dxfId="5332" priority="13" operator="equal">
      <formula>0</formula>
    </cfRule>
  </conditionalFormatting>
  <conditionalFormatting sqref="BX3:CA5 CD3:CF5">
    <cfRule type="cellIs" dxfId="5331" priority="1" operator="equal">
      <formula>"y"</formula>
    </cfRule>
    <cfRule type="cellIs" dxfId="5330" priority="2" operator="equal">
      <formula>"PIN"</formula>
    </cfRule>
    <cfRule type="cellIs" dxfId="5329" priority="3" operator="equal">
      <formula>"ORA"</formula>
    </cfRule>
    <cfRule type="cellIs" dxfId="5328" priority="4" operator="equal">
      <formula>"GRA"</formula>
    </cfRule>
    <cfRule type="cellIs" dxfId="5327" priority="5" operator="equal">
      <formula>"PUR"</formula>
    </cfRule>
    <cfRule type="cellIs" dxfId="5326" priority="6" operator="equal">
      <formula>"BRO"</formula>
    </cfRule>
    <cfRule type="cellIs" dxfId="5325" priority="7" operator="equal">
      <formula>"YEL"</formula>
    </cfRule>
    <cfRule type="cellIs" dxfId="5324" priority="8" operator="equal">
      <formula>"BLU"</formula>
    </cfRule>
    <cfRule type="cellIs" dxfId="5323" priority="9" operator="equal">
      <formula>"WHI"</formula>
    </cfRule>
    <cfRule type="cellIs" dxfId="5322" priority="10" operator="equal">
      <formula>"GRE"</formula>
    </cfRule>
    <cfRule type="cellIs" dxfId="5321" priority="11" operator="equal">
      <formula>"RED"</formula>
    </cfRule>
    <cfRule type="cellIs" dxfId="5320" priority="12" operator="equal">
      <formula>"BLA"</formula>
    </cfRule>
  </conditionalFormatting>
  <conditionalFormatting sqref="AT3:AT5">
    <cfRule type="colorScale" priority="44">
      <colorScale>
        <cfvo type="min"/>
        <cfvo type="max"/>
        <color rgb="FFFCFCFF"/>
        <color theme="8" tint="0.39997558519241921"/>
      </colorScale>
    </cfRule>
  </conditionalFormatting>
  <conditionalFormatting sqref="S3:S5">
    <cfRule type="colorScale" priority="45">
      <colorScale>
        <cfvo type="min"/>
        <cfvo type="max"/>
        <color rgb="FFFCFCFF"/>
        <color rgb="FF754BFB"/>
      </colorScale>
    </cfRule>
  </conditionalFormatting>
  <conditionalFormatting sqref="J3:J5">
    <cfRule type="colorScale" priority="46">
      <colorScale>
        <cfvo type="min"/>
        <cfvo type="percentile" val="50"/>
        <cfvo type="max"/>
        <color rgb="FFF8696B"/>
        <color rgb="FFFFEB84"/>
        <color rgb="FF63BE7B"/>
      </colorScale>
    </cfRule>
  </conditionalFormatting>
  <conditionalFormatting sqref="CG3:CG5">
    <cfRule type="colorScale" priority="47">
      <colorScale>
        <cfvo type="min"/>
        <cfvo type="max"/>
        <color rgb="FFFCFCFF"/>
        <color rgb="FF63BE7B"/>
      </colorScale>
    </cfRule>
  </conditionalFormatting>
  <hyperlinks>
    <hyperlink ref="A2" r:id="rId1" display="https://fbref.com/en/country/COM/Comoros-Football" xr:uid="{DF10615A-DF7A-49AC-9483-9C49AE3378E9}"/>
    <hyperlink ref="E2" r:id="rId2" xr:uid="{1DF7F3B9-E5BC-42E6-97D3-93313B504E8E}"/>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2769" r:id="rId6"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32770" r:id="rId7"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32771" r:id="rId8"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27C1-F01E-4D93-8168-7DC18BE9D2B8}">
  <sheetPr codeName="Sheet44"/>
  <dimension ref="A1:IY10"/>
  <sheetViews>
    <sheetView zoomScale="70" zoomScaleNormal="70" workbookViewId="0">
      <pane xSplit="5" ySplit="1" topLeftCell="F2" activePane="bottomRight" state="frozen"/>
      <selection pane="topRight" activeCell="F1" sqref="F1"/>
      <selection pane="bottomLeft" activeCell="A2" sqref="A2"/>
      <selection pane="bottomRight" activeCell="M3" sqref="M3"/>
    </sheetView>
  </sheetViews>
  <sheetFormatPr defaultRowHeight="38.4" customHeight="1" x14ac:dyDescent="0.3"/>
  <cols>
    <col min="1" max="1" width="52.44140625" style="81" bestFit="1" customWidth="1"/>
    <col min="2" max="2" width="10.109375" style="81" customWidth="1"/>
    <col min="3" max="3" width="7.44140625" style="82" customWidth="1"/>
    <col min="4" max="4" width="4.77734375" style="83" customWidth="1"/>
    <col min="5" max="5" width="4.5546875" style="83" customWidth="1"/>
    <col min="6" max="6" width="5.77734375" style="83" customWidth="1"/>
    <col min="7" max="7" width="7.44140625" style="81" customWidth="1"/>
    <col min="8" max="8" width="11.44140625" style="81" customWidth="1"/>
    <col min="9" max="9" width="10" style="81" customWidth="1"/>
    <col min="10" max="10" width="4.21875" style="81" customWidth="1"/>
    <col min="11" max="11" width="5.6640625" style="83" customWidth="1"/>
    <col min="12" max="12" width="2.88671875" style="83" customWidth="1"/>
    <col min="13" max="13" width="6.44140625" style="83" customWidth="1"/>
    <col min="14" max="14" width="4.5546875" style="83" customWidth="1"/>
    <col min="15" max="15" width="10.5546875" style="84" customWidth="1"/>
    <col min="16" max="16" width="6.88671875" style="83" customWidth="1"/>
    <col min="17" max="17" width="4.77734375" style="83" customWidth="1"/>
    <col min="18" max="18" width="13.109375" style="82" customWidth="1"/>
    <col min="19" max="19" width="6.77734375" style="82" customWidth="1"/>
    <col min="20" max="46" width="8.44140625" style="81" customWidth="1"/>
    <col min="47" max="47" width="24.5546875" style="81" customWidth="1"/>
    <col min="48" max="51" width="16.6640625" style="81" customWidth="1"/>
    <col min="52" max="52" width="6.5546875" style="81" customWidth="1"/>
    <col min="53" max="54" width="5.88671875" style="81" customWidth="1"/>
    <col min="55" max="55" width="1.33203125" style="81" customWidth="1"/>
    <col min="56" max="56" width="7.44140625" style="81" customWidth="1"/>
    <col min="57" max="57" width="2.33203125" style="81" customWidth="1"/>
    <col min="58" max="62" width="6.109375" style="81" customWidth="1"/>
    <col min="63" max="63" width="2.33203125" style="81" customWidth="1"/>
    <col min="64" max="64" width="7" style="81" bestFit="1" customWidth="1"/>
    <col min="65" max="65" width="6.44140625" style="81" bestFit="1" customWidth="1"/>
    <col min="66" max="66" width="7.109375" style="81" bestFit="1" customWidth="1"/>
    <col min="67" max="71" width="6.44140625" style="81" bestFit="1" customWidth="1"/>
    <col min="72" max="73" width="6.44140625" style="81" customWidth="1"/>
    <col min="74" max="75" width="13.44140625" style="81" customWidth="1"/>
    <col min="76" max="84" width="14.6640625" style="81" customWidth="1"/>
    <col min="85" max="85" width="6.44140625" style="81" customWidth="1"/>
    <col min="86" max="87" width="11.6640625" style="81" bestFit="1" customWidth="1"/>
    <col min="88" max="88" width="11.6640625" style="81" customWidth="1"/>
    <col min="89" max="89" width="12.77734375" style="81" bestFit="1" customWidth="1"/>
    <col min="90" max="90" width="16.44140625" style="82" bestFit="1" customWidth="1"/>
    <col min="91" max="92" width="14.88671875" style="82" bestFit="1" customWidth="1"/>
    <col min="93" max="93" width="16" style="82" bestFit="1" customWidth="1"/>
    <col min="94" max="97" width="7.77734375" style="81" customWidth="1"/>
    <col min="98" max="98" width="33.21875" style="81" customWidth="1"/>
    <col min="99" max="99" width="18" style="81" customWidth="1"/>
    <col min="100" max="100" width="75.6640625" style="81" customWidth="1"/>
    <col min="101" max="125" width="33" style="81" customWidth="1"/>
    <col min="126" max="126" width="8.88671875" style="81"/>
    <col min="127" max="128" width="9.44140625" style="81" bestFit="1" customWidth="1"/>
    <col min="129" max="129" width="10.77734375" style="81" bestFit="1" customWidth="1"/>
    <col min="130" max="134" width="10.77734375" style="81" customWidth="1"/>
    <col min="135" max="135" width="10.109375" style="81" bestFit="1" customWidth="1"/>
    <col min="136" max="136" width="7.77734375" style="81" bestFit="1" customWidth="1"/>
    <col min="137" max="137" width="7.77734375" style="81" customWidth="1"/>
    <col min="138" max="138" width="9" style="81" bestFit="1" customWidth="1"/>
    <col min="139" max="139" width="11.33203125" style="81" bestFit="1" customWidth="1"/>
    <col min="140" max="140" width="9.109375" style="81" bestFit="1" customWidth="1"/>
    <col min="141" max="141" width="9" style="81" bestFit="1" customWidth="1"/>
    <col min="142" max="142" width="12" style="81" bestFit="1" customWidth="1"/>
    <col min="143" max="166" width="12" style="81" customWidth="1"/>
    <col min="167" max="167" width="17.21875" style="81" customWidth="1"/>
    <col min="168" max="191" width="12" style="81" customWidth="1"/>
    <col min="192" max="192" width="8.5546875" style="81" bestFit="1" customWidth="1"/>
    <col min="193" max="193" width="8.5546875" style="81" customWidth="1"/>
    <col min="194" max="194" width="7.109375" style="81" bestFit="1" customWidth="1"/>
    <col min="195" max="195" width="7.5546875" style="81" bestFit="1" customWidth="1"/>
    <col min="196" max="196" width="8.5546875" style="81" bestFit="1" customWidth="1"/>
    <col min="197" max="200" width="8.5546875" style="81" customWidth="1"/>
    <col min="201" max="201" width="188.88671875" style="81" customWidth="1"/>
    <col min="202" max="202" width="9.5546875" style="81" bestFit="1" customWidth="1"/>
    <col min="203" max="203" width="10.44140625" style="81" bestFit="1" customWidth="1"/>
    <col min="204" max="204" width="11.109375" style="81" bestFit="1" customWidth="1"/>
    <col min="205" max="205" width="10.44140625" style="81" bestFit="1" customWidth="1"/>
    <col min="206" max="210" width="10.44140625" style="81" customWidth="1"/>
    <col min="211" max="211" width="45.44140625" style="81" customWidth="1"/>
    <col min="212" max="212" width="47.5546875" style="81" bestFit="1" customWidth="1"/>
    <col min="213" max="213" width="9.33203125" style="85" customWidth="1"/>
    <col min="214" max="214" width="119.5546875" style="81" customWidth="1"/>
    <col min="215" max="215" width="69.6640625" style="81" customWidth="1"/>
    <col min="216" max="218" width="8.88671875" style="81"/>
    <col min="219" max="219" width="37.109375" style="81" customWidth="1"/>
    <col min="220" max="220" width="16.33203125" style="81" customWidth="1"/>
    <col min="221" max="222" width="8.88671875" style="81"/>
    <col min="223" max="223" width="10.109375" style="81" bestFit="1" customWidth="1"/>
    <col min="224" max="232" width="10.88671875" style="81" customWidth="1"/>
    <col min="233" max="234" width="30.77734375" style="81" customWidth="1"/>
    <col min="235" max="235" width="5.109375" style="81" customWidth="1"/>
    <col min="236" max="236" width="3" style="81" customWidth="1"/>
    <col min="237" max="245" width="6.77734375" style="86" customWidth="1"/>
    <col min="246" max="247" width="8.88671875" style="81"/>
    <col min="248" max="248" width="61.5546875" style="81" customWidth="1"/>
    <col min="249" max="253" width="8.88671875" style="81"/>
    <col min="254" max="254" width="9" style="81" customWidth="1"/>
    <col min="255" max="16384" width="8.88671875" style="8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702</v>
      </c>
      <c r="B2" s="40" t="e" vm="28">
        <v>#VALUE!</v>
      </c>
      <c r="C2" s="41">
        <v>1</v>
      </c>
      <c r="D2" s="42" t="s">
        <v>703</v>
      </c>
      <c r="E2" s="43" t="s">
        <v>704</v>
      </c>
      <c r="F2" s="44" t="s">
        <v>163</v>
      </c>
      <c r="G2" s="45">
        <f>COUNTIF($A$1:$A$8361,A2)</f>
        <v>1</v>
      </c>
      <c r="H2" s="46"/>
      <c r="I2" s="47" t="s">
        <v>699</v>
      </c>
      <c r="J2" s="48" t="str">
        <f>""</f>
        <v/>
      </c>
      <c r="K2" s="49">
        <v>598682</v>
      </c>
      <c r="L2" s="50">
        <v>1000000</v>
      </c>
      <c r="M2" s="50" t="s">
        <v>1109</v>
      </c>
      <c r="N2" s="51" t="s">
        <v>180</v>
      </c>
      <c r="O2" s="52" t="s">
        <v>705</v>
      </c>
      <c r="P2" s="53" t="s">
        <v>706</v>
      </c>
      <c r="Q2" s="54">
        <v>2</v>
      </c>
      <c r="R2" s="55" t="s">
        <v>180</v>
      </c>
      <c r="S2" s="56">
        <v>5</v>
      </c>
      <c r="T2" s="57" t="s">
        <v>164</v>
      </c>
      <c r="U2" s="58" t="s">
        <v>164</v>
      </c>
      <c r="V2" s="58" t="s">
        <v>167</v>
      </c>
      <c r="W2" s="58" t="s">
        <v>164</v>
      </c>
      <c r="X2" s="58" t="s">
        <v>167</v>
      </c>
      <c r="Y2" s="58" t="s">
        <v>164</v>
      </c>
      <c r="Z2" s="58" t="s">
        <v>164</v>
      </c>
      <c r="AA2" s="58" t="s">
        <v>164</v>
      </c>
      <c r="AB2" s="58" t="s">
        <v>164</v>
      </c>
      <c r="AC2" s="58" t="s">
        <v>164</v>
      </c>
      <c r="AD2" s="58" t="s">
        <v>164</v>
      </c>
      <c r="AE2" s="58" t="s">
        <v>164</v>
      </c>
      <c r="AF2" s="59" t="s">
        <v>164</v>
      </c>
      <c r="AG2" s="59" t="s">
        <v>167</v>
      </c>
      <c r="AH2" s="59" t="s">
        <v>164</v>
      </c>
      <c r="AI2" s="59" t="s">
        <v>164</v>
      </c>
      <c r="AJ2" s="59" t="s">
        <v>164</v>
      </c>
      <c r="AK2" s="59" t="s">
        <v>164</v>
      </c>
      <c r="AL2" s="59" t="s">
        <v>164</v>
      </c>
      <c r="AM2" s="59" t="s">
        <v>164</v>
      </c>
      <c r="AN2" s="59" t="s">
        <v>164</v>
      </c>
      <c r="AO2" s="59" t="s">
        <v>164</v>
      </c>
      <c r="AP2" s="59" t="s">
        <v>164</v>
      </c>
      <c r="AQ2" s="59" t="s">
        <v>164</v>
      </c>
      <c r="AR2" s="59" t="s">
        <v>164</v>
      </c>
      <c r="AS2" s="59" t="s">
        <v>164</v>
      </c>
      <c r="AT2" s="60">
        <v>10</v>
      </c>
      <c r="AU2" s="59"/>
      <c r="AV2" s="59" t="str">
        <f>IF(LEFT(A2,1)="[",LEFT(A2,5)&amp;AU2&amp;A2,"")</f>
        <v/>
      </c>
      <c r="AW2" s="59" t="str">
        <f t="shared" ref="AW2" si="0">C2&amp;H2&amp;A2</f>
        <v>1Cape Verde</v>
      </c>
      <c r="AX2" s="61" t="str">
        <f>_xlfn.TEXTJOIN(";",TRUE,AU2:AW2)</f>
        <v>1Cape Verde</v>
      </c>
      <c r="AY2" s="61" t="s">
        <v>167</v>
      </c>
      <c r="AZ2" s="62" t="s">
        <v>155</v>
      </c>
      <c r="BA2" s="62"/>
      <c r="BB2" s="62"/>
      <c r="BC2" s="63"/>
      <c r="BD2" s="64" t="s">
        <v>152</v>
      </c>
      <c r="BE2" s="47"/>
      <c r="BF2" s="64" t="s">
        <v>152</v>
      </c>
      <c r="BG2" s="64" t="s">
        <v>154</v>
      </c>
      <c r="BH2" s="64" t="s">
        <v>152</v>
      </c>
      <c r="BI2" s="64" t="s">
        <v>159</v>
      </c>
      <c r="BJ2" s="64"/>
      <c r="BK2" s="47"/>
      <c r="BL2" s="64" t="s">
        <v>152</v>
      </c>
      <c r="BM2" s="64" t="s">
        <v>159</v>
      </c>
      <c r="BN2" s="64" t="s">
        <v>154</v>
      </c>
      <c r="BO2" s="64" t="s">
        <v>155</v>
      </c>
      <c r="BP2" s="64"/>
      <c r="BQ2" s="64"/>
      <c r="BR2" s="64"/>
      <c r="BS2" s="64"/>
      <c r="BT2" s="64"/>
      <c r="BU2" s="65"/>
      <c r="BV2" s="66" t="s">
        <v>164</v>
      </c>
      <c r="BW2" s="66" t="s">
        <v>166</v>
      </c>
      <c r="BX2" s="47"/>
      <c r="CB2" s="6" t="s">
        <v>139</v>
      </c>
      <c r="CC2" s="6"/>
      <c r="CD2" s="67">
        <v>0</v>
      </c>
      <c r="CE2" s="67">
        <v>0</v>
      </c>
      <c r="CF2" s="67" t="e">
        <v>#REF!</v>
      </c>
      <c r="CG2" s="68" cm="1">
        <f t="array" ref="CG2">SUMPRODUCT(--(LEN(TRIM(BL2:BT2))&gt;0))</f>
        <v>4</v>
      </c>
      <c r="CH2" s="59" t="str">
        <f>IF(CG2=2,"y","n")</f>
        <v>n</v>
      </c>
      <c r="CI2" s="59" t="str">
        <f>IF(CG2=3,"y","n")</f>
        <v>n</v>
      </c>
      <c r="CJ2" s="59" t="str">
        <f>IF(CG2=4,"y","n")</f>
        <v>y</v>
      </c>
      <c r="CK2" s="59" t="str">
        <f>IF(CG2&gt;4,"y","n")</f>
        <v>n</v>
      </c>
      <c r="CL2" s="59" t="str">
        <f>IF(S2=0,"y","n")</f>
        <v>n</v>
      </c>
      <c r="CM2" s="59" t="str">
        <f>IF(S2=2,"y","n")</f>
        <v>n</v>
      </c>
      <c r="CN2" s="59" t="str">
        <f>IF(S2=3,"y","n")</f>
        <v>n</v>
      </c>
      <c r="CO2" s="59" t="str">
        <f>IF(S2&gt;=4,"y","n")</f>
        <v>y</v>
      </c>
      <c r="CP2" s="59" t="str">
        <f>IF(AT2=0,"y","n")</f>
        <v>n</v>
      </c>
      <c r="CQ2" s="59" t="str">
        <f>IF(AT2=1,"y","n")</f>
        <v>n</v>
      </c>
      <c r="CR2" s="59" t="str">
        <f>IF(AT2=2,"y","n")</f>
        <v>n</v>
      </c>
      <c r="CS2" s="59" t="str">
        <f>IF(AT2&gt;=3,"y","n")</f>
        <v>y</v>
      </c>
      <c r="CT2" s="69" t="str">
        <f>CHAR(34)&amp;A2&amp;CHAR(34)</f>
        <v>"Cape Verde"</v>
      </c>
      <c r="CU2" s="70" t="str">
        <f>CHAR(34)&amp;"rgn_"&amp;R2&amp;CHAR(34)</f>
        <v>"rgn_Africa"</v>
      </c>
      <c r="CV2" s="48" t="str">
        <f>CHAR(34)&amp;D2&amp;CHAR(34)</f>
        <v>"https://i.ibb.co/gF5snpg/Cape-Verde-Flag.png"</v>
      </c>
      <c r="CW2" s="48" t="str">
        <f>IF(CH2="y",CHAR(34)&amp;CH$1&amp;CHAR(34)&amp;",","")</f>
        <v/>
      </c>
      <c r="CX2" s="48" t="str">
        <f>IF(CI2="y",CHAR(34)&amp;CI$1&amp;CHAR(34)&amp;",","")</f>
        <v/>
      </c>
      <c r="CY2" s="48" t="str">
        <f>IF(CJ2="y",CHAR(34)&amp;CJ$1&amp;CHAR(34)&amp;",","")</f>
        <v>"4Color",</v>
      </c>
      <c r="CZ2" s="48" t="str">
        <f>IF(CK2="y",CHAR(34)&amp;CK$1&amp;CHAR(34)&amp;",","")</f>
        <v/>
      </c>
      <c r="DA2" s="48" t="str">
        <f>IF(Q2&gt;1,CHAR(34)&amp;"words2"&amp;CHAR(34)&amp;",","")</f>
        <v>"words2",</v>
      </c>
      <c r="DB2" s="48" t="str">
        <f>IF(Q2&gt;2,CHAR(34)&amp;"words3"&amp;CHAR(34)&amp;",","")</f>
        <v/>
      </c>
      <c r="DC2" s="48" t="str">
        <f>IF(Q2=2,CHAR(34)&amp;"exact2"&amp;CHAR(34)&amp;",","")</f>
        <v>"exact2",</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"lets09",</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"startC",</v>
      </c>
      <c r="DF2" s="48" t="str">
        <f>IFERROR(IF(SEARCH("tan",A2)&gt;0,CHAR(34)&amp;"withtn"&amp;CHAR(34)&amp;",",""),"")</f>
        <v/>
      </c>
      <c r="DG2" s="48" t="str">
        <f>IFERROR(IF(SEARCH("q",A2)&gt;0,CHAR(34)&amp;"with_q"&amp;CHAR(34)&amp;",",""),"")</f>
        <v/>
      </c>
      <c r="DH2" s="48" t="str">
        <f>IFERROR(IF(SEARCH("v",A2)&gt;0,CHAR(34)&amp;"with_v"&amp;CHAR(34)&amp;",",""),"")</f>
        <v>"with_v",</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
      </c>
      <c r="DS2" s="6" t="str">
        <f>IF(W2="y",IF(AND(V2="n",BY2&lt;&gt;"y"),CHAR(34)&amp;"allver"&amp;CHAR(34)&amp;",",""),"")</f>
        <v/>
      </c>
      <c r="DT2" s="6" t="str">
        <f>IF(V2="y",IF(AND(W2="n",BY2&lt;&gt;"y"),CHAR(34)&amp;"allhor"&amp;CHAR(34)&amp;",",""),"")</f>
        <v>"allhor",</v>
      </c>
      <c r="DU2" s="6" t="str">
        <f>IF(BY2="y",IF(AND(W2="n",V2="n"),CHAR(34)&amp;"alldia"&amp;CHAR(34)&amp;",",""),"")</f>
        <v/>
      </c>
      <c r="DV2" s="48" t="str">
        <f>IF(IA2&lt;&gt;"",(IF(IA2="y",CHAR(34)&amp;"largec"&amp;CHAR(34)&amp;",",CHAR(34)&amp;"smallc"&amp;CHAR(34)&amp;",")),"")</f>
        <v/>
      </c>
      <c r="DW2" s="48" t="str">
        <f>IF(CL2="y",CHAR(34)&amp;CL$1&amp;CHAR(34)&amp;",","")</f>
        <v/>
      </c>
      <c r="DX2" s="48" t="str">
        <f>IF(CM2="y",CHAR(34)&amp;CM$1&amp;CHAR(34)&amp;",","")</f>
        <v/>
      </c>
      <c r="DY2" s="48" t="str">
        <f>IF(CN2="y",CHAR(34)&amp;CN$1&amp;CHAR(34)&amp;",","")</f>
        <v/>
      </c>
      <c r="DZ2" s="48" t="str">
        <f>IF(CO2="y",CHAR(34)&amp;CO$1&amp;CHAR(34)&amp;",","")</f>
        <v>"4+Band",</v>
      </c>
      <c r="EA2" s="48" t="str">
        <f>IF(T2="y",CHAR(34)&amp;T$1&amp;CHAR(34)&amp;",","")</f>
        <v/>
      </c>
      <c r="EB2" s="48" t="str">
        <f>IF(U2="y",CHAR(34)&amp;U$1&amp;CHAR(34)&amp;",","")</f>
        <v/>
      </c>
      <c r="EC2" s="48" t="str">
        <f>IF(V2="y",CHAR(34)&amp;V$1&amp;CHAR(34)&amp;",","")</f>
        <v>"Horizo",</v>
      </c>
      <c r="ED2" s="48" t="str">
        <f>IF(W2="y",CHAR(34)&amp;W$1&amp;CHAR(34)&amp;",","")</f>
        <v/>
      </c>
      <c r="EE2" s="48" t="str">
        <f>IF(X2="y",CHAR(34)&amp;X$1&amp;CHAR(34)&amp;",","")</f>
        <v>"Circle",</v>
      </c>
      <c r="EF2" s="48" t="str">
        <f>IF(AND(Y2&lt;&gt;"n",Y2&lt;&gt;""),CHAR(34)&amp;Y$1&amp;CHAR(34)&amp;",","")</f>
        <v/>
      </c>
      <c r="EG2" s="48" t="str">
        <f>IF(Z2="y",CHAR(34)&amp;Z$1&amp;CHAR(34)&amp;",","")</f>
        <v/>
      </c>
      <c r="EH2" s="48" t="str">
        <f>IF(AA2="y",CHAR(34)&amp;AA$1&amp;CHAR(34)&amp;",","")</f>
        <v/>
      </c>
      <c r="EI2" s="48" t="str">
        <f>IF(AB2="y",CHAR(34)&amp;AB$1&amp;CHAR(34)&amp;",","")</f>
        <v/>
      </c>
      <c r="EJ2" s="48" t="str">
        <f>IF(AC2="y",CHAR(34)&amp;AC$1&amp;CHAR(34)&amp;",","")</f>
        <v/>
      </c>
      <c r="EK2" s="48" t="str">
        <f>IF(AD2="y",CHAR(34)&amp;AD$1&amp;CHAR(34)&amp;",","")</f>
        <v/>
      </c>
      <c r="EL2" s="48" t="str">
        <f>IF(AE2="y",CHAR(34)&amp;AE$1&amp;CHAR(34)&amp;",","")</f>
        <v/>
      </c>
      <c r="EM2" s="48" t="str">
        <f>IF(AF2="y",CHAR(34)&amp;AF$1&amp;CHAR(34)&amp;",","")</f>
        <v/>
      </c>
      <c r="EN2" s="48" t="str">
        <f>IF(AG2="y",CHAR(34)&amp;AG$1&amp;CHAR(34)&amp;",","")</f>
        <v>"Unequa",</v>
      </c>
      <c r="EO2" s="48" t="str">
        <f>IF(AH2="y",CHAR(34)&amp;AH$1&amp;CHAR(34)&amp;",","")</f>
        <v/>
      </c>
      <c r="EP2" s="48" t="str">
        <f>IF(AI2="y",CHAR(34)&amp;AI$1&amp;CHAR(34)&amp;",","")</f>
        <v/>
      </c>
      <c r="EQ2" s="48" t="str">
        <f>IF(AJ2="y",CHAR(34)&amp;AJ$1&amp;CHAR(34)&amp;",","")</f>
        <v/>
      </c>
      <c r="ER2" s="48" t="str">
        <f>IF(AK2="y",CHAR(34)&amp;AK$1&amp;CHAR(34)&amp;",","")</f>
        <v/>
      </c>
      <c r="ES2" s="48" t="str">
        <f>IF(AL2="y",CHAR(34)&amp;AL$1&amp;CHAR(34)&amp;",","")</f>
        <v/>
      </c>
      <c r="ET2" s="48" t="str">
        <f>IF(AM2="y",CHAR(34)&amp;AM$1&amp;CHAR(34)&amp;",","")</f>
        <v/>
      </c>
      <c r="EU2" s="48" t="str">
        <f>IF(AN2="y",CHAR(34)&amp;AN$1&amp;CHAR(34)&amp;",","")</f>
        <v/>
      </c>
      <c r="EV2" s="48" t="str">
        <f>IF(AO2="y",CHAR(34)&amp;AO$1&amp;CHAR(34)&amp;",","")</f>
        <v/>
      </c>
      <c r="EW2" s="48" t="str">
        <f>IF(AP2="y",CHAR(34)&amp;AP$1&amp;CHAR(34)&amp;",","")</f>
        <v/>
      </c>
      <c r="EX2" s="48" t="str">
        <f>IF(AQ2="y",CHAR(34)&amp;AQ$1&amp;CHAR(34)&amp;",","")</f>
        <v/>
      </c>
      <c r="EY2" s="48" t="str">
        <f>IF(AR2="y",CHAR(34)&amp;AR$1&amp;CHAR(34)&amp;",","")</f>
        <v/>
      </c>
      <c r="EZ2" s="48" t="str">
        <f>IF(AS2="y",CHAR(34)&amp;AS$1&amp;CHAR(34)&amp;",","")</f>
        <v/>
      </c>
      <c r="FA2" s="48" t="str">
        <f>IF(AT2&gt;0,CHAR(34)&amp;"sta"&amp;AZ2&amp;CHAR(34)&amp;",","")</f>
        <v>"staYEL",</v>
      </c>
      <c r="FB2" s="48" t="str">
        <f>IF(AND(AT2&gt;0,BA2&lt;&gt;""),CHAR(34)&amp;"sta"&amp;BA2&amp;CHAR(34)&amp;",","")</f>
        <v/>
      </c>
      <c r="FC2" s="48" t="str">
        <f>IF(AND(AT2&gt;0,BB2&lt;&gt;""),CHAR(34)&amp;"sta"&amp;BB2&amp;CHAR(34)&amp;",","")</f>
        <v/>
      </c>
      <c r="FD2" s="48" t="str">
        <f>IF(BV2="n",CHAR(34)&amp;"tcWHYE"&amp;CHAR(34)&amp;",",IF(BV2="y",CHAR(34)&amp;FD$1&amp;CHAR(34)&amp;",",""))</f>
        <v>"tcWHYE",</v>
      </c>
      <c r="FE2" s="48" t="str">
        <f>IF(COUNTIF(BL2:BT2,"BLU")=0,CHAR(34)&amp;"NO_BLU"&amp;CHAR(34)&amp;",", "")</f>
        <v/>
      </c>
      <c r="FF2" s="48" t="str">
        <f>IF(COUNTIF(BL2:BT2,"WHI")=0,CHAR(34)&amp;"NO_WHI"&amp;CHAR(34)&amp;",", "")</f>
        <v/>
      </c>
      <c r="FG2" s="48" t="str">
        <f>IF(COUNTIF(BL2:BT2,"RED")=0,CHAR(34)&amp;"NO_RED"&amp;CHAR(34)&amp;",", "")</f>
        <v/>
      </c>
      <c r="FH2" s="48" t="str">
        <f>IF(COUNTIF(BL2:BS2,"GRE")=0,CHAR(34)&amp;"NO_GRE"&amp;CHAR(34)&amp;",", "")</f>
        <v>"NO_GRE",</v>
      </c>
      <c r="FI2" s="48" t="str">
        <f>IF(COUNTIF(BL2:BT2,"YEL")=0,CHAR(34)&amp;"NO_YEL"&amp;CHAR(34)&amp;",", "")</f>
        <v/>
      </c>
      <c r="FJ2" s="48" t="str">
        <f>IF(COUNTIF(BL2:BT2,"BLA")=0,CHAR(34)&amp;"NO_BLA"&amp;CHAR(34)&amp;",", "")</f>
        <v>"NO_BLA",</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
      </c>
      <c r="FP2" s="48" t="str">
        <f>IF(AND(FF2&lt;&gt;"",FF2&lt;&gt;""),CHAR(34)&amp;"WHRENO"&amp;CHAR(34)&amp;",","")</f>
        <v/>
      </c>
      <c r="FQ2" s="48" t="str">
        <f>IF(LEN(BF2)=3,CHAR(34)&amp;"001"&amp;BF2&amp;CHAR(34)&amp;",","")</f>
        <v>"001BLU",</v>
      </c>
      <c r="FR2" s="48" t="str">
        <f>IF(LEN(BG2)=3,CHAR(34)&amp;"002"&amp;BG2&amp;CHAR(34)&amp;",","")</f>
        <v>"002RED",</v>
      </c>
      <c r="FS2" s="48" t="str">
        <f>IF(LEN(BH2)=3,CHAR(34)&amp;"003"&amp;BH2&amp;CHAR(34)&amp;",","")</f>
        <v>"003BLU",</v>
      </c>
      <c r="FT2" s="48" t="str">
        <f>CHAR(34)&amp;"myr"&amp;BD2&amp;CHAR(34)&amp;","</f>
        <v>"myrBLU",</v>
      </c>
      <c r="FU2" s="48" t="str">
        <f>IF(AY2="y",CHAR(34)&amp;"island"&amp;CHAR(34)&amp;",","")</f>
        <v>"island",</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
      </c>
      <c r="GA2" s="48" t="str">
        <f>IFERROR(IF(SEARCH("French",CB2)&gt;0,CHAR(34)&amp;"french"&amp;CHAR(34)&amp;",",""),"")</f>
        <v/>
      </c>
      <c r="GB2" s="48" t="str">
        <f>IFERROR(IF(SEARCH("Spanish",CB2)&gt;0,CHAR(34)&amp;"spanis"&amp;CHAR(34)&amp;",",""),"")</f>
        <v/>
      </c>
      <c r="GC2" s="48" t="str">
        <f>IFERROR(IF(SEARCH("Portuguese",CB2)&gt;0,CHAR(34)&amp;"portug"&amp;CHAR(34)&amp;",",""),"")</f>
        <v>"portug",</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
      </c>
      <c r="GK2" s="48" t="str">
        <f>IF(GJ2="",CHAR(34)&amp;"HasSta"&amp;CHAR(34)&amp;",","")</f>
        <v>"HasSta",</v>
      </c>
      <c r="GL2" s="48" t="str">
        <f>IF(CQ2="y",CHAR(34)&amp;CQ$1&amp;CHAR(34)&amp;",","")</f>
        <v/>
      </c>
      <c r="GM2" s="48" t="str">
        <f>IF(CR2="y",CHAR(34)&amp;CR$1&amp;CHAR(34)&amp;",","")</f>
        <v/>
      </c>
      <c r="GN2" s="48" t="str">
        <f>IF(CS2="y",CHAR(34)&amp;CS$1&amp;CHAR(34)&amp;",","")</f>
        <v>"3+Star",</v>
      </c>
      <c r="GP2" s="48" t="str">
        <f>CHAR(34)&amp;AU2&amp;CHAR(34)</f>
        <v>""</v>
      </c>
      <c r="GS2" s="48" t="str">
        <f>SUBSTITUTE("["&amp;_xlfn.CONCAT(CW2:GN2)&amp;"]",",]","]")</f>
        <v>["4Color","words2","exact2","lets09","startC","with_v","year19","allhor","4+Band","Horizo","Circle","Unequa","staYEL","tcWHYE","NO_GRE","NO_BLA","001BLU","002RED","003BLU","myrBLU","island","portug","HasSta","3+Star"]</v>
      </c>
      <c r="GT2" s="48" t="str">
        <f>IF(BL2&lt;&gt;"",CHAR(34)&amp;"cl_"&amp;BL2&amp;CHAR(34)&amp;",","")</f>
        <v>"cl_BLU",</v>
      </c>
      <c r="GU2" s="48" t="str">
        <f>IF(BM2&lt;&gt;"",CHAR(34)&amp;"cl_"&amp;BM2&amp;CHAR(34)&amp;",","")</f>
        <v>"cl_WHI",</v>
      </c>
      <c r="GV2" s="48" t="str">
        <f>IF(BN2&lt;&gt;"",CHAR(34)&amp;"cl_"&amp;BN2&amp;CHAR(34)&amp;",","")</f>
        <v>"cl_RED",</v>
      </c>
      <c r="GW2" s="48" t="str">
        <f>IF(BO2&lt;&gt;"",CHAR(34)&amp;"cl_"&amp;BO2&amp;CHAR(34)&amp;",","")</f>
        <v>"cl_YEL",</v>
      </c>
      <c r="GX2" s="48" t="str">
        <f>IF(BP2&lt;&gt;"",CHAR(34)&amp;"cl_"&amp;BP2&amp;CHAR(34)&amp;",","")</f>
        <v/>
      </c>
      <c r="GY2" s="48" t="str">
        <f>IF(BQ2&lt;&gt;"",CHAR(34)&amp;"cl_"&amp;BQ2&amp;CHAR(34)&amp;",","")</f>
        <v/>
      </c>
      <c r="GZ2" s="48" t="str">
        <f>IF(BR2&lt;&gt;"",CHAR(34)&amp;"cl_"&amp;BR2&amp;CHAR(34)&amp;",","")</f>
        <v/>
      </c>
      <c r="HA2" s="48" t="str">
        <f>IF(BS2&lt;&gt;"",CHAR(34)&amp;"cl_"&amp;BS2&amp;CHAR(34)&amp;",","")</f>
        <v/>
      </c>
      <c r="HB2" s="48" t="str">
        <f>IF(BT2&lt;&gt;"",CHAR(34)&amp;"cl_"&amp;BT2&amp;CHAR(34)&amp;",","")</f>
        <v/>
      </c>
      <c r="HC2" s="48" t="str">
        <f>SUBSTITUTE("["&amp;_xlfn.CONCAT(GT2:HB2)&amp;"]",",]","]")</f>
        <v>["cl_BLU","cl_WHI","cl_RED","cl_YEL"]</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{couname:"Cape Verde",year:"1992 ",region:"rgn_Africa",Colors:["cl_BLU","cl_WHI","cl_RED","cl_YEL"],Items:["4Color","words2","exact2","lets09","startC","with_v","year19","allhor","4+Band","Horizo","Circle","Unequa","staYEL","tcWHYE","NO_GRE","NO_BLA","001BLU","002RED","003BLU","myrBLU","island","portug","HasSta","3+Star"],Flag:"https://i.ibb.co/gF5snpg/Cape-Verde-Flag.png",HDFlag:"https://upload.wikimedia.org/wikipedia/commons/thumb/3/38/Flag_of_Cape_Verde.svg/2560px-Flag_of_Cape_Verde.svg.png",type:"", describe: "\nThe 10 stars on the flag represent the main islands of the nation (a chain of islands off the coast of West Africa). The blue represents the ocean and the sky. The band of white and red represents the road toward the construction of the nation, and its colours stand for peace (white) and effort (red).", isnew:".", links: "https://en.wikipedia.org/wiki/Flag_of_Cape_Verde"},</v>
      </c>
      <c r="HG2" s="73" t="str">
        <f>"{couname:"&amp;CT2&amp;(IF(HK2&lt;&gt;"",",subtype:"&amp;CHAR(34)&amp;HK2&amp;CHAR(34),""))&amp;",year:"&amp;HJ2&amp;",region:"&amp;CU2&amp;",Colors:"&amp;HC2&amp;",Items:"&amp;GS2&amp;",Flag:"&amp;CV2&amp;",HDFlag:"&amp;CHAR(34)&amp;E2&amp;CHAR(34)&amp;",type:"&amp;GP2&amp;", describe: "&amp;HI2&amp;", links: "&amp;HL2&amp;"},"</f>
        <v>{couname:"Cape Verde",year:"1992 ",region:"rgn_Africa",Colors:["cl_BLU","cl_WHI","cl_RED","cl_YEL"],Items:["4Color","words2","exact2","lets09","startC","with_v","year19","allhor","4+Band","Horizo","Circle","Unequa","staYEL","tcWHYE","NO_GRE","NO_BLA","001BLU","002RED","003BLU","myrBLU","island","portug","HasSta","3+Star"],Flag:"https://i.ibb.co/gF5snpg/Cape-Verde-Flag.png",HDFlag:"https://upload.wikimedia.org/wikipedia/commons/thumb/3/38/Flag_of_Cape_Verde.svg/2560px-Flag_of_Cape_Verde.svg.png",type:"", describe: "\nThe 10 stars on the flag represent the main islands of the nation (a chain of islands off the coast of West Africa). The blue represents the ocean and the sky. The band of white and red represents the road toward the construction of the nation, and its colours stand for peace (white) and effort (red).", links: "https://en.wikipedia.org/wiki/Flag_of_Cape_Verde"},</v>
      </c>
      <c r="HH2" s="48" t="str">
        <f>IF(P2&lt;&gt;"",CHAR(34)&amp;"\n"&amp;P2&amp;CHAR(34),CHAR(34)&amp;CHAR(34))</f>
        <v>"\nThe 10 stars on the flag represent the main islands of the nation (a chain of islands off the coast of West Africa). The blue represents the ocean and the sky. The band of white and red represents the road toward the construction of the nation, and its colours stand for peace (white) and effort (red)."</v>
      </c>
      <c r="HI2" s="48" t="str">
        <f>IF(J2=0,CHAR(34)&amp;CHAR(34),HH2)</f>
        <v>"\nThe 10 stars on the flag represent the main islands of the nation (a chain of islands off the coast of West Africa). The blue represents the ocean and the sky. The band of white and red represents the road toward the construction of the nation, and its colours stand for peace (white) and effort (red)."</v>
      </c>
      <c r="HJ2" s="48" t="str">
        <f>CHAR(34)&amp;O2&amp;CHAR(34)</f>
        <v>"1992 "</v>
      </c>
      <c r="HL2" s="48" t="str">
        <f>CHAR(34)&amp;I2&amp;CHAR(34)</f>
        <v>"https://en.wikipedia.org/wiki/Flag_of_Cape_Verde"</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{"couname":"Cape Verde","year":"1992 ","region":"rgn_Africa","Colors":["cl_BLU","cl_WHI","cl_RED","cl_YEL"],"Items":["4Color","words2","exact2","lets09","startC","with_v","year19","allhor","4+Band","Horizo","Circle","Unequa","staYEL","tcWHYE","NO_GRE","NO_BLA","001BLU","002RED","003BLU","myrBLU","island","portug","HasSta","3+Star"],"Flag":"https://i.ibb.co/gF5snpg/Cape-Verde-Flag.png","HDFlag":"https://upload.wikimedia.org/wikipedia/commons/thumb/3/38/Flag_of_Cape_Verde.svg/2560px-Flag_of_Cape_Verde.svg.png","type":"", "describe": "\nThe 10 stars on the flag represent the main islands of the nation (a chain of islands off the coast of West Africa). The blue represents the ocean and the sky. The band of white and red represents the road toward the construction of the nation, and its colours stand for peace (white) and effort (red).", "isnew": ".", "links": "https://en.wikipedia.org/wiki/Flag_of_Cape_Verde"},</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{"couname":"Cape Verde","year":"1992 ","region":"rgn_Africa","Colors":["cl_BLU","cl_WHI","cl_RED","cl_YEL"],"Items":["4Color","words2","exact2","lets09","startC","with_v","year19","allhor","4+Band","Horizo","Circle","Unequa","staYEL","tcWHYE","NO_GRE","NO_BLA","001BLU","002RED","003BLU","myrBLU","island","portug","HasSta","3+Star"],"Flag":"https://i.ibb.co/gF5snpg/Cape-Verde-Flag.png","HDFlag":"https://upload.wikimedia.org/wikipedia/commons/thumb/3/38/Flag_of_Cape_Verde.svg/2560px-Flag_of_Cape_Verde.svg.png","type":"", "describe": "\nThe 10 stars on the flag represent the main islands of the nation (a chain of islands off the coast of West Africa). The blue represents the ocean and the sky. The band of white and red represents the road toward the construction of the nation, and its colours stand for peace (white) and effort (red).", "isnew": ".", "links": "https://en.wikipedia.org/wiki/Flag_of_Cape_Verde"},</v>
      </c>
      <c r="HO2" s="75"/>
      <c r="HP2" s="48" t="str" cm="1">
        <f t="array" ref="HP2">IF(_xlfn.TEXTJOIN(", ", TRUE, IF(ISNUMBER(SEARCH("BLA", BL2:BT2)), COLUMN(BL2:BT2) - COLUMN(BL2) + 1, ""))&lt;&gt;"","BLA","")</f>
        <v/>
      </c>
      <c r="HQ2" s="48" t="str" cm="1">
        <f t="array" ref="HQ2">IF(_xlfn.TEXTJOIN(", ", TRUE, IF(ISNUMBER(SEARCH("BLU", BL2:BT2)), COLUMN(BL2:BT2) - COLUMN(BL2) + 1, ""))&lt;&gt;"","BLU","")</f>
        <v>BLU</v>
      </c>
      <c r="HR2" s="48" t="str" cm="1">
        <f t="array" ref="HR2">IF(_xlfn.TEXTJOIN(", ", TRUE, IF(ISNUMBER(SEARCH("GRE", BL2:BT2)), COLUMN(BL2:BT2) - COLUMN(BL2) + 1, ""))&lt;&gt;"","GRE","")</f>
        <v/>
      </c>
      <c r="HS2" s="48" t="str" cm="1">
        <f t="array" ref="HS2">IF(_xlfn.TEXTJOIN(", ", TRUE, IF(ISNUMBER(SEARCH("RED", BL2:BT2)), COLUMN(BL2:BT2) - COLUMN(BL2) + 1, ""))&lt;&gt;"","RED","")</f>
        <v>RED</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c r="IB2" s="6"/>
      <c r="IC2" s="77"/>
      <c r="ID2" s="77"/>
      <c r="IE2" s="77"/>
      <c r="IF2" s="77"/>
      <c r="IG2" s="77"/>
      <c r="IH2" s="77"/>
      <c r="II2" s="77"/>
      <c r="IJ2" s="77"/>
      <c r="IK2" s="77"/>
      <c r="IL2" s="48">
        <f>SUM(IC2:IK2)</f>
        <v>0</v>
      </c>
      <c r="IM2" s="45">
        <f>COUNTIF(IC2:IK2,"&gt;0")-CG2</f>
        <v>-4</v>
      </c>
      <c r="IN2" s="78" t="str">
        <f>"http://mkweb.bcgsc.ca/color-summarizer/?url="&amp;D2&amp;"&amp;precision=low&amp;num_clusters="&amp;CG2&amp;"&amp;text=1"</f>
        <v>http://mkweb.bcgsc.ca/color-summarizer/?url=https://i.ibb.co/gF5snpg/Cape-Verde-Flag.png&amp;precision=low&amp;num_clusters=4&amp;text=1</v>
      </c>
      <c r="IO2" s="48" t="str">
        <f>IF(HP2&lt;&gt;"",CHAR(34)&amp;"black"&amp;CHAR(34),"")</f>
        <v/>
      </c>
      <c r="IP2" s="48" t="str">
        <f>IF(HQ2&lt;&gt;"",CHAR(34)&amp;"blue"&amp;CHAR(34),"")</f>
        <v>"blue"</v>
      </c>
      <c r="IQ2" s="48" t="str">
        <f>IF(HR2&lt;&gt;"",CHAR(34)&amp;"green"&amp;CHAR(34),"")</f>
        <v/>
      </c>
      <c r="IR2" s="48" t="str">
        <f>IF(HS2&lt;&gt;"",CHAR(34)&amp;"red"&amp;CHAR(34),"")</f>
        <v>"red"</v>
      </c>
      <c r="IS2" s="48" t="str">
        <f>IF(HT2&lt;&gt;"",CHAR(34)&amp;"yellow"&amp;CHAR(34),"")</f>
        <v>"yellow"</v>
      </c>
      <c r="IT2" s="48" t="str">
        <f>IF(HU2&lt;&gt;"",CHAR(34)&amp;"orange"&amp;CHAR(34),"")</f>
        <v/>
      </c>
      <c r="IU2" s="48" t="str">
        <f>IF(HV2&lt;&gt;"",CHAR(34)&amp;"brown"&amp;CHAR(34),"")</f>
        <v/>
      </c>
      <c r="IV2" s="48" t="str">
        <f>IF(HW2&lt;&gt;"",CHAR(34)&amp;"purple"&amp;CHAR(34),"")</f>
        <v/>
      </c>
      <c r="IW2" s="48" t="str">
        <f>IF(HX2&lt;&gt;"",CHAR(34)&amp;"white"&amp;CHAR(34),"")</f>
        <v>"white"</v>
      </c>
      <c r="IX2" s="48" t="str">
        <f>"{"&amp;CHAR(34)&amp;"url"&amp;CHAR(34)&amp;":"&amp;CHAR(34)&amp;IN2&amp;CHAR(34)&amp;","&amp;CHAR(34)&amp;"name"&amp;CHAR(34)&amp;":"&amp;CHAR(34)&amp;A2&amp;CHAR(34)&amp;"},"</f>
        <v>{"url":"http://mkweb.bcgsc.ca/color-summarizer/?url=https://i.ibb.co/gF5snpg/Cape-Verde-Flag.png&amp;precision=low&amp;num_clusters=4&amp;text=1","name":"Cape Verde"},</v>
      </c>
      <c r="IY2" s="48">
        <v>41</v>
      </c>
    </row>
    <row r="3" spans="1:259" s="48" customFormat="1" ht="38.4" customHeight="1" thickBot="1" x14ac:dyDescent="0.35">
      <c r="A3" s="80" t="s">
        <v>696</v>
      </c>
      <c r="B3" s="40" t="e" vm="29">
        <v>#VALUE!</v>
      </c>
      <c r="C3" s="41" t="s">
        <v>173</v>
      </c>
      <c r="D3" s="42" t="s">
        <v>697</v>
      </c>
      <c r="E3" s="43" t="s">
        <v>698</v>
      </c>
      <c r="F3" s="44" t="s">
        <v>163</v>
      </c>
      <c r="G3" s="45">
        <f>COUNTIF($A$1:$A$8370,A3)</f>
        <v>1</v>
      </c>
      <c r="H3" s="46" t="s">
        <v>707</v>
      </c>
      <c r="I3" s="47" t="s">
        <v>699</v>
      </c>
      <c r="J3" s="48" t="str">
        <f>""</f>
        <v/>
      </c>
      <c r="K3" s="49"/>
      <c r="L3" s="50"/>
      <c r="M3" s="50"/>
      <c r="N3" s="51" t="s">
        <v>180</v>
      </c>
      <c r="O3" s="52" t="s">
        <v>700</v>
      </c>
      <c r="P3" s="53" t="s">
        <v>701</v>
      </c>
      <c r="Q3" s="54">
        <v>2</v>
      </c>
      <c r="R3" s="55" t="s">
        <v>180</v>
      </c>
      <c r="S3" s="56">
        <v>3</v>
      </c>
      <c r="T3" s="57" t="s">
        <v>164</v>
      </c>
      <c r="U3" s="58" t="s">
        <v>164</v>
      </c>
      <c r="V3" s="58" t="s">
        <v>167</v>
      </c>
      <c r="W3" s="58" t="s">
        <v>167</v>
      </c>
      <c r="X3" s="58" t="s">
        <v>167</v>
      </c>
      <c r="Y3" s="58" t="s">
        <v>167</v>
      </c>
      <c r="Z3" s="58" t="s">
        <v>164</v>
      </c>
      <c r="AA3" s="58" t="s">
        <v>167</v>
      </c>
      <c r="AB3" s="58" t="s">
        <v>164</v>
      </c>
      <c r="AC3" s="58" t="s">
        <v>164</v>
      </c>
      <c r="AD3" s="58" t="s">
        <v>164</v>
      </c>
      <c r="AE3" s="58" t="s">
        <v>164</v>
      </c>
      <c r="AF3" s="59" t="s">
        <v>164</v>
      </c>
      <c r="AG3" s="59" t="s">
        <v>164</v>
      </c>
      <c r="AH3" s="59" t="s">
        <v>164</v>
      </c>
      <c r="AI3" s="59" t="s">
        <v>164</v>
      </c>
      <c r="AJ3" s="59" t="s">
        <v>164</v>
      </c>
      <c r="AK3" s="59" t="s">
        <v>164</v>
      </c>
      <c r="AL3" s="59" t="s">
        <v>164</v>
      </c>
      <c r="AM3" s="59" t="s">
        <v>164</v>
      </c>
      <c r="AN3" s="59" t="s">
        <v>164</v>
      </c>
      <c r="AO3" s="59" t="s">
        <v>164</v>
      </c>
      <c r="AP3" s="59" t="s">
        <v>164</v>
      </c>
      <c r="AQ3" s="59" t="s">
        <v>164</v>
      </c>
      <c r="AR3" s="59" t="s">
        <v>164</v>
      </c>
      <c r="AS3" s="59" t="s">
        <v>164</v>
      </c>
      <c r="AT3" s="60">
        <v>1</v>
      </c>
      <c r="AU3" s="59" t="s">
        <v>174</v>
      </c>
      <c r="AV3" s="59" t="str">
        <f>IF(LEFT(A3,1)="[",LEFT(A3,5)&amp;AU3&amp;A3,"")</f>
        <v>[CPV]Historical[CPV] Cape Verde (1975-1992)</v>
      </c>
      <c r="AW3" s="59" t="str">
        <f t="shared" ref="AW3" si="1">C3&amp;H3&amp;A3</f>
        <v>3b[CPV] Other[CPV] Cape Verde (1975-1992)</v>
      </c>
      <c r="AX3" s="61"/>
      <c r="AY3" s="61"/>
      <c r="AZ3" s="62" t="s">
        <v>151</v>
      </c>
      <c r="BA3" s="62"/>
      <c r="BB3" s="62"/>
      <c r="BC3" s="63"/>
      <c r="BD3" s="64" t="s">
        <v>169</v>
      </c>
      <c r="BE3" s="47"/>
      <c r="BF3" s="64" t="s">
        <v>154</v>
      </c>
      <c r="BG3" s="64" t="s">
        <v>155</v>
      </c>
      <c r="BH3" s="64" t="s">
        <v>153</v>
      </c>
      <c r="BI3" s="64"/>
      <c r="BJ3" s="64"/>
      <c r="BK3" s="47"/>
      <c r="BL3" s="64" t="s">
        <v>154</v>
      </c>
      <c r="BM3" s="64" t="s">
        <v>155</v>
      </c>
      <c r="BN3" s="64" t="s">
        <v>153</v>
      </c>
      <c r="BO3" s="64" t="s">
        <v>151</v>
      </c>
      <c r="BP3" s="64" t="s">
        <v>156</v>
      </c>
      <c r="BQ3" s="64"/>
      <c r="BR3" s="64"/>
      <c r="BS3" s="64"/>
      <c r="BT3" s="64"/>
      <c r="BU3" s="65"/>
      <c r="BV3" s="66"/>
      <c r="BW3" s="66">
        <v>0</v>
      </c>
      <c r="BX3" s="47"/>
      <c r="CB3" s="6"/>
      <c r="CC3" s="6"/>
      <c r="CD3" s="67">
        <v>0</v>
      </c>
      <c r="CE3" s="67">
        <v>0</v>
      </c>
      <c r="CF3" s="67" t="e">
        <v>#REF!</v>
      </c>
      <c r="CG3" s="68" cm="1">
        <f t="array" ref="CG3">SUMPRODUCT(--(LEN(TRIM(BL3:BT3))&gt;0))</f>
        <v>5</v>
      </c>
      <c r="CH3" s="59" t="str">
        <f>IF(CG3=2,"y","n")</f>
        <v>n</v>
      </c>
      <c r="CI3" s="59" t="str">
        <f>IF(CG3=3,"y","n")</f>
        <v>n</v>
      </c>
      <c r="CJ3" s="59" t="str">
        <f>IF(CG3=4,"y","n")</f>
        <v>n</v>
      </c>
      <c r="CK3" s="59" t="str">
        <f>IF(CG3&gt;4,"y","n")</f>
        <v>y</v>
      </c>
      <c r="CL3" s="59" t="str">
        <f>IF(S3=0,"y","n")</f>
        <v>n</v>
      </c>
      <c r="CM3" s="59" t="str">
        <f>IF(S3=2,"y","n")</f>
        <v>n</v>
      </c>
      <c r="CN3" s="59" t="str">
        <f>IF(S3=3,"y","n")</f>
        <v>y</v>
      </c>
      <c r="CO3" s="59" t="str">
        <f>IF(S3&gt;=4,"y","n")</f>
        <v>n</v>
      </c>
      <c r="CP3" s="59" t="str">
        <f>IF(AT3=0,"y","n")</f>
        <v>n</v>
      </c>
      <c r="CQ3" s="59" t="str">
        <f>IF(AT3=1,"y","n")</f>
        <v>y</v>
      </c>
      <c r="CR3" s="59" t="str">
        <f>IF(AT3=2,"y","n")</f>
        <v>n</v>
      </c>
      <c r="CS3" s="59" t="str">
        <f>IF(AT3&gt;=3,"y","n")</f>
        <v>n</v>
      </c>
      <c r="CT3" s="69" t="str">
        <f>CHAR(34)&amp;A3&amp;CHAR(34)</f>
        <v>"[CPV] Cape Verde (1975-1992)"</v>
      </c>
      <c r="CU3" s="70" t="str">
        <f>CHAR(34)&amp;"rgn_"&amp;R3&amp;CHAR(34)</f>
        <v>"rgn_Africa"</v>
      </c>
      <c r="CV3" s="48" t="str">
        <f>CHAR(34)&amp;D3&amp;CHAR(34)</f>
        <v>"https://upload.wikimedia.org/wikipedia/commons/thumb/b/bf/Flag_of_Cape_Verde_%281975%E2%80%931992%29.svg/640px-Flag_of_Cape_Verde_%281975%E2%80%931992%29.svg.png"</v>
      </c>
      <c r="CW3" s="48" t="str">
        <f>IF(CH3="y",CHAR(34)&amp;CH$1&amp;CHAR(34)&amp;",","")</f>
        <v/>
      </c>
      <c r="CX3" s="48" t="str">
        <f>IF(CI3="y",CHAR(34)&amp;CI$1&amp;CHAR(34)&amp;",","")</f>
        <v/>
      </c>
      <c r="CY3" s="48" t="str">
        <f>IF(CJ3="y",CHAR(34)&amp;CJ$1&amp;CHAR(34)&amp;",","")</f>
        <v/>
      </c>
      <c r="CZ3" s="48" t="str">
        <f>IF(CK3="y",CHAR(34)&amp;CK$1&amp;CHAR(34)&amp;",","")</f>
        <v>"5+Colo",</v>
      </c>
      <c r="DA3" s="48" t="str">
        <f>IF(Q3&gt;1,CHAR(34)&amp;"words2"&amp;CHAR(34)&amp;",","")</f>
        <v>"words2",</v>
      </c>
      <c r="DB3" s="48" t="str">
        <f>IF(Q3&gt;2,CHAR(34)&amp;"words3"&amp;CHAR(34)&amp;",","")</f>
        <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"lets19",</v>
      </c>
      <c r="DE3" s="48" t="str">
        <f>CHAR(34)&amp;"start"&amp;IFERROR(LEFT(SUBSTITUTE(A3,"["&amp;MID(A3,FIND("[",A3)+1,FIND("]",A3)-FIND("[",A3)-1)&amp;"] ",""),1),LEFT(A3,1))&amp;CHAR(34)&amp;","</f>
        <v>"startC",</v>
      </c>
      <c r="DF3" s="48" t="str">
        <f>IFERROR(IF(SEARCH("tan",A3)&gt;0,CHAR(34)&amp;"withtn"&amp;CHAR(34)&amp;",",""),"")</f>
        <v/>
      </c>
      <c r="DG3" s="48" t="str">
        <f>IFERROR(IF(SEARCH("q",A3)&gt;0,CHAR(34)&amp;"with_q"&amp;CHAR(34)&amp;",",""),"")</f>
        <v/>
      </c>
      <c r="DH3" s="48" t="str">
        <f>IFERROR(IF(SEARCH("v",A3)&gt;0,CHAR(34)&amp;"with_v"&amp;CHAR(34)&amp;",",""),"")</f>
        <v>"with_v",</v>
      </c>
      <c r="DI3" s="48" t="str">
        <f>IFERROR(IF(SEARCH("w",A3)&gt;0,CHAR(34)&amp;"with_w"&amp;CHAR(34)&amp;",",""),"")</f>
        <v/>
      </c>
      <c r="DJ3" s="48" t="str">
        <f>IFERROR(IF(SEARCH("y",A3)&gt;0,CHAR(34)&amp;"with_y"&amp;CHAR(34)&amp;",",""),"")</f>
        <v/>
      </c>
      <c r="DK3" s="48" t="str">
        <f>IFERROR(IF(SEARCH("z",A3)&gt;0,CHAR(34)&amp;"with_z"&amp;CHAR(34)&amp;",",""),"")</f>
        <v/>
      </c>
      <c r="DL3" s="48" t="str">
        <f>IF(CG3=2, CHAR(34) &amp; _xlfn.TEXTJOIN("", TRUE, _xlfn._xlws.SORT(HP3:HX3)) &amp; CHAR(34) &amp; ",", "")</f>
        <v/>
      </c>
      <c r="DM3" s="48" t="str" cm="1">
        <f t="array" ref="DM3">IF(CG3=3,CHAR(34) &amp; _xlfn.TEXTJOIN("", TRUE, RIGHT(HP3:HX3, 2)) &amp; CHAR(34) &amp; ",", "")</f>
        <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"year19",</v>
      </c>
      <c r="DP3" s="6" t="str">
        <f>IF(AND(ISNUMBER(SEARCH("20", O3)), ISERROR(SEARCH("1920", O3))), CHAR(34)&amp;"year00"&amp;CHAR(34)&amp;",", "")</f>
        <v/>
      </c>
      <c r="DQ3" s="6" t="str">
        <f>IF(CC3="y",CHAR(34)&amp;"soviet"&amp;CHAR(34)&amp;",","")</f>
        <v/>
      </c>
      <c r="DR3" s="6" t="str">
        <f>IF(BY3="y",CHAR(34)&amp;"dgband"&amp;CHAR(34)&amp;",","")</f>
        <v/>
      </c>
      <c r="DS3" s="6" t="str">
        <f>IF(W3="y",IF(AND(V3="n",BY3&lt;&gt;"y"),CHAR(34)&amp;"allver"&amp;CHAR(34)&amp;",",""),"")</f>
        <v/>
      </c>
      <c r="DT3" s="6" t="str">
        <f>IF(V3="y",IF(AND(W3="n",BY3&lt;&gt;"y"),CHAR(34)&amp;"allhor"&amp;CHAR(34)&amp;",",""),"")</f>
        <v/>
      </c>
      <c r="DU3" s="6" t="str">
        <f>IF(BY3="y",IF(AND(W3="n",V3="n"),CHAR(34)&amp;"alldia"&amp;CHAR(34)&amp;",",""),"")</f>
        <v/>
      </c>
      <c r="DW3" s="48" t="str">
        <f>IF(CL3="y",CHAR(34)&amp;CL$1&amp;CHAR(34)&amp;",","")</f>
        <v/>
      </c>
      <c r="DX3" s="48" t="str">
        <f>IF(CM3="y",CHAR(34)&amp;CM$1&amp;CHAR(34)&amp;",","")</f>
        <v/>
      </c>
      <c r="DY3" s="48" t="str">
        <f>IF(CN3="y",CHAR(34)&amp;CN$1&amp;CHAR(34)&amp;",","")</f>
        <v>"3Bands",</v>
      </c>
      <c r="DZ3" s="48" t="str">
        <f>IF(CO3="y",CHAR(34)&amp;CO$1&amp;CHAR(34)&amp;",","")</f>
        <v/>
      </c>
      <c r="EA3" s="48" t="str">
        <f>IF(T3="y",CHAR(34)&amp;T$1&amp;CHAR(34)&amp;",","")</f>
        <v/>
      </c>
      <c r="EB3" s="48" t="str">
        <f>IF(U3="y",CHAR(34)&amp;U$1&amp;CHAR(34)&amp;",","")</f>
        <v/>
      </c>
      <c r="EC3" s="48" t="str">
        <f>IF(V3="y",CHAR(34)&amp;V$1&amp;CHAR(34)&amp;",","")</f>
        <v>"Horizo",</v>
      </c>
      <c r="ED3" s="48" t="str">
        <f>IF(W3="y",CHAR(34)&amp;W$1&amp;CHAR(34)&amp;",","")</f>
        <v>"Vertic",</v>
      </c>
      <c r="EE3" s="48" t="str">
        <f>IF(X3="y",CHAR(34)&amp;X$1&amp;CHAR(34)&amp;",","")</f>
        <v>"Circle",</v>
      </c>
      <c r="EF3" s="48" t="str">
        <f>IF(AND(Y3&lt;&gt;"n",Y3&lt;&gt;""),CHAR(34)&amp;Y$1&amp;CHAR(34)&amp;",","")</f>
        <v>"Animal",</v>
      </c>
      <c r="EG3" s="48" t="str">
        <f>IF(Z3="y",CHAR(34)&amp;Z$1&amp;CHAR(34)&amp;",","")</f>
        <v/>
      </c>
      <c r="EH3" s="48" t="str">
        <f>IF(AA3="y",CHAR(34)&amp;AA$1&amp;CHAR(34)&amp;",","")</f>
        <v>"Plants",</v>
      </c>
      <c r="EI3" s="48" t="str">
        <f>IF(AB3="y",CHAR(34)&amp;AB$1&amp;CHAR(34)&amp;",","")</f>
        <v/>
      </c>
      <c r="EJ3" s="48" t="str">
        <f>IF(AC3="y",CHAR(34)&amp;AC$1&amp;CHAR(34)&amp;",","")</f>
        <v/>
      </c>
      <c r="EK3" s="48" t="str">
        <f>IF(AD3="y",CHAR(34)&amp;AD$1&amp;CHAR(34)&amp;",","")</f>
        <v/>
      </c>
      <c r="EL3" s="48" t="str">
        <f>IF(AE3="y",CHAR(34)&amp;AE$1&amp;CHAR(34)&amp;",","")</f>
        <v/>
      </c>
      <c r="EM3" s="48" t="str">
        <f>IF(AF3="y",CHAR(34)&amp;AF$1&amp;CHAR(34)&amp;",","")</f>
        <v/>
      </c>
      <c r="EN3" s="48" t="str">
        <f>IF(AG3="y",CHAR(34)&amp;AG$1&amp;CHAR(34)&amp;",","")</f>
        <v/>
      </c>
      <c r="EO3" s="48" t="str">
        <f>IF(AH3="y",CHAR(34)&amp;AH$1&amp;CHAR(34)&amp;",","")</f>
        <v/>
      </c>
      <c r="EP3" s="48" t="str">
        <f>IF(AI3="y",CHAR(34)&amp;AI$1&amp;CHAR(34)&amp;",","")</f>
        <v/>
      </c>
      <c r="EQ3" s="48" t="str">
        <f>IF(AJ3="y",CHAR(34)&amp;AJ$1&amp;CHAR(34)&amp;",","")</f>
        <v/>
      </c>
      <c r="ER3" s="48" t="str">
        <f>IF(AK3="y",CHAR(34)&amp;AK$1&amp;CHAR(34)&amp;",","")</f>
        <v/>
      </c>
      <c r="ES3" s="48" t="str">
        <f>IF(AL3="y",CHAR(34)&amp;AL$1&amp;CHAR(34)&amp;",","")</f>
        <v/>
      </c>
      <c r="ET3" s="48" t="str">
        <f>IF(AM3="y",CHAR(34)&amp;AM$1&amp;CHAR(34)&amp;",","")</f>
        <v/>
      </c>
      <c r="EU3" s="48" t="str">
        <f>IF(AN3="y",CHAR(34)&amp;AN$1&amp;CHAR(34)&amp;",","")</f>
        <v/>
      </c>
      <c r="EV3" s="48" t="str">
        <f>IF(AO3="y",CHAR(34)&amp;AO$1&amp;CHAR(34)&amp;",","")</f>
        <v/>
      </c>
      <c r="EW3" s="48" t="str">
        <f>IF(AP3="y",CHAR(34)&amp;AP$1&amp;CHAR(34)&amp;",","")</f>
        <v/>
      </c>
      <c r="EX3" s="48" t="str">
        <f>IF(AQ3="y",CHAR(34)&amp;AQ$1&amp;CHAR(34)&amp;",","")</f>
        <v/>
      </c>
      <c r="EY3" s="48" t="str">
        <f>IF(AR3="y",CHAR(34)&amp;AR$1&amp;CHAR(34)&amp;",","")</f>
        <v/>
      </c>
      <c r="EZ3" s="48" t="str">
        <f>IF(AS3="y",CHAR(34)&amp;AS$1&amp;CHAR(34)&amp;",","")</f>
        <v/>
      </c>
      <c r="FA3" s="48" t="str">
        <f>IF(AT3&gt;0,CHAR(34)&amp;"sta"&amp;AZ3&amp;CHAR(34)&amp;",","")</f>
        <v>"staBLA",</v>
      </c>
      <c r="FB3" s="48" t="str">
        <f>IF(AND(AT3&gt;0,BA3&lt;&gt;""),CHAR(34)&amp;"sta"&amp;BA3&amp;CHAR(34)&amp;",","")</f>
        <v/>
      </c>
      <c r="FD3" s="48" t="str">
        <f>IF(BV3="n",CHAR(34)&amp;"tcWHYE"&amp;CHAR(34)&amp;",",IF(BV3="y",CHAR(34)&amp;FD$1&amp;CHAR(34)&amp;",",""))</f>
        <v/>
      </c>
      <c r="FE3" s="48" t="str">
        <f>IF(COUNTIF(BL3:BT3,"BLU")=0,CHAR(34)&amp;"NO_BLU"&amp;CHAR(34)&amp;",", "")</f>
        <v>"NO_BLU",</v>
      </c>
      <c r="FF3" s="48" t="str">
        <f>IF(COUNTIF(BL3:BT3,"WHI")=0,CHAR(34)&amp;"NO_WHI"&amp;CHAR(34)&amp;",", "")</f>
        <v>"NO_WHI",</v>
      </c>
      <c r="FG3" s="48" t="str">
        <f>IF(COUNTIF(BL3:BT3,"RED")=0,CHAR(34)&amp;"NO_RED"&amp;CHAR(34)&amp;",", "")</f>
        <v/>
      </c>
      <c r="FH3" s="48" t="str">
        <f>IF(COUNTIF(BL3:BS3,"GRE")=0,CHAR(34)&amp;"NO_GRE"&amp;CHAR(34)&amp;",", "")</f>
        <v/>
      </c>
      <c r="FI3" s="48" t="str">
        <f>IF(COUNTIF(BL3:BT3,"YEL")=0,CHAR(34)&amp;"NO_YEL"&amp;CHAR(34)&amp;",", "")</f>
        <v/>
      </c>
      <c r="FJ3" s="48" t="str">
        <f>IF(COUNTIF(BL3:BT3,"BLA")=0,CHAR(34)&amp;"NO_BLA"&amp;CHAR(34)&amp;",", "")</f>
        <v/>
      </c>
      <c r="FK3" s="48" t="str">
        <f>IF(AND(FH3&lt;&gt;"",FF3&lt;&gt;""),CHAR(34)&amp;"WHGRNO"&amp;CHAR(34)&amp;",","")</f>
        <v/>
      </c>
      <c r="FL3" s="48" t="str">
        <f>IF(AND(FI3&lt;&gt;"",FF3&lt;&gt;""),CHAR(34)&amp;"WHYENO"&amp;CHAR(34)&amp;",","")</f>
        <v/>
      </c>
      <c r="FM3" s="48" t="str">
        <f>IF(AND(FJ3&lt;&gt;"",FF3&lt;&gt;""),CHAR(34)&amp;"BAWHNO"&amp;CHAR(34)&amp;",","")</f>
        <v/>
      </c>
      <c r="FN3" s="48" t="str">
        <f>IF(AND(FE3&lt;&gt;"",FF3&lt;&gt;""),CHAR(34)&amp;"BLWHNO"&amp;CHAR(34)&amp;",","")</f>
        <v>"BLWHNO",</v>
      </c>
      <c r="FO3" s="48" t="str">
        <f>IF(AND(FE3&lt;&gt;"",FG3&lt;&gt;""),CHAR(34)&amp;"BLRENO"&amp;CHAR(34)&amp;",","")</f>
        <v/>
      </c>
      <c r="FP3" s="48" t="str">
        <f>IF(AND(FF3&lt;&gt;"",FF3&lt;&gt;""),CHAR(34)&amp;"WHRENO"&amp;CHAR(34)&amp;",","")</f>
        <v>"WHRENO",</v>
      </c>
      <c r="FQ3" s="48" t="str">
        <f>IF(LEN(BF3)=3,CHAR(34)&amp;"001"&amp;BF3&amp;CHAR(34)&amp;",","")</f>
        <v>"001RED",</v>
      </c>
      <c r="FR3" s="48" t="str">
        <f>IF(LEN(BG3)=3,CHAR(34)&amp;"002"&amp;BG3&amp;CHAR(34)&amp;",","")</f>
        <v>"002YEL",</v>
      </c>
      <c r="FS3" s="48" t="str">
        <f>IF(LEN(BH3)=3,CHAR(34)&amp;"003"&amp;BH3&amp;CHAR(34)&amp;",","")</f>
        <v>"003GRE",</v>
      </c>
      <c r="FT3" s="48" t="str">
        <f>CHAR(34)&amp;"myr"&amp;BD3&amp;CHAR(34)&amp;","</f>
        <v>"myrEQ",</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"histor",</v>
      </c>
      <c r="GG3" s="48" t="str">
        <f>IF(BU3="y",CHAR(34)&amp;"unjack"&amp;CHAR(34)&amp;",","")</f>
        <v/>
      </c>
      <c r="GH3" s="48" t="str">
        <f>IF(CD3=1,CHAR(34)&amp;"southc"&amp;CHAR(34)&amp;",","")</f>
        <v/>
      </c>
      <c r="GI3" s="48" t="str">
        <f>IF(CE3=1,CHAR(34)&amp;"hasmap"&amp;CHAR(34)&amp;",","")</f>
        <v/>
      </c>
      <c r="GJ3" s="48" t="str">
        <f>IF(CP3="y",CHAR(34)&amp;CP$1&amp;CHAR(34)&amp;",","")</f>
        <v/>
      </c>
      <c r="GK3" s="48" t="str">
        <f>IF(GJ3="",CHAR(34)&amp;"HasSta"&amp;CHAR(34)&amp;",","")</f>
        <v>"HasSta",</v>
      </c>
      <c r="GL3" s="48" t="str">
        <f>IF(CQ3="y",CHAR(34)&amp;CQ$1&amp;CHAR(34)&amp;",","")</f>
        <v>"1Stars",</v>
      </c>
      <c r="GM3" s="48" t="str">
        <f>IF(CR3="y",CHAR(34)&amp;CR$1&amp;CHAR(34)&amp;",","")</f>
        <v/>
      </c>
      <c r="GN3" s="48" t="str">
        <f>IF(CS3="y",CHAR(34)&amp;CS$1&amp;CHAR(34)&amp;",","")</f>
        <v/>
      </c>
      <c r="GP3" s="48" t="str">
        <f>CHAR(34)&amp;AU3&amp;CHAR(34)</f>
        <v>"Historical"</v>
      </c>
      <c r="GS3" s="48" t="str">
        <f>SUBSTITUTE("["&amp;_xlfn.CONCAT(CW3:GN3)&amp;"]",",]","]")</f>
        <v>["5+Colo","words2","lets19","startC","with_v","year19","3Bands","Horizo","Vertic","Circle","Animal","Plants","staBLA","NO_BLU","NO_WHI","BLWHNO","WHRENO","001RED","002YEL","003GRE","myrEQ","histor","HasSta","1Stars"]</v>
      </c>
      <c r="GT3" s="48" t="str">
        <f>IF(BL3&lt;&gt;"",CHAR(34)&amp;"cl_"&amp;BL3&amp;CHAR(34)&amp;",","")</f>
        <v>"cl_RED",</v>
      </c>
      <c r="GU3" s="48" t="str">
        <f>IF(BM3&lt;&gt;"",CHAR(34)&amp;"cl_"&amp;BM3&amp;CHAR(34)&amp;",","")</f>
        <v>"cl_YEL",</v>
      </c>
      <c r="GV3" s="48" t="str">
        <f>IF(BN3&lt;&gt;"",CHAR(34)&amp;"cl_"&amp;BN3&amp;CHAR(34)&amp;",","")</f>
        <v>"cl_GRE",</v>
      </c>
      <c r="GW3" s="48" t="str">
        <f>IF(BO3&lt;&gt;"",CHAR(34)&amp;"cl_"&amp;BO3&amp;CHAR(34)&amp;",","")</f>
        <v>"cl_BLA",</v>
      </c>
      <c r="GX3" s="48" t="str">
        <f>IF(BP3&lt;&gt;"",CHAR(34)&amp;"cl_"&amp;BP3&amp;CHAR(34)&amp;",","")</f>
        <v>"cl_ORA",</v>
      </c>
      <c r="GY3" s="48" t="str">
        <f>IF(BQ3&lt;&gt;"",CHAR(34)&amp;"cl_"&amp;BQ3&amp;CHAR(34)&amp;",","")</f>
        <v/>
      </c>
      <c r="GZ3" s="48" t="str">
        <f>IF(BR3&lt;&gt;"",CHAR(34)&amp;"cl_"&amp;BR3&amp;CHAR(34)&amp;",","")</f>
        <v/>
      </c>
      <c r="HA3" s="48" t="str">
        <f>IF(BS3&lt;&gt;"",CHAR(34)&amp;"cl_"&amp;BS3&amp;CHAR(34)&amp;",","")</f>
        <v/>
      </c>
      <c r="HB3" s="48" t="str">
        <f>IF(BT3&lt;&gt;"",CHAR(34)&amp;"cl_"&amp;BT3&amp;CHAR(34)&amp;",","")</f>
        <v/>
      </c>
      <c r="HC3" s="48" t="str">
        <f>SUBSTITUTE("["&amp;_xlfn.CONCAT(GT3:HB3)&amp;"]",",]","]")</f>
        <v>["cl_RED","cl_YEL","cl_GRE","cl_BLA","cl_ORA"]</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{couname:"[CPV] Cape Verde (1975-1992)",year:"1992",region:"rgn_Africa",Colors:["cl_RED","cl_YEL","cl_GRE","cl_BLA","cl_ORA"],Items:["5+Colo","words2","lets19","startC","with_v","year19","3Bands","Horizo","Vertic","Circle","Animal","Plants","staBLA","NO_BLU","NO_WHI","BLWHNO","WHRENO","001RED","002YEL","003GRE","myrEQ","histor","HasSta","1Stars"],Flag:"https://upload.wikimedia.org/wikipedia/commons/thumb/b/bf/Flag_of_Cape_Verde_%281975%E2%80%931992%29.svg/640px-Flag_of_Cape_Verde_%281975%E2%80%931992%29.svg.png",HDFlag:"https://upload.wikimedia.org/wikipedia/commons/thumb/b/bf/Flag_of_Cape_Verde_%281975%E2%80%931992%29.svg/2560px-Flag_of_Cape_Verde_%281975%E2%80%931992%29.svg.png",type:"Historical", describe: "\nThe original national flag of Cape Verde was introduced on independence in 1975 and was based on the flag of the African Party for the Independence of Guinea and Cape Verde (PAIGC). It used the common African colours of red, green and yellow, and was identical to the flag of Guinea-Bissau except for the proportions and the charge in the hoist-side stripe. Their similarity evoked the plans to unite both countries, which were abandoned shortly after independence. Guinea-Bissau gained independence on 10 September 1974.", isnew:".", links: "https://en.wikipedia.org/wiki/Flag_of_Cape_Verde"},</v>
      </c>
      <c r="HG3" s="73" t="str">
        <f>"{couname:"&amp;CT3&amp;(IF(HK3&lt;&gt;"",",subtype:"&amp;CHAR(34)&amp;HK3&amp;CHAR(34),""))&amp;",year:"&amp;HJ3&amp;",region:"&amp;CU3&amp;",Colors:"&amp;HC3&amp;",Items:"&amp;GS3&amp;",Flag:"&amp;CV3&amp;",HDFlag:"&amp;CHAR(34)&amp;E3&amp;CHAR(34)&amp;",type:"&amp;GP3&amp;", describe: "&amp;HI3&amp;", links: "&amp;HL3&amp;"},"</f>
        <v>{couname:"[CPV] Cape Verde (1975-1992)",year:"1992",region:"rgn_Africa",Colors:["cl_RED","cl_YEL","cl_GRE","cl_BLA","cl_ORA"],Items:["5+Colo","words2","lets19","startC","with_v","year19","3Bands","Horizo","Vertic","Circle","Animal","Plants","staBLA","NO_BLU","NO_WHI","BLWHNO","WHRENO","001RED","002YEL","003GRE","myrEQ","histor","HasSta","1Stars"],Flag:"https://upload.wikimedia.org/wikipedia/commons/thumb/b/bf/Flag_of_Cape_Verde_%281975%E2%80%931992%29.svg/640px-Flag_of_Cape_Verde_%281975%E2%80%931992%29.svg.png",HDFlag:"https://upload.wikimedia.org/wikipedia/commons/thumb/b/bf/Flag_of_Cape_Verde_%281975%E2%80%931992%29.svg/2560px-Flag_of_Cape_Verde_%281975%E2%80%931992%29.svg.png",type:"Historical", describe: "\nThe original national flag of Cape Verde was introduced on independence in 1975 and was based on the flag of the African Party for the Independence of Guinea and Cape Verde (PAIGC). It used the common African colours of red, green and yellow, and was identical to the flag of Guinea-Bissau except for the proportions and the charge in the hoist-side stripe. Their similarity evoked the plans to unite both countries, which were abandoned shortly after independence. Guinea-Bissau gained independence on 10 September 1974.", links: "https://en.wikipedia.org/wiki/Flag_of_Cape_Verde"},</v>
      </c>
      <c r="HH3" s="48" t="str">
        <f>IF(P3&lt;&gt;"",CHAR(34)&amp;"\n"&amp;P3&amp;CHAR(34),CHAR(34)&amp;CHAR(34))</f>
        <v>"\nThe original national flag of Cape Verde was introduced on independence in 1975 and was based on the flag of the African Party for the Independence of Guinea and Cape Verde (PAIGC). It used the common African colours of red, green and yellow, and was identical to the flag of Guinea-Bissau except for the proportions and the charge in the hoist-side stripe. Their similarity evoked the plans to unite both countries, which were abandoned shortly after independence. Guinea-Bissau gained independence on 10 September 1974."</v>
      </c>
      <c r="HI3" s="48" t="str">
        <f>IF(J3=0,CHAR(34)&amp;CHAR(34),HH3)</f>
        <v>"\nThe original national flag of Cape Verde was introduced on independence in 1975 and was based on the flag of the African Party for the Independence of Guinea and Cape Verde (PAIGC). It used the common African colours of red, green and yellow, and was identical to the flag of Guinea-Bissau except for the proportions and the charge in the hoist-side stripe. Their similarity evoked the plans to unite both countries, which were abandoned shortly after independence. Guinea-Bissau gained independence on 10 September 1974."</v>
      </c>
      <c r="HJ3" s="48" t="str">
        <f>CHAR(34)&amp;O3&amp;CHAR(34)</f>
        <v>"1992"</v>
      </c>
      <c r="HL3" s="48" t="str">
        <f>CHAR(34)&amp;I3&amp;CHAR(34)</f>
        <v>"https://en.wikipedia.org/wiki/Flag_of_Cape_Verde"</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{"couname":"[CPV] Cape Verde (1975-1992)","subtype":"[CPV] Other","year":"1992","region":"rgn_Africa","Colors":["cl_RED","cl_YEL","cl_GRE","cl_BLA","cl_ORA"],"Items":["5+Colo","words2","lets19","startC","with_v","year19","3Bands","Horizo","Vertic","Circle","Animal","Plants","staBLA","NO_BLU","NO_WHI","BLWHNO","WHRENO","001RED","002YEL","003GRE","myrEQ","histor","HasSta","1Stars"],"Flag":"https://upload.wikimedia.org/wikipedia/commons/thumb/b/bf/Flag_of_Cape_Verde_%281975%E2%80%931992%29.svg/640px-Flag_of_Cape_Verde_%281975%E2%80%931992%29.svg.png","HDFlag":"https://upload.wikimedia.org/wikipedia/commons/thumb/b/bf/Flag_of_Cape_Verde_%281975%E2%80%931992%29.svg/2560px-Flag_of_Cape_Verde_%281975%E2%80%931992%29.svg.png","type":"Historical", "describe": "\nThe original national flag of Cape Verde was introduced on independence in 1975 and was based on the flag of the African Party for the Independence of Guinea and Cape Verde (PAIGC). It used the common African colours of red, green and yellow, and was identical to the flag of Guinea-Bissau except for the proportions and the charge in the hoist-side stripe. Their similarity evoked the plans to unite both countries, which were abandoned shortly after independence. Guinea-Bissau gained independence on 10 September 1974.", "isnew": ".", "links": "https://en.wikipedia.org/wiki/Flag_of_Cape_Verde"},</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{"couname":"[CPV] Cape Verde (1975-1992)","subtype":"[CPV] Other","year":"1992","region":"rgn_Africa","Colors":["cl_RED","cl_YEL","cl_GRE","cl_BLA","cl_ORA"],"Items":["5+Colo","words2","lets19","startC","with_v","year19","3Bands","Horizo","Vertic","Circle","Animal","Plants","staBLA","NO_BLU","NO_WHI","BLWHNO","WHRENO","001RED","002YEL","003GRE","myrEQ","histor","HasSta","1Stars"],"Flag":"https://upload.wikimedia.org/wikipedia/commons/thumb/b/bf/Flag_of_Cape_Verde_%281975%E2%80%931992%29.svg/640px-Flag_of_Cape_Verde_%281975%E2%80%931992%29.svg.png","HDFlag":"https://upload.wikimedia.org/wikipedia/commons/thumb/b/bf/Flag_of_Cape_Verde_%281975%E2%80%931992%29.svg/2560px-Flag_of_Cape_Verde_%281975%E2%80%931992%29.svg.png","type":"Historical", "describe": "\nThe original national flag of Cape Verde was introduced on independence in 1975 and was based on the flag of the African Party for the Independence of Guinea and Cape Verde (PAIGC). It used the common African colours of red, green and yellow, and was identical to the flag of Guinea-Bissau except for the proportions and the charge in the hoist-side stripe. Their similarity evoked the plans to unite both countries, which were abandoned shortly after independence. Guinea-Bissau gained independence on 10 September 1974.", "isnew": ".", "links": "https://en.wikipedia.org/wiki/Flag_of_Cape_Verde"},</v>
      </c>
      <c r="HO3" s="75">
        <v>45644</v>
      </c>
      <c r="HP3" s="48" t="str" cm="1">
        <f t="array" ref="HP3">IF(_xlfn.TEXTJOIN(", ", TRUE, IF(ISNUMBER(SEARCH("BLA", BL3:BT3)), COLUMN(BL3:BT3) - COLUMN(BL3) + 1, ""))&lt;&gt;"","BLA","")</f>
        <v>BLA</v>
      </c>
      <c r="HQ3" s="48" t="str" cm="1">
        <f t="array" ref="HQ3">IF(_xlfn.TEXTJOIN(", ", TRUE, IF(ISNUMBER(SEARCH("BLU", BL3:BT3)), COLUMN(BL3:BT3) - COLUMN(BL3) + 1, ""))&lt;&gt;"","BLU","")</f>
        <v/>
      </c>
      <c r="HR3" s="48" t="str" cm="1">
        <f t="array" ref="HR3">IF(_xlfn.TEXTJOIN(", ", TRUE, IF(ISNUMBER(SEARCH("GRE", BL3:BT3)), COLUMN(BL3:BT3) - COLUMN(BL3) + 1, ""))&lt;&gt;"","GRE","")</f>
        <v>GRE</v>
      </c>
      <c r="HS3" s="48" t="str" cm="1">
        <f t="array" ref="HS3">IF(_xlfn.TEXTJOIN(", ", TRUE, IF(ISNUMBER(SEARCH("RED", BL3:BT3)), COLUMN(BL3:BT3) - COLUMN(BL3) + 1, ""))&lt;&gt;"","RED","")</f>
        <v>RED</v>
      </c>
      <c r="HT3" s="48" t="str" cm="1">
        <f t="array" ref="HT3">IF(_xlfn.TEXTJOIN(", ", TRUE, IF(ISNUMBER(SEARCH("YEL", BL3:BT3)), COLUMN(BL3:BT3) - COLUMN(BL3) + 1, ""))&lt;&gt;"","YEL","")</f>
        <v>YEL</v>
      </c>
      <c r="HU3" s="48" t="str" cm="1">
        <f t="array" ref="HU3">IF(_xlfn.TEXTJOIN(", ", TRUE, IF(ISNUMBER(SEARCH("ORA", BL3:BT3)), COLUMN(BL3:BT3) - COLUMN(BL3) + 1, ""))&lt;&gt;"","ORA","")</f>
        <v>ORA</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
      </c>
      <c r="HY3" s="76"/>
      <c r="HZ3" s="76"/>
      <c r="IA3" s="6"/>
      <c r="IB3" s="6"/>
      <c r="IC3" s="77"/>
      <c r="ID3" s="77"/>
      <c r="IE3" s="77"/>
      <c r="IF3" s="77"/>
      <c r="IG3" s="77"/>
      <c r="IH3" s="77"/>
      <c r="II3" s="77"/>
      <c r="IJ3" s="77"/>
      <c r="IK3" s="77"/>
      <c r="IM3" s="45">
        <f>COUNTIF(IC3:IK3,"&gt;0")-CG3</f>
        <v>-5</v>
      </c>
      <c r="IN3" s="78" t="str">
        <f>"http://mkweb.bcgsc.ca/color-summarizer/?url="&amp;D3&amp;"&amp;precision=low&amp;num_clusters="&amp;CG3&amp;"&amp;text=1"</f>
        <v>http://mkweb.bcgsc.ca/color-summarizer/?url=https://upload.wikimedia.org/wikipedia/commons/thumb/b/bf/Flag_of_Cape_Verde_%281975%E2%80%931992%29.svg/640px-Flag_of_Cape_Verde_%281975%E2%80%931992%29.svg.png&amp;precision=low&amp;num_clusters=5&amp;text=1</v>
      </c>
      <c r="IO3" s="48" t="str">
        <f>IF(HP3&lt;&gt;"",CHAR(34)&amp;"black"&amp;CHAR(34),"")</f>
        <v>"black"</v>
      </c>
      <c r="IP3" s="48" t="str">
        <f>IF(HQ3&lt;&gt;"",CHAR(34)&amp;"blue"&amp;CHAR(34),"")</f>
        <v/>
      </c>
      <c r="IQ3" s="48" t="str">
        <f>IF(HR3&lt;&gt;"",CHAR(34)&amp;"green"&amp;CHAR(34),"")</f>
        <v>"green"</v>
      </c>
      <c r="IR3" s="48" t="str">
        <f>IF(HS3&lt;&gt;"",CHAR(34)&amp;"red"&amp;CHAR(34),"")</f>
        <v>"red"</v>
      </c>
      <c r="IS3" s="48" t="str">
        <f>IF(HT3&lt;&gt;"",CHAR(34)&amp;"yellow"&amp;CHAR(34),"")</f>
        <v>"yellow"</v>
      </c>
      <c r="IT3" s="48" t="str">
        <f>IF(HU3&lt;&gt;"",CHAR(34)&amp;"orange"&amp;CHAR(34),"")</f>
        <v>"orange"</v>
      </c>
      <c r="IU3" s="48" t="str">
        <f>IF(HV3&lt;&gt;"",CHAR(34)&amp;"brown"&amp;CHAR(34),"")</f>
        <v/>
      </c>
      <c r="IV3" s="48" t="str">
        <f>IF(HW3&lt;&gt;"",CHAR(34)&amp;"purple"&amp;CHAR(34),"")</f>
        <v/>
      </c>
      <c r="IW3" s="48" t="str">
        <f>IF(HX3&lt;&gt;"",CHAR(34)&amp;"white"&amp;CHAR(34),"")</f>
        <v/>
      </c>
      <c r="IX3" s="48" t="str">
        <f>"{"&amp;CHAR(34)&amp;"url"&amp;CHAR(34)&amp;":"&amp;CHAR(34)&amp;IN3&amp;CHAR(34)&amp;","&amp;CHAR(34)&amp;"name"&amp;CHAR(34)&amp;":"&amp;CHAR(34)&amp;A3&amp;CHAR(34)&amp;"},"</f>
        <v>{"url":"http://mkweb.bcgsc.ca/color-summarizer/?url=https://upload.wikimedia.org/wikipedia/commons/thumb/b/bf/Flag_of_Cape_Verde_%281975%E2%80%931992%29.svg/640px-Flag_of_Cape_Verde_%281975%E2%80%931992%29.svg.png&amp;precision=low&amp;num_clusters=5&amp;text=1","name":"[CPV] Cape Verde (1975-1992)"},</v>
      </c>
      <c r="IY3" s="48">
        <v>1503</v>
      </c>
    </row>
    <row r="4" spans="1:259" ht="38.4" customHeight="1" x14ac:dyDescent="0.3">
      <c r="F4" s="82"/>
      <c r="G4" s="82"/>
      <c r="H4" s="82"/>
      <c r="I4" s="82"/>
      <c r="J4" s="82"/>
      <c r="K4" s="82"/>
    </row>
    <row r="5" spans="1:259" ht="38.4" customHeight="1" x14ac:dyDescent="0.3">
      <c r="F5" s="82"/>
      <c r="G5" s="82"/>
      <c r="H5" s="82"/>
      <c r="I5" s="82"/>
      <c r="J5" s="82"/>
      <c r="K5" s="82"/>
    </row>
    <row r="6" spans="1:259" ht="38.4" customHeight="1" x14ac:dyDescent="0.3">
      <c r="F6" s="81"/>
      <c r="K6" s="81"/>
      <c r="L6" s="81"/>
    </row>
    <row r="7" spans="1:259" ht="38.4" customHeight="1" x14ac:dyDescent="0.3">
      <c r="F7" s="81"/>
      <c r="K7" s="81"/>
      <c r="L7" s="81"/>
    </row>
    <row r="8" spans="1:259" ht="38.4" customHeight="1" x14ac:dyDescent="0.3">
      <c r="F8" s="81"/>
      <c r="K8" s="81"/>
      <c r="L8" s="81"/>
    </row>
    <row r="9" spans="1:259" ht="38.4" customHeight="1" x14ac:dyDescent="0.3">
      <c r="F9" s="81"/>
      <c r="K9" s="81"/>
      <c r="L9" s="81"/>
    </row>
    <row r="10" spans="1:259" ht="38.4" customHeight="1" x14ac:dyDescent="0.3">
      <c r="F10" s="81"/>
      <c r="K10" s="81"/>
      <c r="L10" s="81"/>
    </row>
  </sheetData>
  <autoFilter ref="A1:IY1" xr:uid="{A1051193-A95B-4CFB-A73C-F0184620C81F}">
    <sortState xmlns:xlrd2="http://schemas.microsoft.com/office/spreadsheetml/2017/richdata2" ref="A2:IY5">
      <sortCondition ref="AW1"/>
    </sortState>
  </autoFilter>
  <conditionalFormatting sqref="H1 CW1:GS1 IA1:IB1">
    <cfRule type="cellIs" dxfId="5319" priority="118" operator="greaterThan">
      <formula>0</formula>
    </cfRule>
  </conditionalFormatting>
  <conditionalFormatting sqref="H1 H7:H1048576 F6:L10">
    <cfRule type="cellIs" dxfId="5318" priority="84" stopIfTrue="1" operator="notEqual">
      <formula>""</formula>
    </cfRule>
  </conditionalFormatting>
  <conditionalFormatting sqref="T1:BK1">
    <cfRule type="cellIs" dxfId="5317" priority="121" operator="greaterThan">
      <formula>0</formula>
    </cfRule>
  </conditionalFormatting>
  <conditionalFormatting sqref="BV1:BW1 BV4:BW1048576">
    <cfRule type="cellIs" dxfId="5316" priority="120" operator="equal">
      <formula>"nc"</formula>
    </cfRule>
  </conditionalFormatting>
  <conditionalFormatting sqref="HF1:HG1">
    <cfRule type="cellIs" dxfId="5315" priority="122" operator="greaterThan">
      <formula>0</formula>
    </cfRule>
  </conditionalFormatting>
  <conditionalFormatting sqref="HK1">
    <cfRule type="cellIs" dxfId="5314" priority="119" operator="greaterThan">
      <formula>0</formula>
    </cfRule>
  </conditionalFormatting>
  <conditionalFormatting sqref="HP1:HX1">
    <cfRule type="cellIs" dxfId="5313" priority="96" operator="equal">
      <formula>"PIN"</formula>
    </cfRule>
    <cfRule type="cellIs" dxfId="5312" priority="97" operator="equal">
      <formula>"ORA"</formula>
    </cfRule>
    <cfRule type="cellIs" dxfId="5311" priority="98" operator="equal">
      <formula>"GRA"</formula>
    </cfRule>
    <cfRule type="cellIs" dxfId="5310" priority="99" operator="equal">
      <formula>"PUR"</formula>
    </cfRule>
    <cfRule type="cellIs" dxfId="5309" priority="100" operator="equal">
      <formula>"BRO"</formula>
    </cfRule>
    <cfRule type="cellIs" dxfId="5308" priority="101" operator="equal">
      <formula>"YEL"</formula>
    </cfRule>
    <cfRule type="cellIs" dxfId="5307" priority="102" operator="equal">
      <formula>"BLU"</formula>
    </cfRule>
    <cfRule type="cellIs" dxfId="5306" priority="103" operator="equal">
      <formula>"WHI"</formula>
    </cfRule>
    <cfRule type="cellIs" dxfId="5305" priority="104" operator="equal">
      <formula>"GRE"</formula>
    </cfRule>
    <cfRule type="cellIs" dxfId="5304" priority="105" operator="equal">
      <formula>"RED"</formula>
    </cfRule>
    <cfRule type="cellIs" dxfId="5303" priority="106" operator="equal">
      <formula>"BLA"</formula>
    </cfRule>
  </conditionalFormatting>
  <conditionalFormatting sqref="IC1:IK1">
    <cfRule type="cellIs" dxfId="5302" priority="107" operator="equal">
      <formula>"PIN"</formula>
    </cfRule>
    <cfRule type="cellIs" dxfId="5301" priority="108" operator="equal">
      <formula>"ORA"</formula>
    </cfRule>
    <cfRule type="cellIs" dxfId="5300" priority="109" operator="equal">
      <formula>"GRA"</formula>
    </cfRule>
    <cfRule type="cellIs" dxfId="5299" priority="110" operator="equal">
      <formula>"PUR"</formula>
    </cfRule>
    <cfRule type="cellIs" dxfId="5298" priority="111" operator="equal">
      <formula>"BRO"</formula>
    </cfRule>
    <cfRule type="cellIs" dxfId="5297" priority="112" operator="equal">
      <formula>"YEL"</formula>
    </cfRule>
    <cfRule type="cellIs" dxfId="5296" priority="113" operator="equal">
      <formula>"BLU"</formula>
    </cfRule>
    <cfRule type="cellIs" dxfId="5295" priority="114" operator="equal">
      <formula>"WHI"</formula>
    </cfRule>
    <cfRule type="cellIs" dxfId="5294" priority="115" operator="equal">
      <formula>"GRE"</formula>
    </cfRule>
    <cfRule type="cellIs" dxfId="5293" priority="116" operator="equal">
      <formula>"RED"</formula>
    </cfRule>
    <cfRule type="cellIs" dxfId="5292" priority="117" operator="equal">
      <formula>"BLA"</formula>
    </cfRule>
  </conditionalFormatting>
  <conditionalFormatting sqref="IO1:IW1">
    <cfRule type="cellIs" dxfId="5291" priority="85" operator="equal">
      <formula>"PIN"</formula>
    </cfRule>
    <cfRule type="cellIs" dxfId="5290" priority="86" operator="equal">
      <formula>"ORA"</formula>
    </cfRule>
    <cfRule type="cellIs" dxfId="5289" priority="87" operator="equal">
      <formula>"GRA"</formula>
    </cfRule>
    <cfRule type="cellIs" dxfId="5288" priority="88" operator="equal">
      <formula>"PUR"</formula>
    </cfRule>
    <cfRule type="cellIs" dxfId="5287" priority="89" operator="equal">
      <formula>"BRO"</formula>
    </cfRule>
    <cfRule type="cellIs" dxfId="5286" priority="90" operator="equal">
      <formula>"YEL"</formula>
    </cfRule>
    <cfRule type="cellIs" dxfId="5285" priority="91" operator="equal">
      <formula>"BLU"</formula>
    </cfRule>
    <cfRule type="cellIs" dxfId="5284" priority="92" operator="equal">
      <formula>"WHI"</formula>
    </cfRule>
    <cfRule type="cellIs" dxfId="5283" priority="93" operator="equal">
      <formula>"GRE"</formula>
    </cfRule>
    <cfRule type="cellIs" dxfId="5282" priority="94" operator="equal">
      <formula>"RED"</formula>
    </cfRule>
    <cfRule type="cellIs" dxfId="5281" priority="95" operator="equal">
      <formula>"BLA"</formula>
    </cfRule>
  </conditionalFormatting>
  <conditionalFormatting sqref="H3">
    <cfRule type="cellIs" dxfId="5280" priority="76" stopIfTrue="1" operator="notEqual">
      <formula>""</formula>
    </cfRule>
  </conditionalFormatting>
  <conditionalFormatting sqref="R3 CU3">
    <cfRule type="cellIs" dxfId="5279" priority="79" operator="greaterThan">
      <formula>0</formula>
    </cfRule>
  </conditionalFormatting>
  <conditionalFormatting sqref="T3:AS3 CH3:CS3">
    <cfRule type="cellIs" dxfId="5278" priority="73" stopIfTrue="1" operator="equal">
      <formula>"n"</formula>
    </cfRule>
    <cfRule type="cellIs" dxfId="5277" priority="74" stopIfTrue="1" operator="equal">
      <formula>"y"</formula>
    </cfRule>
    <cfRule type="cellIs" dxfId="5276" priority="75" operator="greaterThan">
      <formula>0</formula>
    </cfRule>
  </conditionalFormatting>
  <conditionalFormatting sqref="AZ3:BB3">
    <cfRule type="expression" dxfId="5275" priority="60">
      <formula>$AT3=0</formula>
    </cfRule>
  </conditionalFormatting>
  <conditionalFormatting sqref="CD3:CF3 BX3:CA3 AZ3:BU3">
    <cfRule type="cellIs" dxfId="5274" priority="61" operator="equal">
      <formula>"PIN"</formula>
    </cfRule>
    <cfRule type="cellIs" dxfId="5273" priority="62" operator="equal">
      <formula>"ORA"</formula>
    </cfRule>
    <cfRule type="cellIs" dxfId="5272" priority="63" operator="equal">
      <formula>"GRA"</formula>
    </cfRule>
    <cfRule type="cellIs" dxfId="5271" priority="64" operator="equal">
      <formula>"PUR"</formula>
    </cfRule>
    <cfRule type="cellIs" dxfId="5270" priority="65" operator="equal">
      <formula>"BRO"</formula>
    </cfRule>
    <cfRule type="cellIs" dxfId="5269" priority="66" operator="equal">
      <formula>"YEL"</formula>
    </cfRule>
    <cfRule type="cellIs" dxfId="5268" priority="67" operator="equal">
      <formula>"BLU"</formula>
    </cfRule>
    <cfRule type="cellIs" dxfId="5267" priority="68" operator="equal">
      <formula>"WHI"</formula>
    </cfRule>
    <cfRule type="cellIs" dxfId="5266" priority="69" operator="equal">
      <formula>"GRE"</formula>
    </cfRule>
    <cfRule type="cellIs" dxfId="5265" priority="70" operator="equal">
      <formula>"RED"</formula>
    </cfRule>
    <cfRule type="cellIs" dxfId="5264" priority="71" operator="equal">
      <formula>"BLA"</formula>
    </cfRule>
  </conditionalFormatting>
  <conditionalFormatting sqref="BV3">
    <cfRule type="cellIs" dxfId="5263" priority="78" operator="equal">
      <formula>"nc"</formula>
    </cfRule>
  </conditionalFormatting>
  <conditionalFormatting sqref="CD3:CF3 BX3:CA3">
    <cfRule type="cellIs" dxfId="5262" priority="77" operator="equal">
      <formula>"y"</formula>
    </cfRule>
  </conditionalFormatting>
  <conditionalFormatting sqref="CD3:CF3 BZ3:CA3">
    <cfRule type="cellIs" dxfId="5261" priority="72" operator="greaterThan">
      <formula>0</formula>
    </cfRule>
  </conditionalFormatting>
  <conditionalFormatting sqref="IC3:IK3">
    <cfRule type="expression" dxfId="5260" priority="59">
      <formula>$IL3&gt;0</formula>
    </cfRule>
  </conditionalFormatting>
  <conditionalFormatting sqref="IC3">
    <cfRule type="cellIs" dxfId="5259" priority="53" stopIfTrue="1" operator="greaterThan">
      <formula>0</formula>
    </cfRule>
  </conditionalFormatting>
  <conditionalFormatting sqref="ID3">
    <cfRule type="cellIs" dxfId="5258" priority="51" stopIfTrue="1" operator="greaterThan">
      <formula>0</formula>
    </cfRule>
  </conditionalFormatting>
  <conditionalFormatting sqref="II3 IE3:IF3">
    <cfRule type="cellIs" dxfId="5257" priority="58" operator="greaterThan">
      <formula>0</formula>
    </cfRule>
  </conditionalFormatting>
  <conditionalFormatting sqref="II3 IF3">
    <cfRule type="cellIs" dxfId="5256" priority="52" stopIfTrue="1" operator="greaterThan">
      <formula>0</formula>
    </cfRule>
  </conditionalFormatting>
  <conditionalFormatting sqref="IG3">
    <cfRule type="cellIs" dxfId="5255" priority="57" operator="greaterThan">
      <formula>0</formula>
    </cfRule>
  </conditionalFormatting>
  <conditionalFormatting sqref="IH3:II3">
    <cfRule type="cellIs" dxfId="5254" priority="56" operator="greaterThan">
      <formula>0</formula>
    </cfRule>
  </conditionalFormatting>
  <conditionalFormatting sqref="IJ3">
    <cfRule type="cellIs" dxfId="5253" priority="55" operator="greaterThan">
      <formula>0</formula>
    </cfRule>
  </conditionalFormatting>
  <conditionalFormatting sqref="IK3">
    <cfRule type="cellIs" dxfId="5252" priority="54" operator="greaterThan">
      <formula>0</formula>
    </cfRule>
  </conditionalFormatting>
  <conditionalFormatting sqref="IF3">
    <cfRule type="cellIs" dxfId="5251" priority="50" stopIfTrue="1" operator="greaterThan">
      <formula>0</formula>
    </cfRule>
  </conditionalFormatting>
  <conditionalFormatting sqref="IM3">
    <cfRule type="cellIs" dxfId="5250" priority="49" operator="equal">
      <formula>0</formula>
    </cfRule>
  </conditionalFormatting>
  <conditionalFormatting sqref="BX3:CA3 CD3:CF3">
    <cfRule type="cellIs" dxfId="5249" priority="37" operator="equal">
      <formula>"y"</formula>
    </cfRule>
    <cfRule type="cellIs" dxfId="5248" priority="38" operator="equal">
      <formula>"PIN"</formula>
    </cfRule>
    <cfRule type="cellIs" dxfId="5247" priority="39" operator="equal">
      <formula>"ORA"</formula>
    </cfRule>
    <cfRule type="cellIs" dxfId="5246" priority="40" operator="equal">
      <formula>"GRA"</formula>
    </cfRule>
    <cfRule type="cellIs" dxfId="5245" priority="41" operator="equal">
      <formula>"PUR"</formula>
    </cfRule>
    <cfRule type="cellIs" dxfId="5244" priority="42" operator="equal">
      <formula>"BRO"</formula>
    </cfRule>
    <cfRule type="cellIs" dxfId="5243" priority="43" operator="equal">
      <formula>"YEL"</formula>
    </cfRule>
    <cfRule type="cellIs" dxfId="5242" priority="44" operator="equal">
      <formula>"BLU"</formula>
    </cfRule>
    <cfRule type="cellIs" dxfId="5241" priority="45" operator="equal">
      <formula>"WHI"</formula>
    </cfRule>
    <cfRule type="cellIs" dxfId="5240" priority="46" operator="equal">
      <formula>"GRE"</formula>
    </cfRule>
    <cfRule type="cellIs" dxfId="5239" priority="47" operator="equal">
      <formula>"RED"</formula>
    </cfRule>
    <cfRule type="cellIs" dxfId="5238" priority="48" operator="equal">
      <formula>"BLA"</formula>
    </cfRule>
  </conditionalFormatting>
  <conditionalFormatting sqref="AT3">
    <cfRule type="colorScale" priority="80">
      <colorScale>
        <cfvo type="min"/>
        <cfvo type="max"/>
        <color rgb="FFFCFCFF"/>
        <color theme="8" tint="0.39997558519241921"/>
      </colorScale>
    </cfRule>
  </conditionalFormatting>
  <conditionalFormatting sqref="S3">
    <cfRule type="colorScale" priority="81">
      <colorScale>
        <cfvo type="min"/>
        <cfvo type="max"/>
        <color rgb="FFFCFCFF"/>
        <color rgb="FF754BFB"/>
      </colorScale>
    </cfRule>
  </conditionalFormatting>
  <conditionalFormatting sqref="J3">
    <cfRule type="colorScale" priority="82">
      <colorScale>
        <cfvo type="min"/>
        <cfvo type="percentile" val="50"/>
        <cfvo type="max"/>
        <color rgb="FFF8696B"/>
        <color rgb="FFFFEB84"/>
        <color rgb="FF63BE7B"/>
      </colorScale>
    </cfRule>
  </conditionalFormatting>
  <conditionalFormatting sqref="CG3">
    <cfRule type="colorScale" priority="83">
      <colorScale>
        <cfvo type="min"/>
        <cfvo type="max"/>
        <color rgb="FFFCFCFF"/>
        <color rgb="FF63BE7B"/>
      </colorScale>
    </cfRule>
  </conditionalFormatting>
  <conditionalFormatting sqref="H2">
    <cfRule type="cellIs" dxfId="5237" priority="30" stopIfTrue="1" operator="notEqual">
      <formula>""</formula>
    </cfRule>
  </conditionalFormatting>
  <conditionalFormatting sqref="R2 CU2">
    <cfRule type="cellIs" dxfId="5236" priority="32" operator="greaterThan">
      <formula>0</formula>
    </cfRule>
  </conditionalFormatting>
  <conditionalFormatting sqref="T2:AS2 CH2:CS2">
    <cfRule type="cellIs" dxfId="5235" priority="27" stopIfTrue="1" operator="equal">
      <formula>"n"</formula>
    </cfRule>
    <cfRule type="cellIs" dxfId="5234" priority="28" stopIfTrue="1" operator="equal">
      <formula>"y"</formula>
    </cfRule>
    <cfRule type="cellIs" dxfId="5233" priority="29" operator="greaterThan">
      <formula>0</formula>
    </cfRule>
  </conditionalFormatting>
  <conditionalFormatting sqref="AZ2:BB2">
    <cfRule type="expression" dxfId="5232" priority="14">
      <formula>$AT2=0</formula>
    </cfRule>
  </conditionalFormatting>
  <conditionalFormatting sqref="AZ2:BU2">
    <cfRule type="cellIs" dxfId="5231" priority="15" operator="equal">
      <formula>"PIN"</formula>
    </cfRule>
    <cfRule type="cellIs" dxfId="5230" priority="16" operator="equal">
      <formula>"ORA"</formula>
    </cfRule>
    <cfRule type="cellIs" dxfId="5229" priority="17" operator="equal">
      <formula>"GRA"</formula>
    </cfRule>
    <cfRule type="cellIs" dxfId="5228" priority="18" operator="equal">
      <formula>"PUR"</formula>
    </cfRule>
    <cfRule type="cellIs" dxfId="5227" priority="19" operator="equal">
      <formula>"BRO"</formula>
    </cfRule>
    <cfRule type="cellIs" dxfId="5226" priority="20" operator="equal">
      <formula>"YEL"</formula>
    </cfRule>
    <cfRule type="cellIs" dxfId="5225" priority="21" operator="equal">
      <formula>"BLU"</formula>
    </cfRule>
    <cfRule type="cellIs" dxfId="5224" priority="22" operator="equal">
      <formula>"WHI"</formula>
    </cfRule>
    <cfRule type="cellIs" dxfId="5223" priority="23" operator="equal">
      <formula>"GRE"</formula>
    </cfRule>
    <cfRule type="cellIs" dxfId="5222" priority="24" operator="equal">
      <formula>"RED"</formula>
    </cfRule>
    <cfRule type="cellIs" dxfId="5221" priority="25" operator="equal">
      <formula>"BLA"</formula>
    </cfRule>
  </conditionalFormatting>
  <conditionalFormatting sqref="BV2">
    <cfRule type="cellIs" dxfId="5220" priority="31" operator="equal">
      <formula>"nc"</formula>
    </cfRule>
  </conditionalFormatting>
  <conditionalFormatting sqref="CD2:CF2 BZ2:CA2">
    <cfRule type="cellIs" dxfId="5219" priority="26" operator="greaterThan">
      <formula>0</formula>
    </cfRule>
  </conditionalFormatting>
  <conditionalFormatting sqref="IC2:IK2">
    <cfRule type="expression" dxfId="5218" priority="13">
      <formula>$IL2&gt;0</formula>
    </cfRule>
  </conditionalFormatting>
  <conditionalFormatting sqref="BX2:CA2 CD2:CF2">
    <cfRule type="cellIs" dxfId="5217" priority="1" operator="equal">
      <formula>"y"</formula>
    </cfRule>
    <cfRule type="cellIs" dxfId="5216" priority="2" operator="equal">
      <formula>"PIN"</formula>
    </cfRule>
    <cfRule type="cellIs" dxfId="5215" priority="3" operator="equal">
      <formula>"ORA"</formula>
    </cfRule>
    <cfRule type="cellIs" dxfId="5214" priority="4" operator="equal">
      <formula>"GRA"</formula>
    </cfRule>
    <cfRule type="cellIs" dxfId="5213" priority="5" operator="equal">
      <formula>"PUR"</formula>
    </cfRule>
    <cfRule type="cellIs" dxfId="5212" priority="6" operator="equal">
      <formula>"BRO"</formula>
    </cfRule>
    <cfRule type="cellIs" dxfId="5211" priority="7" operator="equal">
      <formula>"YEL"</formula>
    </cfRule>
    <cfRule type="cellIs" dxfId="5210" priority="8" operator="equal">
      <formula>"BLU"</formula>
    </cfRule>
    <cfRule type="cellIs" dxfId="5209" priority="9" operator="equal">
      <formula>"WHI"</formula>
    </cfRule>
    <cfRule type="cellIs" dxfId="5208" priority="10" operator="equal">
      <formula>"GRE"</formula>
    </cfRule>
    <cfRule type="cellIs" dxfId="5207" priority="11" operator="equal">
      <formula>"RED"</formula>
    </cfRule>
    <cfRule type="cellIs" dxfId="5206" priority="12" operator="equal">
      <formula>"BLA"</formula>
    </cfRule>
  </conditionalFormatting>
  <conditionalFormatting sqref="J2">
    <cfRule type="colorScale" priority="33">
      <colorScale>
        <cfvo type="min"/>
        <cfvo type="percentile" val="50"/>
        <cfvo type="max"/>
        <color rgb="FFF8696B"/>
        <color rgb="FFFFEB84"/>
        <color rgb="FF63BE7B"/>
      </colorScale>
    </cfRule>
  </conditionalFormatting>
  <conditionalFormatting sqref="S2">
    <cfRule type="colorScale" priority="34">
      <colorScale>
        <cfvo type="min"/>
        <cfvo type="max"/>
        <color rgb="FFFCFCFF"/>
        <color rgb="FF754BFB"/>
      </colorScale>
    </cfRule>
  </conditionalFormatting>
  <conditionalFormatting sqref="AT2">
    <cfRule type="colorScale" priority="35">
      <colorScale>
        <cfvo type="min"/>
        <cfvo type="max"/>
        <color rgb="FFFCFCFF"/>
        <color theme="8" tint="0.39997558519241921"/>
      </colorScale>
    </cfRule>
  </conditionalFormatting>
  <conditionalFormatting sqref="CG2">
    <cfRule type="colorScale" priority="36">
      <colorScale>
        <cfvo type="min"/>
        <cfvo type="max"/>
        <color rgb="FFFCFCFF"/>
        <color rgb="FF63BE7B"/>
      </colorScale>
    </cfRule>
  </conditionalFormatting>
  <hyperlinks>
    <hyperlink ref="A2" r:id="rId1" display="https://fbref.com/en/country/CPV/Cape-Verde-Football" xr:uid="{390BD68B-05ED-4382-9C23-522CCFE8305A}"/>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31745" r:id="rId5"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31746" r:id="rId6"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31747" r:id="rId7"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515C2-243E-4D2A-B037-E5D0AD2265A6}">
  <sheetPr codeName="Sheet56"/>
  <dimension ref="A1:IY6"/>
  <sheetViews>
    <sheetView zoomScale="70" zoomScaleNormal="70" workbookViewId="0">
      <pane xSplit="5" ySplit="1" topLeftCell="F2" activePane="bottomRight" state="frozen"/>
      <selection pane="topRight" activeCell="F1" sqref="F1"/>
      <selection pane="bottomLeft" activeCell="A2" sqref="A2"/>
      <selection pane="bottomRight" activeCell="A3" sqref="A3"/>
    </sheetView>
  </sheetViews>
  <sheetFormatPr defaultRowHeight="38.4" customHeight="1" x14ac:dyDescent="0.3"/>
  <cols>
    <col min="1" max="1" width="52.44140625" style="81" bestFit="1" customWidth="1"/>
    <col min="2" max="2" width="10.109375" style="81" customWidth="1"/>
    <col min="3" max="3" width="7.44140625" style="82" customWidth="1"/>
    <col min="4" max="4" width="4.77734375" style="83" customWidth="1"/>
    <col min="5" max="5" width="4.5546875" style="83" customWidth="1"/>
    <col min="6" max="6" width="5.77734375" style="83" customWidth="1"/>
    <col min="7" max="7" width="7.44140625" style="81" customWidth="1"/>
    <col min="8" max="8" width="11.44140625" style="81" customWidth="1"/>
    <col min="9" max="9" width="10" style="81" customWidth="1"/>
    <col min="10" max="10" width="4.21875" style="81" customWidth="1"/>
    <col min="11" max="11" width="5.6640625" style="83" customWidth="1"/>
    <col min="12" max="12" width="2.88671875" style="83" customWidth="1"/>
    <col min="13" max="13" width="6.44140625" style="83" customWidth="1"/>
    <col min="14" max="14" width="4.5546875" style="83" customWidth="1"/>
    <col min="15" max="15" width="10.5546875" style="84" customWidth="1"/>
    <col min="16" max="16" width="6.88671875" style="83" customWidth="1"/>
    <col min="17" max="17" width="4.77734375" style="83" customWidth="1"/>
    <col min="18" max="18" width="13.109375" style="82" customWidth="1"/>
    <col min="19" max="19" width="6.77734375" style="82" customWidth="1"/>
    <col min="20" max="46" width="8.44140625" style="81" customWidth="1"/>
    <col min="47" max="47" width="24.5546875" style="81" customWidth="1"/>
    <col min="48" max="51" width="16.6640625" style="81" customWidth="1"/>
    <col min="52" max="52" width="6.5546875" style="81" customWidth="1"/>
    <col min="53" max="54" width="5.88671875" style="81" customWidth="1"/>
    <col min="55" max="55" width="1.33203125" style="81" customWidth="1"/>
    <col min="56" max="56" width="7.44140625" style="81" customWidth="1"/>
    <col min="57" max="57" width="2.33203125" style="81" customWidth="1"/>
    <col min="58" max="62" width="6.109375" style="81" customWidth="1"/>
    <col min="63" max="63" width="2.33203125" style="81" customWidth="1"/>
    <col min="64" max="64" width="7" style="81" bestFit="1" customWidth="1"/>
    <col min="65" max="65" width="6.44140625" style="81" bestFit="1" customWidth="1"/>
    <col min="66" max="66" width="7.109375" style="81" bestFit="1" customWidth="1"/>
    <col min="67" max="71" width="6.44140625" style="81" bestFit="1" customWidth="1"/>
    <col min="72" max="73" width="6.44140625" style="81" customWidth="1"/>
    <col min="74" max="75" width="13.44140625" style="81" customWidth="1"/>
    <col min="76" max="84" width="14.6640625" style="81" customWidth="1"/>
    <col min="85" max="85" width="6.44140625" style="81" customWidth="1"/>
    <col min="86" max="87" width="11.6640625" style="81" bestFit="1" customWidth="1"/>
    <col min="88" max="88" width="11.6640625" style="81" customWidth="1"/>
    <col min="89" max="89" width="12.77734375" style="81" bestFit="1" customWidth="1"/>
    <col min="90" max="90" width="16.44140625" style="82" bestFit="1" customWidth="1"/>
    <col min="91" max="92" width="14.88671875" style="82" bestFit="1" customWidth="1"/>
    <col min="93" max="93" width="16" style="82" bestFit="1" customWidth="1"/>
    <col min="94" max="97" width="7.77734375" style="81" customWidth="1"/>
    <col min="98" max="98" width="33.21875" style="81" customWidth="1"/>
    <col min="99" max="99" width="18" style="81" customWidth="1"/>
    <col min="100" max="100" width="75.6640625" style="81" customWidth="1"/>
    <col min="101" max="125" width="33" style="81" customWidth="1"/>
    <col min="126" max="126" width="8.88671875" style="81"/>
    <col min="127" max="128" width="9.44140625" style="81" bestFit="1" customWidth="1"/>
    <col min="129" max="129" width="10.77734375" style="81" bestFit="1" customWidth="1"/>
    <col min="130" max="134" width="10.77734375" style="81" customWidth="1"/>
    <col min="135" max="135" width="10.109375" style="81" bestFit="1" customWidth="1"/>
    <col min="136" max="136" width="7.77734375" style="81" bestFit="1" customWidth="1"/>
    <col min="137" max="137" width="7.77734375" style="81" customWidth="1"/>
    <col min="138" max="138" width="9" style="81" bestFit="1" customWidth="1"/>
    <col min="139" max="139" width="11.33203125" style="81" bestFit="1" customWidth="1"/>
    <col min="140" max="140" width="9.109375" style="81" bestFit="1" customWidth="1"/>
    <col min="141" max="141" width="9" style="81" bestFit="1" customWidth="1"/>
    <col min="142" max="142" width="12" style="81" bestFit="1" customWidth="1"/>
    <col min="143" max="166" width="12" style="81" customWidth="1"/>
    <col min="167" max="167" width="17.21875" style="81" customWidth="1"/>
    <col min="168" max="191" width="12" style="81" customWidth="1"/>
    <col min="192" max="192" width="8.5546875" style="81" bestFit="1" customWidth="1"/>
    <col min="193" max="193" width="8.5546875" style="81" customWidth="1"/>
    <col min="194" max="194" width="7.109375" style="81" bestFit="1" customWidth="1"/>
    <col min="195" max="195" width="7.5546875" style="81" bestFit="1" customWidth="1"/>
    <col min="196" max="196" width="8.5546875" style="81" bestFit="1" customWidth="1"/>
    <col min="197" max="200" width="8.5546875" style="81" customWidth="1"/>
    <col min="201" max="201" width="188.88671875" style="81" customWidth="1"/>
    <col min="202" max="202" width="9.5546875" style="81" bestFit="1" customWidth="1"/>
    <col min="203" max="203" width="10.44140625" style="81" bestFit="1" customWidth="1"/>
    <col min="204" max="204" width="11.109375" style="81" bestFit="1" customWidth="1"/>
    <col min="205" max="205" width="10.44140625" style="81" bestFit="1" customWidth="1"/>
    <col min="206" max="210" width="10.44140625" style="81" customWidth="1"/>
    <col min="211" max="211" width="45.44140625" style="81" customWidth="1"/>
    <col min="212" max="212" width="47.5546875" style="81" bestFit="1" customWidth="1"/>
    <col min="213" max="213" width="9.33203125" style="85" customWidth="1"/>
    <col min="214" max="214" width="119.5546875" style="81" customWidth="1"/>
    <col min="215" max="215" width="69.6640625" style="81" customWidth="1"/>
    <col min="216" max="218" width="8.88671875" style="81"/>
    <col min="219" max="219" width="37.109375" style="81" customWidth="1"/>
    <col min="220" max="220" width="16.33203125" style="81" customWidth="1"/>
    <col min="221" max="222" width="8.88671875" style="81"/>
    <col min="223" max="223" width="10.109375" style="81" bestFit="1" customWidth="1"/>
    <col min="224" max="232" width="10.88671875" style="81" customWidth="1"/>
    <col min="233" max="234" width="30.77734375" style="81" customWidth="1"/>
    <col min="235" max="235" width="5.109375" style="81" customWidth="1"/>
    <col min="236" max="236" width="3" style="81" customWidth="1"/>
    <col min="237" max="245" width="6.77734375" style="86" customWidth="1"/>
    <col min="246" max="247" width="8.88671875" style="81"/>
    <col min="248" max="248" width="61.5546875" style="81" customWidth="1"/>
    <col min="249" max="253" width="8.88671875" style="81"/>
    <col min="254" max="254" width="9" style="81" customWidth="1"/>
    <col min="255" max="16384" width="8.88671875" style="8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675</v>
      </c>
      <c r="B2" s="40" t="e" vm="30">
        <v>#VALUE!</v>
      </c>
      <c r="C2" s="41">
        <v>1</v>
      </c>
      <c r="D2" s="42" t="s">
        <v>676</v>
      </c>
      <c r="E2" s="43" t="s">
        <v>677</v>
      </c>
      <c r="F2" s="44" t="s">
        <v>163</v>
      </c>
      <c r="G2" s="45">
        <f>COUNTIF($A$1:$A$8363,A2)</f>
        <v>1</v>
      </c>
      <c r="H2" s="46"/>
      <c r="I2" s="47" t="s">
        <v>678</v>
      </c>
      <c r="J2" s="48" t="str">
        <f>""</f>
        <v/>
      </c>
      <c r="K2" s="49">
        <v>1136000</v>
      </c>
      <c r="L2" s="50">
        <v>142551</v>
      </c>
      <c r="M2" s="50" t="s">
        <v>682</v>
      </c>
      <c r="N2" s="51" t="s">
        <v>180</v>
      </c>
      <c r="O2" s="52" t="s">
        <v>679</v>
      </c>
      <c r="P2" s="53" t="s">
        <v>680</v>
      </c>
      <c r="Q2" s="54">
        <v>1</v>
      </c>
      <c r="R2" s="55" t="s">
        <v>180</v>
      </c>
      <c r="S2" s="56">
        <v>2</v>
      </c>
      <c r="T2" s="57" t="s">
        <v>167</v>
      </c>
      <c r="U2" s="58" t="s">
        <v>164</v>
      </c>
      <c r="V2" s="58" t="s">
        <v>167</v>
      </c>
      <c r="W2" s="58" t="s">
        <v>164</v>
      </c>
      <c r="X2" s="58" t="s">
        <v>164</v>
      </c>
      <c r="Y2" s="58" t="s">
        <v>164</v>
      </c>
      <c r="Z2" s="58" t="s">
        <v>164</v>
      </c>
      <c r="AA2" s="58" t="s">
        <v>164</v>
      </c>
      <c r="AB2" s="58" t="s">
        <v>164</v>
      </c>
      <c r="AC2" s="58" t="s">
        <v>164</v>
      </c>
      <c r="AD2" s="58" t="s">
        <v>164</v>
      </c>
      <c r="AE2" s="58" t="s">
        <v>164</v>
      </c>
      <c r="AF2" s="59" t="s">
        <v>167</v>
      </c>
      <c r="AG2" s="59" t="s">
        <v>164</v>
      </c>
      <c r="AH2" s="59" t="s">
        <v>164</v>
      </c>
      <c r="AI2" s="59" t="s">
        <v>164</v>
      </c>
      <c r="AJ2" s="59" t="s">
        <v>164</v>
      </c>
      <c r="AK2" s="59" t="s">
        <v>164</v>
      </c>
      <c r="AL2" s="59" t="s">
        <v>164</v>
      </c>
      <c r="AM2" s="59" t="s">
        <v>164</v>
      </c>
      <c r="AN2" s="59" t="s">
        <v>164</v>
      </c>
      <c r="AO2" s="59" t="s">
        <v>164</v>
      </c>
      <c r="AP2" s="59" t="s">
        <v>164</v>
      </c>
      <c r="AQ2" s="59" t="s">
        <v>164</v>
      </c>
      <c r="AR2" s="59" t="s">
        <v>164</v>
      </c>
      <c r="AS2" s="59" t="s">
        <v>164</v>
      </c>
      <c r="AT2" s="60">
        <v>1</v>
      </c>
      <c r="AU2" s="59"/>
      <c r="AV2" s="59" t="str">
        <f>IF(LEFT(A2,1)="[",LEFT(A2,5)&amp;AU2&amp;A2,"")</f>
        <v/>
      </c>
      <c r="AW2" s="59" t="str">
        <f t="shared" ref="AW2" si="0">C2&amp;H2&amp;A2</f>
        <v>1Djibouti</v>
      </c>
      <c r="AX2" s="61" t="str">
        <f>_xlfn.TEXTJOIN(";",TRUE,AU2:AW2)</f>
        <v>1Djibouti</v>
      </c>
      <c r="AY2" s="61"/>
      <c r="AZ2" s="62" t="s">
        <v>154</v>
      </c>
      <c r="BA2" s="62"/>
      <c r="BB2" s="62"/>
      <c r="BC2" s="63"/>
      <c r="BD2" s="64" t="s">
        <v>169</v>
      </c>
      <c r="BE2" s="47"/>
      <c r="BF2" s="64" t="s">
        <v>152</v>
      </c>
      <c r="BG2" s="64"/>
      <c r="BH2" s="64" t="s">
        <v>153</v>
      </c>
      <c r="BI2" s="64"/>
      <c r="BJ2" s="64"/>
      <c r="BK2" s="47"/>
      <c r="BL2" s="64" t="s">
        <v>159</v>
      </c>
      <c r="BM2" s="64" t="s">
        <v>154</v>
      </c>
      <c r="BN2" s="64" t="s">
        <v>152</v>
      </c>
      <c r="BO2" s="64" t="s">
        <v>153</v>
      </c>
      <c r="BP2" s="64"/>
      <c r="BQ2" s="64"/>
      <c r="BR2" s="64"/>
      <c r="BS2" s="64"/>
      <c r="BT2" s="64"/>
      <c r="BU2" s="65"/>
      <c r="BV2" s="66" t="s">
        <v>165</v>
      </c>
      <c r="BW2" s="66" t="s">
        <v>166</v>
      </c>
      <c r="BX2" s="47"/>
      <c r="BY2" s="48" t="s">
        <v>164</v>
      </c>
      <c r="CB2" s="6" t="s">
        <v>502</v>
      </c>
      <c r="CC2" s="6"/>
      <c r="CD2" s="67">
        <v>0</v>
      </c>
      <c r="CE2" s="67">
        <v>0</v>
      </c>
      <c r="CF2" s="67" t="e">
        <v>#REF!</v>
      </c>
      <c r="CG2" s="68" cm="1">
        <f t="array" ref="CG2">SUMPRODUCT(--(LEN(TRIM(BL2:BT2))&gt;0))</f>
        <v>4</v>
      </c>
      <c r="CH2" s="59" t="str">
        <f>IF(CG2=2,"y","n")</f>
        <v>n</v>
      </c>
      <c r="CI2" s="59" t="str">
        <f>IF(CG2=3,"y","n")</f>
        <v>n</v>
      </c>
      <c r="CJ2" s="59" t="str">
        <f>IF(CG2=4,"y","n")</f>
        <v>y</v>
      </c>
      <c r="CK2" s="59" t="str">
        <f>IF(CG2&gt;4,"y","n")</f>
        <v>n</v>
      </c>
      <c r="CL2" s="59" t="str">
        <f>IF(S2=0,"y","n")</f>
        <v>n</v>
      </c>
      <c r="CM2" s="59" t="str">
        <f>IF(S2=2,"y","n")</f>
        <v>y</v>
      </c>
      <c r="CN2" s="59" t="str">
        <f>IF(S2=3,"y","n")</f>
        <v>n</v>
      </c>
      <c r="CO2" s="59" t="str">
        <f>IF(S2&gt;=4,"y","n")</f>
        <v>n</v>
      </c>
      <c r="CP2" s="59" t="str">
        <f>IF(AT2=0,"y","n")</f>
        <v>n</v>
      </c>
      <c r="CQ2" s="59" t="str">
        <f>IF(AT2=1,"y","n")</f>
        <v>y</v>
      </c>
      <c r="CR2" s="59" t="str">
        <f>IF(AT2=2,"y","n")</f>
        <v>n</v>
      </c>
      <c r="CS2" s="59" t="str">
        <f>IF(AT2&gt;=3,"y","n")</f>
        <v>n</v>
      </c>
      <c r="CT2" s="69" t="str">
        <f>CHAR(34)&amp;A2&amp;CHAR(34)</f>
        <v>"Djibouti"</v>
      </c>
      <c r="CU2" s="70" t="str">
        <f>CHAR(34)&amp;"rgn_"&amp;R2&amp;CHAR(34)</f>
        <v>"rgn_Africa"</v>
      </c>
      <c r="CV2" s="48" t="str">
        <f>CHAR(34)&amp;D2&amp;CHAR(34)</f>
        <v>"https://i.ibb.co/6rL67nK/Djibouti-Flag.png"</v>
      </c>
      <c r="CW2" s="48" t="str">
        <f>IF(CH2="y",CHAR(34)&amp;CH$1&amp;CHAR(34)&amp;",","")</f>
        <v/>
      </c>
      <c r="CX2" s="48" t="str">
        <f>IF(CI2="y",CHAR(34)&amp;CI$1&amp;CHAR(34)&amp;",","")</f>
        <v/>
      </c>
      <c r="CY2" s="48" t="str">
        <f>IF(CJ2="y",CHAR(34)&amp;CJ$1&amp;CHAR(34)&amp;",","")</f>
        <v>"4Color",</v>
      </c>
      <c r="CZ2" s="48" t="str">
        <f>IF(CK2="y",CHAR(34)&amp;CK$1&amp;CHAR(34)&amp;",","")</f>
        <v/>
      </c>
      <c r="DA2" s="48" t="str">
        <f>IF(Q2&gt;1,CHAR(34)&amp;"words2"&amp;CHAR(34)&amp;",","")</f>
        <v/>
      </c>
      <c r="DB2" s="48" t="str">
        <f>IF(Q2&gt;2,CHAR(34)&amp;"words3"&amp;CHAR(34)&amp;",","")</f>
        <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"lets08",</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"startD",</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
      </c>
      <c r="DS2" s="6" t="str">
        <f>IF(W2="y",IF(AND(V2="n",BY2&lt;&gt;"y"),CHAR(34)&amp;"allver"&amp;CHAR(34)&amp;",",""),"")</f>
        <v/>
      </c>
      <c r="DT2" s="6" t="str">
        <f>IF(V2="y",IF(AND(W2="n",BY2&lt;&gt;"y"),CHAR(34)&amp;"allhor"&amp;CHAR(34)&amp;",",""),"")</f>
        <v>"allhor",</v>
      </c>
      <c r="DU2" s="6" t="str">
        <f>IF(BY2="y",IF(AND(W2="n",V2="n"),CHAR(34)&amp;"alldia"&amp;CHAR(34)&amp;",",""),"")</f>
        <v/>
      </c>
      <c r="DV2" s="48" t="str">
        <f>IF(IA2&lt;&gt;"",(IF(IA2="y",CHAR(34)&amp;"largec"&amp;CHAR(34)&amp;",",CHAR(34)&amp;"smallc"&amp;CHAR(34)&amp;",")),"")</f>
        <v/>
      </c>
      <c r="DW2" s="48" t="str">
        <f>IF(CL2="y",CHAR(34)&amp;CL$1&amp;CHAR(34)&amp;",","")</f>
        <v/>
      </c>
      <c r="DX2" s="48" t="str">
        <f>IF(CM2="y",CHAR(34)&amp;CM$1&amp;CHAR(34)&amp;",","")</f>
        <v>"2Bands",</v>
      </c>
      <c r="DY2" s="48" t="str">
        <f>IF(CN2="y",CHAR(34)&amp;CN$1&amp;CHAR(34)&amp;",","")</f>
        <v/>
      </c>
      <c r="DZ2" s="48" t="str">
        <f>IF(CO2="y",CHAR(34)&amp;CO$1&amp;CHAR(34)&amp;",","")</f>
        <v/>
      </c>
      <c r="EA2" s="48" t="str">
        <f>IF(T2="y",CHAR(34)&amp;T$1&amp;CHAR(34)&amp;",","")</f>
        <v>"Diagon",</v>
      </c>
      <c r="EB2" s="48" t="str">
        <f>IF(U2="y",CHAR(34)&amp;U$1&amp;CHAR(34)&amp;",","")</f>
        <v/>
      </c>
      <c r="EC2" s="48" t="str">
        <f>IF(V2="y",CHAR(34)&amp;V$1&amp;CHAR(34)&amp;",","")</f>
        <v>"Horizo",</v>
      </c>
      <c r="ED2" s="48" t="str">
        <f>IF(W2="y",CHAR(34)&amp;W$1&amp;CHAR(34)&amp;",","")</f>
        <v/>
      </c>
      <c r="EE2" s="48" t="str">
        <f>IF(X2="y",CHAR(34)&amp;X$1&amp;CHAR(34)&amp;",","")</f>
        <v/>
      </c>
      <c r="EF2" s="48" t="str">
        <f>IF(AND(Y2&lt;&gt;"n",Y2&lt;&gt;""),CHAR(34)&amp;Y$1&amp;CHAR(34)&amp;",","")</f>
        <v/>
      </c>
      <c r="EG2" s="48" t="str">
        <f>IF(Z2="y",CHAR(34)&amp;Z$1&amp;CHAR(34)&amp;",","")</f>
        <v/>
      </c>
      <c r="EH2" s="48" t="str">
        <f>IF(AA2="y",CHAR(34)&amp;AA$1&amp;CHAR(34)&amp;",","")</f>
        <v/>
      </c>
      <c r="EI2" s="48" t="str">
        <f>IF(AB2="y",CHAR(34)&amp;AB$1&amp;CHAR(34)&amp;",","")</f>
        <v/>
      </c>
      <c r="EJ2" s="48" t="str">
        <f>IF(AC2="y",CHAR(34)&amp;AC$1&amp;CHAR(34)&amp;",","")</f>
        <v/>
      </c>
      <c r="EK2" s="48" t="str">
        <f>IF(AD2="y",CHAR(34)&amp;AD$1&amp;CHAR(34)&amp;",","")</f>
        <v/>
      </c>
      <c r="EL2" s="48" t="str">
        <f>IF(AE2="y",CHAR(34)&amp;AE$1&amp;CHAR(34)&amp;",","")</f>
        <v/>
      </c>
      <c r="EM2" s="48" t="str">
        <f>IF(AF2="y",CHAR(34)&amp;AF$1&amp;CHAR(34)&amp;",","")</f>
        <v>"Trside",</v>
      </c>
      <c r="EN2" s="48" t="str">
        <f>IF(AG2="y",CHAR(34)&amp;AG$1&amp;CHAR(34)&amp;",","")</f>
        <v/>
      </c>
      <c r="EO2" s="48" t="str">
        <f>IF(AH2="y",CHAR(34)&amp;AH$1&amp;CHAR(34)&amp;",","")</f>
        <v/>
      </c>
      <c r="EP2" s="48" t="str">
        <f>IF(AI2="y",CHAR(34)&amp;AI$1&amp;CHAR(34)&amp;",","")</f>
        <v/>
      </c>
      <c r="EQ2" s="48" t="str">
        <f>IF(AJ2="y",CHAR(34)&amp;AJ$1&amp;CHAR(34)&amp;",","")</f>
        <v/>
      </c>
      <c r="ER2" s="48" t="str">
        <f>IF(AK2="y",CHAR(34)&amp;AK$1&amp;CHAR(34)&amp;",","")</f>
        <v/>
      </c>
      <c r="ES2" s="48" t="str">
        <f>IF(AL2="y",CHAR(34)&amp;AL$1&amp;CHAR(34)&amp;",","")</f>
        <v/>
      </c>
      <c r="ET2" s="48" t="str">
        <f>IF(AM2="y",CHAR(34)&amp;AM$1&amp;CHAR(34)&amp;",","")</f>
        <v/>
      </c>
      <c r="EU2" s="48" t="str">
        <f>IF(AN2="y",CHAR(34)&amp;AN$1&amp;CHAR(34)&amp;",","")</f>
        <v/>
      </c>
      <c r="EV2" s="48" t="str">
        <f>IF(AO2="y",CHAR(34)&amp;AO$1&amp;CHAR(34)&amp;",","")</f>
        <v/>
      </c>
      <c r="EW2" s="48" t="str">
        <f>IF(AP2="y",CHAR(34)&amp;AP$1&amp;CHAR(34)&amp;",","")</f>
        <v/>
      </c>
      <c r="EX2" s="48" t="str">
        <f>IF(AQ2="y",CHAR(34)&amp;AQ$1&amp;CHAR(34)&amp;",","")</f>
        <v/>
      </c>
      <c r="EY2" s="48" t="str">
        <f>IF(AR2="y",CHAR(34)&amp;AR$1&amp;CHAR(34)&amp;",","")</f>
        <v/>
      </c>
      <c r="EZ2" s="48" t="str">
        <f>IF(AS2="y",CHAR(34)&amp;AS$1&amp;CHAR(34)&amp;",","")</f>
        <v/>
      </c>
      <c r="FA2" s="48" t="str">
        <f>IF(AT2&gt;0,CHAR(34)&amp;"sta"&amp;AZ2&amp;CHAR(34)&amp;",","")</f>
        <v>"staRED",</v>
      </c>
      <c r="FB2" s="48" t="str">
        <f>IF(AND(AT2&gt;0,BA2&lt;&gt;""),CHAR(34)&amp;"sta"&amp;BA2&amp;CHAR(34)&amp;",","")</f>
        <v/>
      </c>
      <c r="FC2" s="48" t="str">
        <f>IF(AND(AT2&gt;0,BB2&lt;&gt;""),CHAR(34)&amp;"sta"&amp;BB2&amp;CHAR(34)&amp;",","")</f>
        <v/>
      </c>
      <c r="FD2" s="48" t="str">
        <f>IF(BV2="n",CHAR(34)&amp;"tcWHYE"&amp;CHAR(34)&amp;",",IF(BV2="y",CHAR(34)&amp;FD$1&amp;CHAR(34)&amp;",",""))</f>
        <v/>
      </c>
      <c r="FE2" s="48" t="str">
        <f>IF(COUNTIF(BL2:BT2,"BLU")=0,CHAR(34)&amp;"NO_BLU"&amp;CHAR(34)&amp;",", "")</f>
        <v/>
      </c>
      <c r="FF2" s="48" t="str">
        <f>IF(COUNTIF(BL2:BT2,"WHI")=0,CHAR(34)&amp;"NO_WHI"&amp;CHAR(34)&amp;",", "")</f>
        <v/>
      </c>
      <c r="FG2" s="48" t="str">
        <f>IF(COUNTIF(BL2:BT2,"RED")=0,CHAR(34)&amp;"NO_RED"&amp;CHAR(34)&amp;",", "")</f>
        <v/>
      </c>
      <c r="FH2" s="48" t="str">
        <f>IF(COUNTIF(BL2:BS2,"GRE")=0,CHAR(34)&amp;"NO_GRE"&amp;CHAR(34)&amp;",", "")</f>
        <v/>
      </c>
      <c r="FI2" s="48" t="str">
        <f>IF(COUNTIF(BL2:BT2,"YEL")=0,CHAR(34)&amp;"NO_YEL"&amp;CHAR(34)&amp;",", "")</f>
        <v>"NO_YEL",</v>
      </c>
      <c r="FJ2" s="48" t="str">
        <f>IF(COUNTIF(BL2:BT2,"BLA")=0,CHAR(34)&amp;"NO_BLA"&amp;CHAR(34)&amp;",", "")</f>
        <v>"NO_BLA",</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
      </c>
      <c r="FP2" s="48" t="str">
        <f>IF(AND(FF2&lt;&gt;"",FF2&lt;&gt;""),CHAR(34)&amp;"WHRENO"&amp;CHAR(34)&amp;",","")</f>
        <v/>
      </c>
      <c r="FQ2" s="48" t="str">
        <f>IF(LEN(BF2)=3,CHAR(34)&amp;"001"&amp;BF2&amp;CHAR(34)&amp;",","")</f>
        <v>"001BLU",</v>
      </c>
      <c r="FR2" s="48" t="str">
        <f>IF(LEN(BG2)=3,CHAR(34)&amp;"002"&amp;BG2&amp;CHAR(34)&amp;",","")</f>
        <v/>
      </c>
      <c r="FS2" s="48" t="str">
        <f>IF(LEN(BH2)=3,CHAR(34)&amp;"003"&amp;BH2&amp;CHAR(34)&amp;",","")</f>
        <v>"003GRE",</v>
      </c>
      <c r="FT2" s="48" t="str">
        <f>CHAR(34)&amp;"myr"&amp;BD2&amp;CHAR(34)&amp;","</f>
        <v>"myrEQ",</v>
      </c>
      <c r="FU2" s="48" t="str">
        <f>IF(AY2="y",CHAR(34)&amp;"island"&amp;CHAR(34)&amp;",","")</f>
        <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"arabic",</v>
      </c>
      <c r="FZ2" s="48" t="str">
        <f>IFERROR(IF(SEARCH("English",CB2)&gt;0,CHAR(34)&amp;"englis"&amp;CHAR(34)&amp;",",""),"")</f>
        <v/>
      </c>
      <c r="GA2" s="48" t="str">
        <f>IFERROR(IF(SEARCH("French",CB2)&gt;0,CHAR(34)&amp;"french"&amp;CHAR(34)&amp;",",""),"")</f>
        <v>"french",</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
      </c>
      <c r="GK2" s="48" t="str">
        <f>IF(GJ2="",CHAR(34)&amp;"HasSta"&amp;CHAR(34)&amp;",","")</f>
        <v>"HasSta",</v>
      </c>
      <c r="GL2" s="48" t="str">
        <f>IF(CQ2="y",CHAR(34)&amp;CQ$1&amp;CHAR(34)&amp;",","")</f>
        <v>"1Stars",</v>
      </c>
      <c r="GM2" s="48" t="str">
        <f>IF(CR2="y",CHAR(34)&amp;CR$1&amp;CHAR(34)&amp;",","")</f>
        <v/>
      </c>
      <c r="GN2" s="48" t="str">
        <f>IF(CS2="y",CHAR(34)&amp;CS$1&amp;CHAR(34)&amp;",","")</f>
        <v/>
      </c>
      <c r="GP2" s="48" t="str">
        <f>CHAR(34)&amp;AU2&amp;CHAR(34)</f>
        <v>""</v>
      </c>
      <c r="GS2" s="48" t="str">
        <f>SUBSTITUTE("["&amp;_xlfn.CONCAT(CW2:GN2)&amp;"]",",]","]")</f>
        <v>["4Color","lets08","startD","year19","allhor","2Bands","Diagon","Horizo","Trside","staRED","NO_YEL","NO_BLA","001BLU","003GRE","myrEQ","arabic","french","HasSta","1Stars"]</v>
      </c>
      <c r="GT2" s="48" t="str">
        <f>IF(BL2&lt;&gt;"",CHAR(34)&amp;"cl_"&amp;BL2&amp;CHAR(34)&amp;",","")</f>
        <v>"cl_WHI",</v>
      </c>
      <c r="GU2" s="48" t="str">
        <f>IF(BM2&lt;&gt;"",CHAR(34)&amp;"cl_"&amp;BM2&amp;CHAR(34)&amp;",","")</f>
        <v>"cl_RED",</v>
      </c>
      <c r="GV2" s="48" t="str">
        <f>IF(BN2&lt;&gt;"",CHAR(34)&amp;"cl_"&amp;BN2&amp;CHAR(34)&amp;",","")</f>
        <v>"cl_BLU",</v>
      </c>
      <c r="GW2" s="48" t="str">
        <f>IF(BO2&lt;&gt;"",CHAR(34)&amp;"cl_"&amp;BO2&amp;CHAR(34)&amp;",","")</f>
        <v>"cl_GRE",</v>
      </c>
      <c r="GX2" s="48" t="str">
        <f>IF(BP2&lt;&gt;"",CHAR(34)&amp;"cl_"&amp;BP2&amp;CHAR(34)&amp;",","")</f>
        <v/>
      </c>
      <c r="GY2" s="48" t="str">
        <f>IF(BQ2&lt;&gt;"",CHAR(34)&amp;"cl_"&amp;BQ2&amp;CHAR(34)&amp;",","")</f>
        <v/>
      </c>
      <c r="GZ2" s="48" t="str">
        <f>IF(BR2&lt;&gt;"",CHAR(34)&amp;"cl_"&amp;BR2&amp;CHAR(34)&amp;",","")</f>
        <v/>
      </c>
      <c r="HA2" s="48" t="str">
        <f>IF(BS2&lt;&gt;"",CHAR(34)&amp;"cl_"&amp;BS2&amp;CHAR(34)&amp;",","")</f>
        <v/>
      </c>
      <c r="HB2" s="48" t="str">
        <f>IF(BT2&lt;&gt;"",CHAR(34)&amp;"cl_"&amp;BT2&amp;CHAR(34)&amp;",","")</f>
        <v/>
      </c>
      <c r="HC2" s="48" t="str">
        <f>SUBSTITUTE("["&amp;_xlfn.CONCAT(GT2:HB2)&amp;"]",",]","]")</f>
        <v>["cl_WHI","cl_RED","cl_BLU","cl_GRE"]</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{couname:"Djibouti",year:"1977 ",region:"rgn_Africa",Colors:["cl_WHI","cl_RED","cl_BLU","cl_GRE"],Items:["4Color","lets08","startD","year19","allhor","2Bands","Diagon","Horizo","Trside","staRED","NO_YEL","NO_BLA","001BLU","003GRE","myrEQ","arabic","french","HasSta","1Stars"],Flag:"https://i.ibb.co/6rL67nK/Djibouti-Flag.png",HDFlag:"https://upload.wikimedia.org/wikipedia/commons/thumb/3/34/Flag_of_Djibouti.svg/2560px-Flag_of_Djibouti.svg.png",type:"", describe: "\nThe flag combines the basic layout and colors from the flag of the Front de Libération de la Côte des Somalis. The light blue represents the sky and the sea, as well as the Somalis, green represents the everlasting green of the earth, as well as the Afars, white represents the colour of peace and the five point red star represents unity, the blood shed by the martyrs of independence, as well as Djibouti being one of the five regions inhabited by the Somali people.", isnew:".", links: "https://en.wikipedia.org/wiki/Flag_of_Djibouti"},</v>
      </c>
      <c r="HG2" s="73" t="str">
        <f>"{couname:"&amp;CT2&amp;(IF(HK2&lt;&gt;"",",subtype:"&amp;CHAR(34)&amp;HK2&amp;CHAR(34),""))&amp;",year:"&amp;HJ2&amp;",region:"&amp;CU2&amp;",Colors:"&amp;HC2&amp;",Items:"&amp;GS2&amp;",Flag:"&amp;CV2&amp;",HDFlag:"&amp;CHAR(34)&amp;E2&amp;CHAR(34)&amp;",type:"&amp;GP2&amp;", describe: "&amp;HI2&amp;", links: "&amp;HL2&amp;"},"</f>
        <v>{couname:"Djibouti",year:"1977 ",region:"rgn_Africa",Colors:["cl_WHI","cl_RED","cl_BLU","cl_GRE"],Items:["4Color","lets08","startD","year19","allhor","2Bands","Diagon","Horizo","Trside","staRED","NO_YEL","NO_BLA","001BLU","003GRE","myrEQ","arabic","french","HasSta","1Stars"],Flag:"https://i.ibb.co/6rL67nK/Djibouti-Flag.png",HDFlag:"https://upload.wikimedia.org/wikipedia/commons/thumb/3/34/Flag_of_Djibouti.svg/2560px-Flag_of_Djibouti.svg.png",type:"", describe: "\nThe flag combines the basic layout and colors from the flag of the Front de Libération de la Côte des Somalis. The light blue represents the sky and the sea, as well as the Somalis, green represents the everlasting green of the earth, as well as the Afars, white represents the colour of peace and the five point red star represents unity, the blood shed by the martyrs of independence, as well as Djibouti being one of the five regions inhabited by the Somali people.", links: "https://en.wikipedia.org/wiki/Flag_of_Djibouti"},</v>
      </c>
      <c r="HH2" s="48" t="str">
        <f>IF(P2&lt;&gt;"",CHAR(34)&amp;"\n"&amp;P2&amp;CHAR(34),CHAR(34)&amp;CHAR(34))</f>
        <v>"\nThe flag combines the basic layout and colors from the flag of the Front de Libération de la Côte des Somalis. The light blue represents the sky and the sea, as well as the Somalis, green represents the everlasting green of the earth, as well as the Afars, white represents the colour of peace and the five point red star represents unity, the blood shed by the martyrs of independence, as well as Djibouti being one of the five regions inhabited by the Somali people."</v>
      </c>
      <c r="HI2" s="48" t="str">
        <f>IF(J2=0,CHAR(34)&amp;CHAR(34),HH2)</f>
        <v>"\nThe flag combines the basic layout and colors from the flag of the Front de Libération de la Côte des Somalis. The light blue represents the sky and the sea, as well as the Somalis, green represents the everlasting green of the earth, as well as the Afars, white represents the colour of peace and the five point red star represents unity, the blood shed by the martyrs of independence, as well as Djibouti being one of the five regions inhabited by the Somali people."</v>
      </c>
      <c r="HJ2" s="48" t="str">
        <f>CHAR(34)&amp;O2&amp;CHAR(34)</f>
        <v>"1977 "</v>
      </c>
      <c r="HL2" s="48" t="str">
        <f>CHAR(34)&amp;I2&amp;CHAR(34)</f>
        <v>"https://en.wikipedia.org/wiki/Flag_of_Djibouti"</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{"couname":"Djibouti","year":"1977 ","region":"rgn_Africa","Colors":["cl_WHI","cl_RED","cl_BLU","cl_GRE"],"Items":["4Color","lets08","startD","year19","allhor","2Bands","Diagon","Horizo","Trside","staRED","NO_YEL","NO_BLA","001BLU","003GRE","myrEQ","arabic","french","HasSta","1Stars"],"Flag":"https://i.ibb.co/6rL67nK/Djibouti-Flag.png","HDFlag":"https://upload.wikimedia.org/wikipedia/commons/thumb/3/34/Flag_of_Djibouti.svg/2560px-Flag_of_Djibouti.svg.png","type":"", "describe": "\nThe flag combines the basic layout and colors from the flag of the Front de Libération de la Côte des Somalis. The light blue represents the sky and the sea, as well as the Somalis, green represents the everlasting green of the earth, as well as the Afars, white represents the colour of peace and the five point red star represents unity, the blood shed by the martyrs of independence, as well as Djibouti being one of the five regions inhabited by the Somali people.", "isnew": ".", "links": "https://en.wikipedia.org/wiki/Flag_of_Djibouti"},</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{"couname":"Djibouti","year":"1977 ","region":"rgn_Africa","Colors":["cl_WHI","cl_RED","cl_BLU","cl_GRE"],"Items":["4Color","lets08","startD","year19","allhor","2Bands","Diagon","Horizo","Trside","staRED","NO_YEL","NO_BLA","001BLU","003GRE","myrEQ","arabic","french","HasSta","1Stars"],"Flag":"https://i.ibb.co/6rL67nK/Djibouti-Flag.png","HDFlag":"https://upload.wikimedia.org/wikipedia/commons/thumb/3/34/Flag_of_Djibouti.svg/2560px-Flag_of_Djibouti.svg.png","type":"", "describe": "\nThe flag combines the basic layout and colors from the flag of the Front de Libération de la Côte des Somalis. The light blue represents the sky and the sea, as well as the Somalis, green represents the everlasting green of the earth, as well as the Afars, white represents the colour of peace and the five point red star represents unity, the blood shed by the martyrs of independence, as well as Djibouti being one of the five regions inhabited by the Somali people.", "isnew": ".", "links": "https://en.wikipedia.org/wiki/Flag_of_Djibouti"},</v>
      </c>
      <c r="HO2" s="75"/>
      <c r="HP2" s="48" t="str" cm="1">
        <f t="array" ref="HP2">IF(_xlfn.TEXTJOIN(", ", TRUE, IF(ISNUMBER(SEARCH("BLA", BL2:BT2)), COLUMN(BL2:BT2) - COLUMN(BL2) + 1, ""))&lt;&gt;"","BLA","")</f>
        <v/>
      </c>
      <c r="HQ2" s="48" t="str" cm="1">
        <f t="array" ref="HQ2">IF(_xlfn.TEXTJOIN(", ", TRUE, IF(ISNUMBER(SEARCH("BLU", BL2:BT2)), COLUMN(BL2:BT2) - COLUMN(BL2) + 1, ""))&lt;&gt;"","BLU","")</f>
        <v>BLU</v>
      </c>
      <c r="HR2" s="48" t="str" cm="1">
        <f t="array" ref="HR2">IF(_xlfn.TEXTJOIN(", ", TRUE, IF(ISNUMBER(SEARCH("GRE", BL2:BT2)), COLUMN(BL2:BT2) - COLUMN(BL2) + 1, ""))&lt;&gt;"","GRE","")</f>
        <v>GRE</v>
      </c>
      <c r="HS2" s="48" t="str" cm="1">
        <f t="array" ref="HS2">IF(_xlfn.TEXTJOIN(", ", TRUE, IF(ISNUMBER(SEARCH("RED", BL2:BT2)), COLUMN(BL2:BT2) - COLUMN(BL2) + 1, ""))&lt;&gt;"","RED","")</f>
        <v>RED</v>
      </c>
      <c r="HT2" s="48" t="str" cm="1">
        <f t="array" ref="HT2">IF(_xlfn.TEXTJOIN(", ", TRUE, IF(ISNUMBER(SEARCH("YEL", BL2:BT2)), COLUMN(BL2:BT2) - COLUMN(BL2) + 1, ""))&lt;&gt;"","YEL","")</f>
        <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c r="IB2" s="6"/>
      <c r="IC2" s="77"/>
      <c r="ID2" s="77"/>
      <c r="IE2" s="77"/>
      <c r="IF2" s="77"/>
      <c r="IG2" s="77"/>
      <c r="IH2" s="77"/>
      <c r="II2" s="77"/>
      <c r="IJ2" s="77"/>
      <c r="IK2" s="77"/>
      <c r="IL2" s="48">
        <f>SUM(IC2:IK2)</f>
        <v>0</v>
      </c>
      <c r="IM2" s="45">
        <f>COUNTIF(IC2:IK2,"&gt;0")-CG2</f>
        <v>-4</v>
      </c>
      <c r="IN2" s="78" t="str">
        <f>"http://mkweb.bcgsc.ca/color-summarizer/?url="&amp;D2&amp;"&amp;precision=low&amp;num_clusters="&amp;CG2&amp;"&amp;text=1"</f>
        <v>http://mkweb.bcgsc.ca/color-summarizer/?url=https://i.ibb.co/6rL67nK/Djibouti-Flag.png&amp;precision=low&amp;num_clusters=4&amp;text=1</v>
      </c>
      <c r="IO2" s="48" t="str">
        <f>IF(HP2&lt;&gt;"",CHAR(34)&amp;"black"&amp;CHAR(34),"")</f>
        <v/>
      </c>
      <c r="IP2" s="48" t="str">
        <f>IF(HQ2&lt;&gt;"",CHAR(34)&amp;"blue"&amp;CHAR(34),"")</f>
        <v>"blue"</v>
      </c>
      <c r="IQ2" s="48" t="str">
        <f>IF(HR2&lt;&gt;"",CHAR(34)&amp;"green"&amp;CHAR(34),"")</f>
        <v>"green"</v>
      </c>
      <c r="IR2" s="48" t="str">
        <f>IF(HS2&lt;&gt;"",CHAR(34)&amp;"red"&amp;CHAR(34),"")</f>
        <v>"red"</v>
      </c>
      <c r="IS2" s="48" t="str">
        <f>IF(HT2&lt;&gt;"",CHAR(34)&amp;"yellow"&amp;CHAR(34),"")</f>
        <v/>
      </c>
      <c r="IT2" s="48" t="str">
        <f>IF(HU2&lt;&gt;"",CHAR(34)&amp;"orange"&amp;CHAR(34),"")</f>
        <v/>
      </c>
      <c r="IU2" s="48" t="str">
        <f>IF(HV2&lt;&gt;"",CHAR(34)&amp;"brown"&amp;CHAR(34),"")</f>
        <v/>
      </c>
      <c r="IV2" s="48" t="str">
        <f>IF(HW2&lt;&gt;"",CHAR(34)&amp;"purple"&amp;CHAR(34),"")</f>
        <v/>
      </c>
      <c r="IW2" s="48" t="str">
        <f>IF(HX2&lt;&gt;"",CHAR(34)&amp;"white"&amp;CHAR(34),"")</f>
        <v>"white"</v>
      </c>
      <c r="IX2" s="48" t="str">
        <f>"{"&amp;CHAR(34)&amp;"url"&amp;CHAR(34)&amp;":"&amp;CHAR(34)&amp;IN2&amp;CHAR(34)&amp;","&amp;CHAR(34)&amp;"name"&amp;CHAR(34)&amp;":"&amp;CHAR(34)&amp;A2&amp;CHAR(34)&amp;"},"</f>
        <v>{"url":"http://mkweb.bcgsc.ca/color-summarizer/?url=https://i.ibb.co/6rL67nK/Djibouti-Flag.png&amp;precision=low&amp;num_clusters=4&amp;text=1","name":"Djibouti"},</v>
      </c>
      <c r="IY2" s="48">
        <v>60</v>
      </c>
    </row>
    <row r="3" spans="1:259" s="48" customFormat="1" ht="38.4" customHeight="1" thickBot="1" x14ac:dyDescent="0.35">
      <c r="A3" s="80" t="s">
        <v>669</v>
      </c>
      <c r="B3" s="40" t="e" vm="31">
        <v>#VALUE!</v>
      </c>
      <c r="C3" s="41" t="s">
        <v>173</v>
      </c>
      <c r="D3" s="42" t="s">
        <v>670</v>
      </c>
      <c r="E3" s="43" t="s">
        <v>671</v>
      </c>
      <c r="F3" s="44" t="s">
        <v>163</v>
      </c>
      <c r="G3" s="45">
        <f>COUNTIF($A$1:$A$8372,A3)</f>
        <v>1</v>
      </c>
      <c r="H3" s="46" t="s">
        <v>681</v>
      </c>
      <c r="I3" s="47" t="s">
        <v>672</v>
      </c>
      <c r="J3" s="48" t="str">
        <f>""</f>
        <v/>
      </c>
      <c r="K3" s="49"/>
      <c r="L3" s="50"/>
      <c r="M3" s="50"/>
      <c r="N3" s="51" t="s">
        <v>180</v>
      </c>
      <c r="O3" s="52" t="s">
        <v>462</v>
      </c>
      <c r="P3" s="53" t="s">
        <v>673</v>
      </c>
      <c r="Q3" s="54">
        <v>3</v>
      </c>
      <c r="R3" s="55" t="s">
        <v>180</v>
      </c>
      <c r="S3" s="56">
        <v>3</v>
      </c>
      <c r="T3" s="57" t="s">
        <v>167</v>
      </c>
      <c r="U3" s="58" t="s">
        <v>164</v>
      </c>
      <c r="V3" s="58" t="s">
        <v>164</v>
      </c>
      <c r="W3" s="58" t="s">
        <v>164</v>
      </c>
      <c r="X3" s="58" t="s">
        <v>164</v>
      </c>
      <c r="Y3" s="58" t="s">
        <v>164</v>
      </c>
      <c r="Z3" s="58" t="s">
        <v>164</v>
      </c>
      <c r="AA3" s="58" t="s">
        <v>164</v>
      </c>
      <c r="AB3" s="58" t="s">
        <v>164</v>
      </c>
      <c r="AC3" s="58" t="s">
        <v>164</v>
      </c>
      <c r="AD3" s="58" t="s">
        <v>164</v>
      </c>
      <c r="AE3" s="58" t="s">
        <v>164</v>
      </c>
      <c r="AF3" s="59" t="s">
        <v>164</v>
      </c>
      <c r="AG3" s="59" t="s">
        <v>164</v>
      </c>
      <c r="AH3" s="59" t="s">
        <v>164</v>
      </c>
      <c r="AI3" s="59" t="s">
        <v>164</v>
      </c>
      <c r="AJ3" s="59" t="s">
        <v>164</v>
      </c>
      <c r="AK3" s="59" t="s">
        <v>167</v>
      </c>
      <c r="AL3" s="59" t="s">
        <v>164</v>
      </c>
      <c r="AM3" s="59" t="s">
        <v>164</v>
      </c>
      <c r="AN3" s="59" t="s">
        <v>164</v>
      </c>
      <c r="AO3" s="59" t="s">
        <v>164</v>
      </c>
      <c r="AP3" s="59" t="s">
        <v>164</v>
      </c>
      <c r="AQ3" s="59" t="s">
        <v>164</v>
      </c>
      <c r="AR3" s="59" t="s">
        <v>164</v>
      </c>
      <c r="AS3" s="59" t="s">
        <v>164</v>
      </c>
      <c r="AT3" s="60">
        <v>0</v>
      </c>
      <c r="AU3" s="59" t="s">
        <v>674</v>
      </c>
      <c r="AV3" s="59" t="str">
        <f>IF(LEFT(A3,1)="[",LEFT(A3,5)&amp;AU3&amp;A3,"")</f>
        <v>[DJI]Naval[DJI] Djibouti Naval Jack</v>
      </c>
      <c r="AW3" s="59" t="str">
        <f t="shared" ref="AW3" si="1">C3&amp;H3&amp;A3</f>
        <v>3b[DJI] Other[DJI] Djibouti Naval Jack</v>
      </c>
      <c r="AX3" s="61"/>
      <c r="AY3" s="61"/>
      <c r="AZ3" s="62"/>
      <c r="BA3" s="62"/>
      <c r="BB3" s="62"/>
      <c r="BC3" s="63"/>
      <c r="BD3" s="64"/>
      <c r="BE3" s="47"/>
      <c r="BF3" s="64" t="s">
        <v>152</v>
      </c>
      <c r="BG3" s="64" t="s">
        <v>159</v>
      </c>
      <c r="BH3" s="64" t="s">
        <v>153</v>
      </c>
      <c r="BI3" s="64"/>
      <c r="BJ3" s="64"/>
      <c r="BK3" s="47"/>
      <c r="BL3" s="64" t="s">
        <v>152</v>
      </c>
      <c r="BM3" s="64" t="s">
        <v>159</v>
      </c>
      <c r="BN3" s="64" t="s">
        <v>153</v>
      </c>
      <c r="BO3" s="64"/>
      <c r="BP3" s="64"/>
      <c r="BQ3" s="64"/>
      <c r="BR3" s="64"/>
      <c r="BS3" s="64"/>
      <c r="BT3" s="64"/>
      <c r="BU3" s="65"/>
      <c r="BV3" s="66"/>
      <c r="BW3" s="66">
        <v>0</v>
      </c>
      <c r="BX3" s="47"/>
      <c r="BY3" s="48" t="s">
        <v>167</v>
      </c>
      <c r="CB3" s="6"/>
      <c r="CC3" s="6"/>
      <c r="CD3" s="67">
        <v>0</v>
      </c>
      <c r="CE3" s="67">
        <v>0</v>
      </c>
      <c r="CF3" s="67" t="e">
        <v>#REF!</v>
      </c>
      <c r="CG3" s="68" cm="1">
        <f t="array" ref="CG3">SUMPRODUCT(--(LEN(TRIM(BL3:BT3))&gt;0))</f>
        <v>3</v>
      </c>
      <c r="CH3" s="59" t="str">
        <f>IF(CG3=2,"y","n")</f>
        <v>n</v>
      </c>
      <c r="CI3" s="59" t="str">
        <f>IF(CG3=3,"y","n")</f>
        <v>y</v>
      </c>
      <c r="CJ3" s="59" t="str">
        <f>IF(CG3=4,"y","n")</f>
        <v>n</v>
      </c>
      <c r="CK3" s="59" t="str">
        <f>IF(CG3&gt;4,"y","n")</f>
        <v>n</v>
      </c>
      <c r="CL3" s="59" t="str">
        <f>IF(S3=0,"y","n")</f>
        <v>n</v>
      </c>
      <c r="CM3" s="59" t="str">
        <f>IF(S3=2,"y","n")</f>
        <v>n</v>
      </c>
      <c r="CN3" s="59" t="str">
        <f>IF(S3=3,"y","n")</f>
        <v>y</v>
      </c>
      <c r="CO3" s="59" t="str">
        <f>IF(S3&gt;=4,"y","n")</f>
        <v>n</v>
      </c>
      <c r="CP3" s="59" t="str">
        <f>IF(AT3=0,"y","n")</f>
        <v>y</v>
      </c>
      <c r="CQ3" s="59" t="str">
        <f>IF(AT3=1,"y","n")</f>
        <v>n</v>
      </c>
      <c r="CR3" s="59" t="str">
        <f>IF(AT3=2,"y","n")</f>
        <v>n</v>
      </c>
      <c r="CS3" s="59" t="str">
        <f>IF(AT3&gt;=3,"y","n")</f>
        <v>n</v>
      </c>
      <c r="CT3" s="69" t="str">
        <f>CHAR(34)&amp;A3&amp;CHAR(34)</f>
        <v>"[DJI] Djibouti Naval Jack"</v>
      </c>
      <c r="CU3" s="70" t="str">
        <f>CHAR(34)&amp;"rgn_"&amp;R3&amp;CHAR(34)</f>
        <v>"rgn_Africa"</v>
      </c>
      <c r="CV3" s="48" t="str">
        <f>CHAR(34)&amp;D3&amp;CHAR(34)</f>
        <v>"https://upload.wikimedia.org/wikipedia/commons/thumb/6/67/Djibouti_Naval_Jack.png/508px-Djibouti_Naval_Jack.png"</v>
      </c>
      <c r="CW3" s="48" t="str">
        <f>IF(CH3="y",CHAR(34)&amp;CH$1&amp;CHAR(34)&amp;",","")</f>
        <v/>
      </c>
      <c r="CX3" s="48" t="str">
        <f>IF(CI3="y",CHAR(34)&amp;CI$1&amp;CHAR(34)&amp;",","")</f>
        <v>"3Color",</v>
      </c>
      <c r="CY3" s="48" t="str">
        <f>IF(CJ3="y",CHAR(34)&amp;CJ$1&amp;CHAR(34)&amp;",","")</f>
        <v/>
      </c>
      <c r="CZ3" s="48" t="str">
        <f>IF(CK3="y",CHAR(34)&amp;CK$1&amp;CHAR(34)&amp;",","")</f>
        <v/>
      </c>
      <c r="DA3" s="48" t="str">
        <f>IF(Q3&gt;1,CHAR(34)&amp;"words2"&amp;CHAR(34)&amp;",","")</f>
        <v>"words2",</v>
      </c>
      <c r="DB3" s="48" t="str">
        <f>IF(Q3&gt;2,CHAR(34)&amp;"words3"&amp;CHAR(34)&amp;",","")</f>
        <v>"words3",</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"lets17",</v>
      </c>
      <c r="DE3" s="48" t="str">
        <f>CHAR(34)&amp;"start"&amp;IFERROR(LEFT(SUBSTITUTE(A3,"["&amp;MID(A3,FIND("[",A3)+1,FIND("]",A3)-FIND("[",A3)-1)&amp;"] ",""),1),LEFT(A3,1))&amp;CHAR(34)&amp;","</f>
        <v>"startD",</v>
      </c>
      <c r="DF3" s="48" t="str">
        <f>IFERROR(IF(SEARCH("tan",A3)&gt;0,CHAR(34)&amp;"withtn"&amp;CHAR(34)&amp;",",""),"")</f>
        <v/>
      </c>
      <c r="DG3" s="48" t="str">
        <f>IFERROR(IF(SEARCH("q",A3)&gt;0,CHAR(34)&amp;"with_q"&amp;CHAR(34)&amp;",",""),"")</f>
        <v/>
      </c>
      <c r="DH3" s="48" t="str">
        <f>IFERROR(IF(SEARCH("v",A3)&gt;0,CHAR(34)&amp;"with_v"&amp;CHAR(34)&amp;",",""),"")</f>
        <v>"with_v",</v>
      </c>
      <c r="DI3" s="48" t="str">
        <f>IFERROR(IF(SEARCH("w",A3)&gt;0,CHAR(34)&amp;"with_w"&amp;CHAR(34)&amp;",",""),"")</f>
        <v/>
      </c>
      <c r="DJ3" s="48" t="str">
        <f>IFERROR(IF(SEARCH("y",A3)&gt;0,CHAR(34)&amp;"with_y"&amp;CHAR(34)&amp;",",""),"")</f>
        <v/>
      </c>
      <c r="DK3" s="48" t="str">
        <f>IFERROR(IF(SEARCH("z",A3)&gt;0,CHAR(34)&amp;"with_z"&amp;CHAR(34)&amp;",",""),"")</f>
        <v/>
      </c>
      <c r="DL3" s="48" t="str">
        <f>IF(CG3=2, CHAR(34) &amp; _xlfn.TEXTJOIN("", TRUE, _xlfn._xlws.SORT(HP3:HX3)) &amp; CHAR(34) &amp; ",", "")</f>
        <v/>
      </c>
      <c r="DM3" s="48" t="str" cm="1">
        <f t="array" ref="DM3">IF(CG3=3,CHAR(34) &amp; _xlfn.TEXTJOIN("", TRUE, RIGHT(HP3:HX3, 2)) &amp; CHAR(34) &amp; ",", "")</f>
        <v>"LUREHI",</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"year19",</v>
      </c>
      <c r="DP3" s="6" t="str">
        <f>IF(AND(ISNUMBER(SEARCH("20", O3)), ISERROR(SEARCH("1920", O3))), CHAR(34)&amp;"year00"&amp;CHAR(34)&amp;",", "")</f>
        <v/>
      </c>
      <c r="DQ3" s="6" t="str">
        <f>IF(CC3="y",CHAR(34)&amp;"soviet"&amp;CHAR(34)&amp;",","")</f>
        <v/>
      </c>
      <c r="DR3" s="6" t="str">
        <f>IF(BY3="y",CHAR(34)&amp;"dgband"&amp;CHAR(34)&amp;",","")</f>
        <v>"dgband",</v>
      </c>
      <c r="DS3" s="6" t="str">
        <f>IF(W3="y",IF(AND(V3="n",BY3&lt;&gt;"y"),CHAR(34)&amp;"allver"&amp;CHAR(34)&amp;",",""),"")</f>
        <v/>
      </c>
      <c r="DT3" s="6" t="str">
        <f>IF(V3="y",IF(AND(W3="n",BY3&lt;&gt;"y"),CHAR(34)&amp;"allhor"&amp;CHAR(34)&amp;",",""),"")</f>
        <v/>
      </c>
      <c r="DU3" s="6" t="str">
        <f>IF(BY3="y",IF(AND(W3="n",V3="n"),CHAR(34)&amp;"alldia"&amp;CHAR(34)&amp;",",""),"")</f>
        <v>"alldia",</v>
      </c>
      <c r="DW3" s="48" t="str">
        <f>IF(CL3="y",CHAR(34)&amp;CL$1&amp;CHAR(34)&amp;",","")</f>
        <v/>
      </c>
      <c r="DX3" s="48" t="str">
        <f>IF(CM3="y",CHAR(34)&amp;CM$1&amp;CHAR(34)&amp;",","")</f>
        <v/>
      </c>
      <c r="DY3" s="48" t="str">
        <f>IF(CN3="y",CHAR(34)&amp;CN$1&amp;CHAR(34)&amp;",","")</f>
        <v>"3Bands",</v>
      </c>
      <c r="DZ3" s="48" t="str">
        <f>IF(CO3="y",CHAR(34)&amp;CO$1&amp;CHAR(34)&amp;",","")</f>
        <v/>
      </c>
      <c r="EA3" s="48" t="str">
        <f>IF(T3="y",CHAR(34)&amp;T$1&amp;CHAR(34)&amp;",","")</f>
        <v>"Diagon",</v>
      </c>
      <c r="EB3" s="48" t="str">
        <f>IF(U3="y",CHAR(34)&amp;U$1&amp;CHAR(34)&amp;",","")</f>
        <v/>
      </c>
      <c r="EC3" s="48" t="str">
        <f>IF(V3="y",CHAR(34)&amp;V$1&amp;CHAR(34)&amp;",","")</f>
        <v/>
      </c>
      <c r="ED3" s="48" t="str">
        <f>IF(W3="y",CHAR(34)&amp;W$1&amp;CHAR(34)&amp;",","")</f>
        <v/>
      </c>
      <c r="EE3" s="48" t="str">
        <f>IF(X3="y",CHAR(34)&amp;X$1&amp;CHAR(34)&amp;",","")</f>
        <v/>
      </c>
      <c r="EF3" s="48" t="str">
        <f>IF(AND(Y3&lt;&gt;"n",Y3&lt;&gt;""),CHAR(34)&amp;Y$1&amp;CHAR(34)&amp;",","")</f>
        <v/>
      </c>
      <c r="EG3" s="48" t="str">
        <f>IF(Z3="y",CHAR(34)&amp;Z$1&amp;CHAR(34)&amp;",","")</f>
        <v/>
      </c>
      <c r="EH3" s="48" t="str">
        <f>IF(AA3="y",CHAR(34)&amp;AA$1&amp;CHAR(34)&amp;",","")</f>
        <v/>
      </c>
      <c r="EI3" s="48" t="str">
        <f>IF(AB3="y",CHAR(34)&amp;AB$1&amp;CHAR(34)&amp;",","")</f>
        <v/>
      </c>
      <c r="EJ3" s="48" t="str">
        <f>IF(AC3="y",CHAR(34)&amp;AC$1&amp;CHAR(34)&amp;",","")</f>
        <v/>
      </c>
      <c r="EK3" s="48" t="str">
        <f>IF(AD3="y",CHAR(34)&amp;AD$1&amp;CHAR(34)&amp;",","")</f>
        <v/>
      </c>
      <c r="EL3" s="48" t="str">
        <f>IF(AE3="y",CHAR(34)&amp;AE$1&amp;CHAR(34)&amp;",","")</f>
        <v/>
      </c>
      <c r="EM3" s="48" t="str">
        <f>IF(AF3="y",CHAR(34)&amp;AF$1&amp;CHAR(34)&amp;",","")</f>
        <v/>
      </c>
      <c r="EN3" s="48" t="str">
        <f>IF(AG3="y",CHAR(34)&amp;AG$1&amp;CHAR(34)&amp;",","")</f>
        <v/>
      </c>
      <c r="EO3" s="48" t="str">
        <f>IF(AH3="y",CHAR(34)&amp;AH$1&amp;CHAR(34)&amp;",","")</f>
        <v/>
      </c>
      <c r="EP3" s="48" t="str">
        <f>IF(AI3="y",CHAR(34)&amp;AI$1&amp;CHAR(34)&amp;",","")</f>
        <v/>
      </c>
      <c r="EQ3" s="48" t="str">
        <f>IF(AJ3="y",CHAR(34)&amp;AJ$1&amp;CHAR(34)&amp;",","")</f>
        <v/>
      </c>
      <c r="ER3" s="48" t="str">
        <f>IF(AK3="y",CHAR(34)&amp;AK$1&amp;CHAR(34)&amp;",","")</f>
        <v>"OnlyBa",</v>
      </c>
      <c r="ES3" s="48" t="str">
        <f>IF(AL3="y",CHAR(34)&amp;AL$1&amp;CHAR(34)&amp;",","")</f>
        <v/>
      </c>
      <c r="ET3" s="48" t="str">
        <f>IF(AM3="y",CHAR(34)&amp;AM$1&amp;CHAR(34)&amp;",","")</f>
        <v/>
      </c>
      <c r="EU3" s="48" t="str">
        <f>IF(AN3="y",CHAR(34)&amp;AN$1&amp;CHAR(34)&amp;",","")</f>
        <v/>
      </c>
      <c r="EV3" s="48" t="str">
        <f>IF(AO3="y",CHAR(34)&amp;AO$1&amp;CHAR(34)&amp;",","")</f>
        <v/>
      </c>
      <c r="EW3" s="48" t="str">
        <f>IF(AP3="y",CHAR(34)&amp;AP$1&amp;CHAR(34)&amp;",","")</f>
        <v/>
      </c>
      <c r="EX3" s="48" t="str">
        <f>IF(AQ3="y",CHAR(34)&amp;AQ$1&amp;CHAR(34)&amp;",","")</f>
        <v/>
      </c>
      <c r="EY3" s="48" t="str">
        <f>IF(AR3="y",CHAR(34)&amp;AR$1&amp;CHAR(34)&amp;",","")</f>
        <v/>
      </c>
      <c r="EZ3" s="48" t="str">
        <f>IF(AS3="y",CHAR(34)&amp;AS$1&amp;CHAR(34)&amp;",","")</f>
        <v/>
      </c>
      <c r="FA3" s="48" t="str">
        <f>IF(AT3&gt;0,CHAR(34)&amp;"sta"&amp;AZ3&amp;CHAR(34)&amp;",","")</f>
        <v/>
      </c>
      <c r="FB3" s="48" t="str">
        <f>IF(AND(AT3&gt;0,BA3&lt;&gt;""),CHAR(34)&amp;"sta"&amp;BA3&amp;CHAR(34)&amp;",","")</f>
        <v/>
      </c>
      <c r="FD3" s="48" t="str">
        <f>IF(BV3="n",CHAR(34)&amp;"tcWHYE"&amp;CHAR(34)&amp;",",IF(BV3="y",CHAR(34)&amp;FD$1&amp;CHAR(34)&amp;",",""))</f>
        <v/>
      </c>
      <c r="FE3" s="48" t="str">
        <f>IF(COUNTIF(BL3:BT3,"BLU")=0,CHAR(34)&amp;"NO_BLU"&amp;CHAR(34)&amp;",", "")</f>
        <v/>
      </c>
      <c r="FF3" s="48" t="str">
        <f>IF(COUNTIF(BL3:BT3,"WHI")=0,CHAR(34)&amp;"NO_WHI"&amp;CHAR(34)&amp;",", "")</f>
        <v/>
      </c>
      <c r="FG3" s="48" t="str">
        <f>IF(COUNTIF(BL3:BT3,"RED")=0,CHAR(34)&amp;"NO_RED"&amp;CHAR(34)&amp;",", "")</f>
        <v>"NO_RED",</v>
      </c>
      <c r="FH3" s="48" t="str">
        <f>IF(COUNTIF(BL3:BS3,"GRE")=0,CHAR(34)&amp;"NO_GRE"&amp;CHAR(34)&amp;",", "")</f>
        <v/>
      </c>
      <c r="FI3" s="48" t="str">
        <f>IF(COUNTIF(BL3:BT3,"YEL")=0,CHAR(34)&amp;"NO_YEL"&amp;CHAR(34)&amp;",", "")</f>
        <v>"NO_YEL",</v>
      </c>
      <c r="FJ3" s="48" t="str">
        <f>IF(COUNTIF(BL3:BT3,"BLA")=0,CHAR(34)&amp;"NO_BLA"&amp;CHAR(34)&amp;",", "")</f>
        <v>"NO_BLA",</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
      </c>
      <c r="FQ3" s="48" t="str">
        <f>IF(LEN(BF3)=3,CHAR(34)&amp;"001"&amp;BF3&amp;CHAR(34)&amp;",","")</f>
        <v>"001BLU",</v>
      </c>
      <c r="FR3" s="48" t="str">
        <f>IF(LEN(BG3)=3,CHAR(34)&amp;"002"&amp;BG3&amp;CHAR(34)&amp;",","")</f>
        <v>"002WHI",</v>
      </c>
      <c r="FS3" s="48" t="str">
        <f>IF(LEN(BH3)=3,CHAR(34)&amp;"003"&amp;BH3&amp;CHAR(34)&amp;",","")</f>
        <v>"003GRE",</v>
      </c>
      <c r="FT3" s="48" t="str">
        <f>CHAR(34)&amp;"myr"&amp;BD3&amp;CHAR(34)&amp;","</f>
        <v>"myr",</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
      </c>
      <c r="GG3" s="48" t="str">
        <f>IF(BU3="y",CHAR(34)&amp;"unjack"&amp;CHAR(34)&amp;",","")</f>
        <v/>
      </c>
      <c r="GH3" s="48" t="str">
        <f>IF(CD3=1,CHAR(34)&amp;"southc"&amp;CHAR(34)&amp;",","")</f>
        <v/>
      </c>
      <c r="GI3" s="48" t="str">
        <f>IF(CE3=1,CHAR(34)&amp;"hasmap"&amp;CHAR(34)&amp;",","")</f>
        <v/>
      </c>
      <c r="GJ3" s="48" t="str">
        <f>IF(CP3="y",CHAR(34)&amp;CP$1&amp;CHAR(34)&amp;",","")</f>
        <v>"NoStar",</v>
      </c>
      <c r="GK3" s="48" t="str">
        <f>IF(GJ3="",CHAR(34)&amp;"HasSta"&amp;CHAR(34)&amp;",","")</f>
        <v/>
      </c>
      <c r="GL3" s="48" t="str">
        <f>IF(CQ3="y",CHAR(34)&amp;CQ$1&amp;CHAR(34)&amp;",","")</f>
        <v/>
      </c>
      <c r="GM3" s="48" t="str">
        <f>IF(CR3="y",CHAR(34)&amp;CR$1&amp;CHAR(34)&amp;",","")</f>
        <v/>
      </c>
      <c r="GN3" s="48" t="str">
        <f>IF(CS3="y",CHAR(34)&amp;CS$1&amp;CHAR(34)&amp;",","")</f>
        <v/>
      </c>
      <c r="GP3" s="48" t="str">
        <f>CHAR(34)&amp;AU3&amp;CHAR(34)</f>
        <v>"Naval"</v>
      </c>
      <c r="GS3" s="48" t="str">
        <f>SUBSTITUTE("["&amp;_xlfn.CONCAT(CW3:GN3)&amp;"]",",]","]")</f>
        <v>["3Color","words2","words3","lets17","startD","with_v","LUREHI","year19","dgband","alldia","3Bands","Diagon","OnlyBa","NO_RED","NO_YEL","NO_BLA","001BLU","002WHI","003GRE","myr","NoStar"]</v>
      </c>
      <c r="GT3" s="48" t="str">
        <f>IF(BL3&lt;&gt;"",CHAR(34)&amp;"cl_"&amp;BL3&amp;CHAR(34)&amp;",","")</f>
        <v>"cl_BLU",</v>
      </c>
      <c r="GU3" s="48" t="str">
        <f>IF(BM3&lt;&gt;"",CHAR(34)&amp;"cl_"&amp;BM3&amp;CHAR(34)&amp;",","")</f>
        <v>"cl_WHI",</v>
      </c>
      <c r="GV3" s="48" t="str">
        <f>IF(BN3&lt;&gt;"",CHAR(34)&amp;"cl_"&amp;BN3&amp;CHAR(34)&amp;",","")</f>
        <v>"cl_GRE",</v>
      </c>
      <c r="GW3" s="48" t="str">
        <f>IF(BO3&lt;&gt;"",CHAR(34)&amp;"cl_"&amp;BO3&amp;CHAR(34)&amp;",","")</f>
        <v/>
      </c>
      <c r="GX3" s="48" t="str">
        <f>IF(BP3&lt;&gt;"",CHAR(34)&amp;"cl_"&amp;BP3&amp;CHAR(34)&amp;",","")</f>
        <v/>
      </c>
      <c r="GY3" s="48" t="str">
        <f>IF(BQ3&lt;&gt;"",CHAR(34)&amp;"cl_"&amp;BQ3&amp;CHAR(34)&amp;",","")</f>
        <v/>
      </c>
      <c r="GZ3" s="48" t="str">
        <f>IF(BR3&lt;&gt;"",CHAR(34)&amp;"cl_"&amp;BR3&amp;CHAR(34)&amp;",","")</f>
        <v/>
      </c>
      <c r="HA3" s="48" t="str">
        <f>IF(BS3&lt;&gt;"",CHAR(34)&amp;"cl_"&amp;BS3&amp;CHAR(34)&amp;",","")</f>
        <v/>
      </c>
      <c r="HB3" s="48" t="str">
        <f>IF(BT3&lt;&gt;"",CHAR(34)&amp;"cl_"&amp;BT3&amp;CHAR(34)&amp;",","")</f>
        <v/>
      </c>
      <c r="HC3" s="48" t="str">
        <f>SUBSTITUTE("["&amp;_xlfn.CONCAT(GT3:HB3)&amp;"]",",]","]")</f>
        <v>["cl_BLU","cl_WHI","cl_GRE"]</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{couname:"[DJI] Djibouti Naval Jack",year:"1977",region:"rgn_Africa",Colors:["cl_BLU","cl_WHI","cl_GRE"],Items:["3Color","words2","words3","lets17","startD","with_v","LUREHI","year19","dgband","alldia","3Bands","Diagon","OnlyBa","NO_RED","NO_YEL","NO_BLA","001BLU","002WHI","003GRE","myr","NoStar"],Flag:"https://upload.wikimedia.org/wikipedia/commons/thumb/6/67/Djibouti_Naval_Jack.png/508px-Djibouti_Naval_Jack.png",HDFlag:"https://upload.wikimedia.org/wikipedia/commons/6/67/Djibouti_Naval_Jack.png",type:"Naval", describe: "\nNaval Jack of Djibouti", isnew:".", links: "https://en.wikipedia.org/wiki/List_of_Djibouti_flags"},</v>
      </c>
      <c r="HG3" s="73" t="str">
        <f>"{couname:"&amp;CT3&amp;(IF(HK3&lt;&gt;"",",subtype:"&amp;CHAR(34)&amp;HK3&amp;CHAR(34),""))&amp;",year:"&amp;HJ3&amp;",region:"&amp;CU3&amp;",Colors:"&amp;HC3&amp;",Items:"&amp;GS3&amp;",Flag:"&amp;CV3&amp;",HDFlag:"&amp;CHAR(34)&amp;E3&amp;CHAR(34)&amp;",type:"&amp;GP3&amp;", describe: "&amp;HI3&amp;", links: "&amp;HL3&amp;"},"</f>
        <v>{couname:"[DJI] Djibouti Naval Jack",year:"1977",region:"rgn_Africa",Colors:["cl_BLU","cl_WHI","cl_GRE"],Items:["3Color","words2","words3","lets17","startD","with_v","LUREHI","year19","dgband","alldia","3Bands","Diagon","OnlyBa","NO_RED","NO_YEL","NO_BLA","001BLU","002WHI","003GRE","myr","NoStar"],Flag:"https://upload.wikimedia.org/wikipedia/commons/thumb/6/67/Djibouti_Naval_Jack.png/508px-Djibouti_Naval_Jack.png",HDFlag:"https://upload.wikimedia.org/wikipedia/commons/6/67/Djibouti_Naval_Jack.png",type:"Naval", describe: "\nNaval Jack of Djibouti", links: "https://en.wikipedia.org/wiki/List_of_Djibouti_flags"},</v>
      </c>
      <c r="HH3" s="48" t="str">
        <f>IF(P3&lt;&gt;"",CHAR(34)&amp;"\n"&amp;P3&amp;CHAR(34),CHAR(34)&amp;CHAR(34))</f>
        <v>"\nNaval Jack of Djibouti"</v>
      </c>
      <c r="HI3" s="48" t="str">
        <f>IF(J3=0,CHAR(34)&amp;CHAR(34),HH3)</f>
        <v>"\nNaval Jack of Djibouti"</v>
      </c>
      <c r="HJ3" s="48" t="str">
        <f>CHAR(34)&amp;O3&amp;CHAR(34)</f>
        <v>"1977"</v>
      </c>
      <c r="HL3" s="48" t="str">
        <f>CHAR(34)&amp;I3&amp;CHAR(34)</f>
        <v>"https://en.wikipedia.org/wiki/List_of_Djibouti_flags"</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{"couname":"[DJI] Djibouti Naval Jack","subtype":"[DJI] Other","year":"1977","region":"rgn_Africa","Colors":["cl_BLU","cl_WHI","cl_GRE"],"Items":["3Color","words2","words3","lets17","startD","with_v","LUREHI","year19","dgband","alldia","3Bands","Diagon","OnlyBa","NO_RED","NO_YEL","NO_BLA","001BLU","002WHI","003GRE","myr","NoStar"],"Flag":"https://upload.wikimedia.org/wikipedia/commons/thumb/6/67/Djibouti_Naval_Jack.png/508px-Djibouti_Naval_Jack.png","HDFlag":"https://upload.wikimedia.org/wikipedia/commons/6/67/Djibouti_Naval_Jack.png","type":"Naval", "describe": "\nNaval Jack of Djibouti", "isnew": ".", "links": "https://en.wikipedia.org/wiki/List_of_Djibouti_flags"},</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{"couname":"[DJI] Djibouti Naval Jack","subtype":"[DJI] Other","year":"1977","region":"rgn_Africa","Colors":["cl_BLU","cl_WHI","cl_GRE"],"Items":["3Color","words2","words3","lets17","startD","with_v","LUREHI","year19","dgband","alldia","3Bands","Diagon","OnlyBa","NO_RED","NO_YEL","NO_BLA","001BLU","002WHI","003GRE","myr","NoStar"],"Flag":"https://upload.wikimedia.org/wikipedia/commons/thumb/6/67/Djibouti_Naval_Jack.png/508px-Djibouti_Naval_Jack.png","HDFlag":"https://upload.wikimedia.org/wikipedia/commons/6/67/Djibouti_Naval_Jack.png","type":"Naval", "describe": "\nNaval Jack of Djibouti", "isnew": ".", "links": "https://en.wikipedia.org/wiki/List_of_Djibouti_flags"},</v>
      </c>
      <c r="HO3" s="75">
        <v>45644</v>
      </c>
      <c r="HP3" s="48" t="str" cm="1">
        <f t="array" ref="HP3">IF(_xlfn.TEXTJOIN(", ", TRUE, IF(ISNUMBER(SEARCH("BLA", BL3:BT3)), COLUMN(BL3:BT3) - COLUMN(BL3) + 1, ""))&lt;&gt;"","BLA","")</f>
        <v/>
      </c>
      <c r="HQ3" s="48" t="str" cm="1">
        <f t="array" ref="HQ3">IF(_xlfn.TEXTJOIN(", ", TRUE, IF(ISNUMBER(SEARCH("BLU", BL3:BT3)), COLUMN(BL3:BT3) - COLUMN(BL3) + 1, ""))&lt;&gt;"","BLU","")</f>
        <v>BLU</v>
      </c>
      <c r="HR3" s="48" t="str" cm="1">
        <f t="array" ref="HR3">IF(_xlfn.TEXTJOIN(", ", TRUE, IF(ISNUMBER(SEARCH("GRE", BL3:BT3)), COLUMN(BL3:BT3) - COLUMN(BL3) + 1, ""))&lt;&gt;"","GRE","")</f>
        <v>GRE</v>
      </c>
      <c r="HS3" s="48" t="str" cm="1">
        <f t="array" ref="HS3">IF(_xlfn.TEXTJOIN(", ", TRUE, IF(ISNUMBER(SEARCH("RED", BL3:BT3)), COLUMN(BL3:BT3) - COLUMN(BL3) + 1, ""))&lt;&gt;"","RED","")</f>
        <v/>
      </c>
      <c r="HT3" s="48" t="str" cm="1">
        <f t="array" ref="HT3">IF(_xlfn.TEXTJOIN(", ", TRUE, IF(ISNUMBER(SEARCH("YEL", BL3:BT3)), COLUMN(BL3:BT3) - COLUMN(BL3) + 1, ""))&lt;&gt;"","YEL","")</f>
        <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M3" s="45">
        <f>COUNTIF(IC3:IK3,"&gt;0")-CG3</f>
        <v>-3</v>
      </c>
      <c r="IN3" s="78" t="str">
        <f>"http://mkweb.bcgsc.ca/color-summarizer/?url="&amp;D3&amp;"&amp;precision=low&amp;num_clusters="&amp;CG3&amp;"&amp;text=1"</f>
        <v>http://mkweb.bcgsc.ca/color-summarizer/?url=https://upload.wikimedia.org/wikipedia/commons/thumb/6/67/Djibouti_Naval_Jack.png/508px-Djibouti_Naval_Jack.png&amp;precision=low&amp;num_clusters=3&amp;text=1</v>
      </c>
      <c r="IO3" s="48" t="str">
        <f>IF(HP3&lt;&gt;"",CHAR(34)&amp;"black"&amp;CHAR(34),"")</f>
        <v/>
      </c>
      <c r="IP3" s="48" t="str">
        <f>IF(HQ3&lt;&gt;"",CHAR(34)&amp;"blue"&amp;CHAR(34),"")</f>
        <v>"blue"</v>
      </c>
      <c r="IQ3" s="48" t="str">
        <f>IF(HR3&lt;&gt;"",CHAR(34)&amp;"green"&amp;CHAR(34),"")</f>
        <v>"green"</v>
      </c>
      <c r="IR3" s="48" t="str">
        <f>IF(HS3&lt;&gt;"",CHAR(34)&amp;"red"&amp;CHAR(34),"")</f>
        <v/>
      </c>
      <c r="IS3" s="48" t="str">
        <f>IF(HT3&lt;&gt;"",CHAR(34)&amp;"yellow"&amp;CHAR(34),"")</f>
        <v/>
      </c>
      <c r="IT3" s="48" t="str">
        <f>IF(HU3&lt;&gt;"",CHAR(34)&amp;"orange"&amp;CHAR(34),"")</f>
        <v/>
      </c>
      <c r="IU3" s="48" t="str">
        <f>IF(HV3&lt;&gt;"",CHAR(34)&amp;"brown"&amp;CHAR(34),"")</f>
        <v/>
      </c>
      <c r="IV3" s="48" t="str">
        <f>IF(HW3&lt;&gt;"",CHAR(34)&amp;"purple"&amp;CHAR(34),"")</f>
        <v/>
      </c>
      <c r="IW3" s="48" t="str">
        <f>IF(HX3&lt;&gt;"",CHAR(34)&amp;"white"&amp;CHAR(34),"")</f>
        <v>"white"</v>
      </c>
      <c r="IX3" s="48" t="str">
        <f>"{"&amp;CHAR(34)&amp;"url"&amp;CHAR(34)&amp;":"&amp;CHAR(34)&amp;IN3&amp;CHAR(34)&amp;","&amp;CHAR(34)&amp;"name"&amp;CHAR(34)&amp;":"&amp;CHAR(34)&amp;A3&amp;CHAR(34)&amp;"},"</f>
        <v>{"url":"http://mkweb.bcgsc.ca/color-summarizer/?url=https://upload.wikimedia.org/wikipedia/commons/thumb/6/67/Djibouti_Naval_Jack.png/508px-Djibouti_Naval_Jack.png&amp;precision=low&amp;num_clusters=3&amp;text=1","name":"[DJI] Djibouti Naval Jack"},</v>
      </c>
      <c r="IY3" s="48">
        <v>1503</v>
      </c>
    </row>
    <row r="4" spans="1:259" ht="38.4" customHeight="1" x14ac:dyDescent="0.3">
      <c r="F4" s="82"/>
      <c r="G4" s="82"/>
      <c r="H4" s="82"/>
      <c r="I4" s="82"/>
      <c r="J4" s="82"/>
      <c r="K4" s="82"/>
    </row>
    <row r="5" spans="1:259" ht="38.4" customHeight="1" x14ac:dyDescent="0.3">
      <c r="F5" s="82"/>
      <c r="G5" s="82"/>
      <c r="H5" s="82"/>
      <c r="I5" s="82"/>
      <c r="J5" s="82"/>
      <c r="K5" s="82"/>
    </row>
    <row r="6" spans="1:259" ht="38.4" customHeight="1" x14ac:dyDescent="0.3">
      <c r="F6" s="82"/>
      <c r="G6" s="82"/>
      <c r="H6" s="82"/>
      <c r="I6" s="82"/>
      <c r="J6" s="82"/>
      <c r="K6" s="82"/>
    </row>
  </sheetData>
  <autoFilter ref="A1:IY1" xr:uid="{A1051193-A95B-4CFB-A73C-F0184620C81F}">
    <sortState xmlns:xlrd2="http://schemas.microsoft.com/office/spreadsheetml/2017/richdata2" ref="A2:IY5">
      <sortCondition ref="AW1"/>
    </sortState>
  </autoFilter>
  <conditionalFormatting sqref="H1 CW1:GS1 IA1:IB1">
    <cfRule type="cellIs" dxfId="5205" priority="118" operator="greaterThan">
      <formula>0</formula>
    </cfRule>
  </conditionalFormatting>
  <conditionalFormatting sqref="H1 H7:H1048576">
    <cfRule type="cellIs" dxfId="5204" priority="84" stopIfTrue="1" operator="notEqual">
      <formula>""</formula>
    </cfRule>
  </conditionalFormatting>
  <conditionalFormatting sqref="T1:BK1">
    <cfRule type="cellIs" dxfId="5203" priority="121" operator="greaterThan">
      <formula>0</formula>
    </cfRule>
  </conditionalFormatting>
  <conditionalFormatting sqref="BV1:BW1 BV4:BW1048576">
    <cfRule type="cellIs" dxfId="5202" priority="120" operator="equal">
      <formula>"nc"</formula>
    </cfRule>
  </conditionalFormatting>
  <conditionalFormatting sqref="HF1:HG1">
    <cfRule type="cellIs" dxfId="5201" priority="122" operator="greaterThan">
      <formula>0</formula>
    </cfRule>
  </conditionalFormatting>
  <conditionalFormatting sqref="HK1">
    <cfRule type="cellIs" dxfId="5200" priority="119" operator="greaterThan">
      <formula>0</formula>
    </cfRule>
  </conditionalFormatting>
  <conditionalFormatting sqref="HP1:HX1">
    <cfRule type="cellIs" dxfId="5199" priority="96" operator="equal">
      <formula>"PIN"</formula>
    </cfRule>
    <cfRule type="cellIs" dxfId="5198" priority="97" operator="equal">
      <formula>"ORA"</formula>
    </cfRule>
    <cfRule type="cellIs" dxfId="5197" priority="98" operator="equal">
      <formula>"GRA"</formula>
    </cfRule>
    <cfRule type="cellIs" dxfId="5196" priority="99" operator="equal">
      <formula>"PUR"</formula>
    </cfRule>
    <cfRule type="cellIs" dxfId="5195" priority="100" operator="equal">
      <formula>"BRO"</formula>
    </cfRule>
    <cfRule type="cellIs" dxfId="5194" priority="101" operator="equal">
      <formula>"YEL"</formula>
    </cfRule>
    <cfRule type="cellIs" dxfId="5193" priority="102" operator="equal">
      <formula>"BLU"</formula>
    </cfRule>
    <cfRule type="cellIs" dxfId="5192" priority="103" operator="equal">
      <formula>"WHI"</formula>
    </cfRule>
    <cfRule type="cellIs" dxfId="5191" priority="104" operator="equal">
      <formula>"GRE"</formula>
    </cfRule>
    <cfRule type="cellIs" dxfId="5190" priority="105" operator="equal">
      <formula>"RED"</formula>
    </cfRule>
    <cfRule type="cellIs" dxfId="5189" priority="106" operator="equal">
      <formula>"BLA"</formula>
    </cfRule>
  </conditionalFormatting>
  <conditionalFormatting sqref="IC1:IK1">
    <cfRule type="cellIs" dxfId="5188" priority="107" operator="equal">
      <formula>"PIN"</formula>
    </cfRule>
    <cfRule type="cellIs" dxfId="5187" priority="108" operator="equal">
      <formula>"ORA"</formula>
    </cfRule>
    <cfRule type="cellIs" dxfId="5186" priority="109" operator="equal">
      <formula>"GRA"</formula>
    </cfRule>
    <cfRule type="cellIs" dxfId="5185" priority="110" operator="equal">
      <formula>"PUR"</formula>
    </cfRule>
    <cfRule type="cellIs" dxfId="5184" priority="111" operator="equal">
      <formula>"BRO"</formula>
    </cfRule>
    <cfRule type="cellIs" dxfId="5183" priority="112" operator="equal">
      <formula>"YEL"</formula>
    </cfRule>
    <cfRule type="cellIs" dxfId="5182" priority="113" operator="equal">
      <formula>"BLU"</formula>
    </cfRule>
    <cfRule type="cellIs" dxfId="5181" priority="114" operator="equal">
      <formula>"WHI"</formula>
    </cfRule>
    <cfRule type="cellIs" dxfId="5180" priority="115" operator="equal">
      <formula>"GRE"</formula>
    </cfRule>
    <cfRule type="cellIs" dxfId="5179" priority="116" operator="equal">
      <formula>"RED"</formula>
    </cfRule>
    <cfRule type="cellIs" dxfId="5178" priority="117" operator="equal">
      <formula>"BLA"</formula>
    </cfRule>
  </conditionalFormatting>
  <conditionalFormatting sqref="IO1:IW1">
    <cfRule type="cellIs" dxfId="5177" priority="85" operator="equal">
      <formula>"PIN"</formula>
    </cfRule>
    <cfRule type="cellIs" dxfId="5176" priority="86" operator="equal">
      <formula>"ORA"</formula>
    </cfRule>
    <cfRule type="cellIs" dxfId="5175" priority="87" operator="equal">
      <formula>"GRA"</formula>
    </cfRule>
    <cfRule type="cellIs" dxfId="5174" priority="88" operator="equal">
      <formula>"PUR"</formula>
    </cfRule>
    <cfRule type="cellIs" dxfId="5173" priority="89" operator="equal">
      <formula>"BRO"</formula>
    </cfRule>
    <cfRule type="cellIs" dxfId="5172" priority="90" operator="equal">
      <formula>"YEL"</formula>
    </cfRule>
    <cfRule type="cellIs" dxfId="5171" priority="91" operator="equal">
      <formula>"BLU"</formula>
    </cfRule>
    <cfRule type="cellIs" dxfId="5170" priority="92" operator="equal">
      <formula>"WHI"</formula>
    </cfRule>
    <cfRule type="cellIs" dxfId="5169" priority="93" operator="equal">
      <formula>"GRE"</formula>
    </cfRule>
    <cfRule type="cellIs" dxfId="5168" priority="94" operator="equal">
      <formula>"RED"</formula>
    </cfRule>
    <cfRule type="cellIs" dxfId="5167" priority="95" operator="equal">
      <formula>"BLA"</formula>
    </cfRule>
  </conditionalFormatting>
  <conditionalFormatting sqref="H3">
    <cfRule type="cellIs" dxfId="5166" priority="76" stopIfTrue="1" operator="notEqual">
      <formula>""</formula>
    </cfRule>
  </conditionalFormatting>
  <conditionalFormatting sqref="R3 CU3">
    <cfRule type="cellIs" dxfId="5165" priority="79" operator="greaterThan">
      <formula>0</formula>
    </cfRule>
  </conditionalFormatting>
  <conditionalFormatting sqref="T3:AS3 CH3:CS3">
    <cfRule type="cellIs" dxfId="5164" priority="73" stopIfTrue="1" operator="equal">
      <formula>"n"</formula>
    </cfRule>
    <cfRule type="cellIs" dxfId="5163" priority="74" stopIfTrue="1" operator="equal">
      <formula>"y"</formula>
    </cfRule>
    <cfRule type="cellIs" dxfId="5162" priority="75" operator="greaterThan">
      <formula>0</formula>
    </cfRule>
  </conditionalFormatting>
  <conditionalFormatting sqref="AZ3:BB3">
    <cfRule type="expression" dxfId="5161" priority="60">
      <formula>$AT3=0</formula>
    </cfRule>
  </conditionalFormatting>
  <conditionalFormatting sqref="CD3:CF3 BX3:CA3 AZ3:BU3">
    <cfRule type="cellIs" dxfId="5160" priority="61" operator="equal">
      <formula>"PIN"</formula>
    </cfRule>
    <cfRule type="cellIs" dxfId="5159" priority="62" operator="equal">
      <formula>"ORA"</formula>
    </cfRule>
    <cfRule type="cellIs" dxfId="5158" priority="63" operator="equal">
      <formula>"GRA"</formula>
    </cfRule>
    <cfRule type="cellIs" dxfId="5157" priority="64" operator="equal">
      <formula>"PUR"</formula>
    </cfRule>
    <cfRule type="cellIs" dxfId="5156" priority="65" operator="equal">
      <formula>"BRO"</formula>
    </cfRule>
    <cfRule type="cellIs" dxfId="5155" priority="66" operator="equal">
      <formula>"YEL"</formula>
    </cfRule>
    <cfRule type="cellIs" dxfId="5154" priority="67" operator="equal">
      <formula>"BLU"</formula>
    </cfRule>
    <cfRule type="cellIs" dxfId="5153" priority="68" operator="equal">
      <formula>"WHI"</formula>
    </cfRule>
    <cfRule type="cellIs" dxfId="5152" priority="69" operator="equal">
      <formula>"GRE"</formula>
    </cfRule>
    <cfRule type="cellIs" dxfId="5151" priority="70" operator="equal">
      <formula>"RED"</formula>
    </cfRule>
    <cfRule type="cellIs" dxfId="5150" priority="71" operator="equal">
      <formula>"BLA"</formula>
    </cfRule>
  </conditionalFormatting>
  <conditionalFormatting sqref="BV3">
    <cfRule type="cellIs" dxfId="5149" priority="78" operator="equal">
      <formula>"nc"</formula>
    </cfRule>
  </conditionalFormatting>
  <conditionalFormatting sqref="CD3:CF3 BX3:CA3">
    <cfRule type="cellIs" dxfId="5148" priority="77" operator="equal">
      <formula>"y"</formula>
    </cfRule>
  </conditionalFormatting>
  <conditionalFormatting sqref="CD3:CF3 BZ3:CA3">
    <cfRule type="cellIs" dxfId="5147" priority="72" operator="greaterThan">
      <formula>0</formula>
    </cfRule>
  </conditionalFormatting>
  <conditionalFormatting sqref="IC3:IK3">
    <cfRule type="expression" dxfId="5146" priority="59">
      <formula>$IL3&gt;0</formula>
    </cfRule>
  </conditionalFormatting>
  <conditionalFormatting sqref="IC3">
    <cfRule type="cellIs" dxfId="5145" priority="53" stopIfTrue="1" operator="greaterThan">
      <formula>0</formula>
    </cfRule>
  </conditionalFormatting>
  <conditionalFormatting sqref="ID3">
    <cfRule type="cellIs" dxfId="5144" priority="51" stopIfTrue="1" operator="greaterThan">
      <formula>0</formula>
    </cfRule>
  </conditionalFormatting>
  <conditionalFormatting sqref="II3 IE3:IF3">
    <cfRule type="cellIs" dxfId="5143" priority="58" operator="greaterThan">
      <formula>0</formula>
    </cfRule>
  </conditionalFormatting>
  <conditionalFormatting sqref="II3 IF3">
    <cfRule type="cellIs" dxfId="5142" priority="52" stopIfTrue="1" operator="greaterThan">
      <formula>0</formula>
    </cfRule>
  </conditionalFormatting>
  <conditionalFormatting sqref="IG3">
    <cfRule type="cellIs" dxfId="5141" priority="57" operator="greaterThan">
      <formula>0</formula>
    </cfRule>
  </conditionalFormatting>
  <conditionalFormatting sqref="IH3:II3">
    <cfRule type="cellIs" dxfId="5140" priority="56" operator="greaterThan">
      <formula>0</formula>
    </cfRule>
  </conditionalFormatting>
  <conditionalFormatting sqref="IJ3">
    <cfRule type="cellIs" dxfId="5139" priority="55" operator="greaterThan">
      <formula>0</formula>
    </cfRule>
  </conditionalFormatting>
  <conditionalFormatting sqref="IK3">
    <cfRule type="cellIs" dxfId="5138" priority="54" operator="greaterThan">
      <formula>0</formula>
    </cfRule>
  </conditionalFormatting>
  <conditionalFormatting sqref="IF3">
    <cfRule type="cellIs" dxfId="5137" priority="50" stopIfTrue="1" operator="greaterThan">
      <formula>0</formula>
    </cfRule>
  </conditionalFormatting>
  <conditionalFormatting sqref="IM3">
    <cfRule type="cellIs" dxfId="5136" priority="49" operator="equal">
      <formula>0</formula>
    </cfRule>
  </conditionalFormatting>
  <conditionalFormatting sqref="BX3:CA3 CD3:CF3">
    <cfRule type="cellIs" dxfId="5135" priority="37" operator="equal">
      <formula>"y"</formula>
    </cfRule>
    <cfRule type="cellIs" dxfId="5134" priority="38" operator="equal">
      <formula>"PIN"</formula>
    </cfRule>
    <cfRule type="cellIs" dxfId="5133" priority="39" operator="equal">
      <formula>"ORA"</formula>
    </cfRule>
    <cfRule type="cellIs" dxfId="5132" priority="40" operator="equal">
      <formula>"GRA"</formula>
    </cfRule>
    <cfRule type="cellIs" dxfId="5131" priority="41" operator="equal">
      <formula>"PUR"</formula>
    </cfRule>
    <cfRule type="cellIs" dxfId="5130" priority="42" operator="equal">
      <formula>"BRO"</formula>
    </cfRule>
    <cfRule type="cellIs" dxfId="5129" priority="43" operator="equal">
      <formula>"YEL"</formula>
    </cfRule>
    <cfRule type="cellIs" dxfId="5128" priority="44" operator="equal">
      <formula>"BLU"</formula>
    </cfRule>
    <cfRule type="cellIs" dxfId="5127" priority="45" operator="equal">
      <formula>"WHI"</formula>
    </cfRule>
    <cfRule type="cellIs" dxfId="5126" priority="46" operator="equal">
      <formula>"GRE"</formula>
    </cfRule>
    <cfRule type="cellIs" dxfId="5125" priority="47" operator="equal">
      <formula>"RED"</formula>
    </cfRule>
    <cfRule type="cellIs" dxfId="5124" priority="48" operator="equal">
      <formula>"BLA"</formula>
    </cfRule>
  </conditionalFormatting>
  <conditionalFormatting sqref="AT3">
    <cfRule type="colorScale" priority="80">
      <colorScale>
        <cfvo type="min"/>
        <cfvo type="max"/>
        <color rgb="FFFCFCFF"/>
        <color theme="8" tint="0.39997558519241921"/>
      </colorScale>
    </cfRule>
  </conditionalFormatting>
  <conditionalFormatting sqref="S3">
    <cfRule type="colorScale" priority="81">
      <colorScale>
        <cfvo type="min"/>
        <cfvo type="max"/>
        <color rgb="FFFCFCFF"/>
        <color rgb="FF754BFB"/>
      </colorScale>
    </cfRule>
  </conditionalFormatting>
  <conditionalFormatting sqref="J3">
    <cfRule type="colorScale" priority="82">
      <colorScale>
        <cfvo type="min"/>
        <cfvo type="percentile" val="50"/>
        <cfvo type="max"/>
        <color rgb="FFF8696B"/>
        <color rgb="FFFFEB84"/>
        <color rgb="FF63BE7B"/>
      </colorScale>
    </cfRule>
  </conditionalFormatting>
  <conditionalFormatting sqref="CG3">
    <cfRule type="colorScale" priority="83">
      <colorScale>
        <cfvo type="min"/>
        <cfvo type="max"/>
        <color rgb="FFFCFCFF"/>
        <color rgb="FF63BE7B"/>
      </colorScale>
    </cfRule>
  </conditionalFormatting>
  <conditionalFormatting sqref="H2">
    <cfRule type="cellIs" dxfId="5123" priority="30" stopIfTrue="1" operator="notEqual">
      <formula>""</formula>
    </cfRule>
  </conditionalFormatting>
  <conditionalFormatting sqref="R2 CU2">
    <cfRule type="cellIs" dxfId="5122" priority="32" operator="greaterThan">
      <formula>0</formula>
    </cfRule>
  </conditionalFormatting>
  <conditionalFormatting sqref="T2:AS2 CH2:CS2">
    <cfRule type="cellIs" dxfId="5121" priority="27" stopIfTrue="1" operator="equal">
      <formula>"n"</formula>
    </cfRule>
    <cfRule type="cellIs" dxfId="5120" priority="28" stopIfTrue="1" operator="equal">
      <formula>"y"</formula>
    </cfRule>
    <cfRule type="cellIs" dxfId="5119" priority="29" operator="greaterThan">
      <formula>0</formula>
    </cfRule>
  </conditionalFormatting>
  <conditionalFormatting sqref="AZ2:BB2">
    <cfRule type="expression" dxfId="5118" priority="14">
      <formula>$AT2=0</formula>
    </cfRule>
  </conditionalFormatting>
  <conditionalFormatting sqref="AZ2:BU2">
    <cfRule type="cellIs" dxfId="5117" priority="15" operator="equal">
      <formula>"PIN"</formula>
    </cfRule>
    <cfRule type="cellIs" dxfId="5116" priority="16" operator="equal">
      <formula>"ORA"</formula>
    </cfRule>
    <cfRule type="cellIs" dxfId="5115" priority="17" operator="equal">
      <formula>"GRA"</formula>
    </cfRule>
    <cfRule type="cellIs" dxfId="5114" priority="18" operator="equal">
      <formula>"PUR"</formula>
    </cfRule>
    <cfRule type="cellIs" dxfId="5113" priority="19" operator="equal">
      <formula>"BRO"</formula>
    </cfRule>
    <cfRule type="cellIs" dxfId="5112" priority="20" operator="equal">
      <formula>"YEL"</formula>
    </cfRule>
    <cfRule type="cellIs" dxfId="5111" priority="21" operator="equal">
      <formula>"BLU"</formula>
    </cfRule>
    <cfRule type="cellIs" dxfId="5110" priority="22" operator="equal">
      <formula>"WHI"</formula>
    </cfRule>
    <cfRule type="cellIs" dxfId="5109" priority="23" operator="equal">
      <formula>"GRE"</formula>
    </cfRule>
    <cfRule type="cellIs" dxfId="5108" priority="24" operator="equal">
      <formula>"RED"</formula>
    </cfRule>
    <cfRule type="cellIs" dxfId="5107" priority="25" operator="equal">
      <formula>"BLA"</formula>
    </cfRule>
  </conditionalFormatting>
  <conditionalFormatting sqref="BV2">
    <cfRule type="cellIs" dxfId="5106" priority="31" operator="equal">
      <formula>"nc"</formula>
    </cfRule>
  </conditionalFormatting>
  <conditionalFormatting sqref="CD2:CF2 BZ2:CA2">
    <cfRule type="cellIs" dxfId="5105" priority="26" operator="greaterThan">
      <formula>0</formula>
    </cfRule>
  </conditionalFormatting>
  <conditionalFormatting sqref="IC2:IK2">
    <cfRule type="expression" dxfId="5104" priority="13">
      <formula>$IL2&gt;0</formula>
    </cfRule>
  </conditionalFormatting>
  <conditionalFormatting sqref="BX2:CA2 CD2:CF2">
    <cfRule type="cellIs" dxfId="5103" priority="1" operator="equal">
      <formula>"y"</formula>
    </cfRule>
    <cfRule type="cellIs" dxfId="5102" priority="2" operator="equal">
      <formula>"PIN"</formula>
    </cfRule>
    <cfRule type="cellIs" dxfId="5101" priority="3" operator="equal">
      <formula>"ORA"</formula>
    </cfRule>
    <cfRule type="cellIs" dxfId="5100" priority="4" operator="equal">
      <formula>"GRA"</formula>
    </cfRule>
    <cfRule type="cellIs" dxfId="5099" priority="5" operator="equal">
      <formula>"PUR"</formula>
    </cfRule>
    <cfRule type="cellIs" dxfId="5098" priority="6" operator="equal">
      <formula>"BRO"</formula>
    </cfRule>
    <cfRule type="cellIs" dxfId="5097" priority="7" operator="equal">
      <formula>"YEL"</formula>
    </cfRule>
    <cfRule type="cellIs" dxfId="5096" priority="8" operator="equal">
      <formula>"BLU"</formula>
    </cfRule>
    <cfRule type="cellIs" dxfId="5095" priority="9" operator="equal">
      <formula>"WHI"</formula>
    </cfRule>
    <cfRule type="cellIs" dxfId="5094" priority="10" operator="equal">
      <formula>"GRE"</formula>
    </cfRule>
    <cfRule type="cellIs" dxfId="5093" priority="11" operator="equal">
      <formula>"RED"</formula>
    </cfRule>
    <cfRule type="cellIs" dxfId="5092" priority="12" operator="equal">
      <formula>"BLA"</formula>
    </cfRule>
  </conditionalFormatting>
  <conditionalFormatting sqref="J2">
    <cfRule type="colorScale" priority="33">
      <colorScale>
        <cfvo type="min"/>
        <cfvo type="percentile" val="50"/>
        <cfvo type="max"/>
        <color rgb="FFF8696B"/>
        <color rgb="FFFFEB84"/>
        <color rgb="FF63BE7B"/>
      </colorScale>
    </cfRule>
  </conditionalFormatting>
  <conditionalFormatting sqref="S2">
    <cfRule type="colorScale" priority="34">
      <colorScale>
        <cfvo type="min"/>
        <cfvo type="max"/>
        <color rgb="FFFCFCFF"/>
        <color rgb="FF754BFB"/>
      </colorScale>
    </cfRule>
  </conditionalFormatting>
  <conditionalFormatting sqref="AT2">
    <cfRule type="colorScale" priority="35">
      <colorScale>
        <cfvo type="min"/>
        <cfvo type="max"/>
        <color rgb="FFFCFCFF"/>
        <color theme="8" tint="0.39997558519241921"/>
      </colorScale>
    </cfRule>
  </conditionalFormatting>
  <conditionalFormatting sqref="CG2">
    <cfRule type="colorScale" priority="36">
      <colorScale>
        <cfvo type="min"/>
        <cfvo type="max"/>
        <color rgb="FFFCFCFF"/>
        <color rgb="FF63BE7B"/>
      </colorScale>
    </cfRule>
  </conditionalFormatting>
  <hyperlinks>
    <hyperlink ref="A2" r:id="rId1" display="https://fbref.com/en/country/DJI/Djibouti-Football" xr:uid="{8571C54A-DC78-4C93-99F3-47667A98471F}"/>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44033" r:id="rId5"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44034" r:id="rId6"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44035" r:id="rId7"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116F08-C0F0-44EA-862F-BF37F2A2B03B}">
  <sheetPr codeName="Sheet55"/>
  <dimension ref="A1:IY9"/>
  <sheetViews>
    <sheetView zoomScale="70" zoomScaleNormal="70" workbookViewId="0">
      <pane xSplit="5" ySplit="1" topLeftCell="F2" activePane="bottomRight" state="frozen"/>
      <selection pane="topRight" activeCell="F1" sqref="F1"/>
      <selection pane="bottomLeft" activeCell="A2" sqref="A2"/>
      <selection pane="bottomRight" activeCell="M3" sqref="M3"/>
    </sheetView>
  </sheetViews>
  <sheetFormatPr defaultRowHeight="38.4" customHeight="1" x14ac:dyDescent="0.3"/>
  <cols>
    <col min="1" max="1" width="52.44140625" style="81" bestFit="1" customWidth="1"/>
    <col min="2" max="2" width="10.109375" style="81" customWidth="1"/>
    <col min="3" max="3" width="7.44140625" style="82" customWidth="1"/>
    <col min="4" max="4" width="4.77734375" style="83" customWidth="1"/>
    <col min="5" max="5" width="4.5546875" style="83" customWidth="1"/>
    <col min="6" max="6" width="5.77734375" style="83" customWidth="1"/>
    <col min="7" max="7" width="7.44140625" style="81" customWidth="1"/>
    <col min="8" max="8" width="11.44140625" style="81" customWidth="1"/>
    <col min="9" max="9" width="10" style="81" customWidth="1"/>
    <col min="10" max="10" width="4.21875" style="81" customWidth="1"/>
    <col min="11" max="11" width="5.6640625" style="83" customWidth="1"/>
    <col min="12" max="12" width="2.88671875" style="83" customWidth="1"/>
    <col min="13" max="13" width="6.44140625" style="83" customWidth="1"/>
    <col min="14" max="14" width="4.5546875" style="83" customWidth="1"/>
    <col min="15" max="15" width="10.5546875" style="84" customWidth="1"/>
    <col min="16" max="16" width="6.88671875" style="83" customWidth="1"/>
    <col min="17" max="17" width="4.77734375" style="83" customWidth="1"/>
    <col min="18" max="18" width="13.109375" style="82" customWidth="1"/>
    <col min="19" max="19" width="6.77734375" style="82" customWidth="1"/>
    <col min="20" max="46" width="8.44140625" style="81" customWidth="1"/>
    <col min="47" max="47" width="24.5546875" style="81" customWidth="1"/>
    <col min="48" max="51" width="16.6640625" style="81" customWidth="1"/>
    <col min="52" max="52" width="6.5546875" style="81" customWidth="1"/>
    <col min="53" max="54" width="5.88671875" style="81" customWidth="1"/>
    <col min="55" max="55" width="1.33203125" style="81" customWidth="1"/>
    <col min="56" max="56" width="7.44140625" style="81" customWidth="1"/>
    <col min="57" max="57" width="2.33203125" style="81" customWidth="1"/>
    <col min="58" max="62" width="6.109375" style="81" customWidth="1"/>
    <col min="63" max="63" width="2.33203125" style="81" customWidth="1"/>
    <col min="64" max="64" width="7" style="81" bestFit="1" customWidth="1"/>
    <col min="65" max="65" width="6.44140625" style="81" bestFit="1" customWidth="1"/>
    <col min="66" max="66" width="7.109375" style="81" bestFit="1" customWidth="1"/>
    <col min="67" max="71" width="6.44140625" style="81" bestFit="1" customWidth="1"/>
    <col min="72" max="73" width="6.44140625" style="81" customWidth="1"/>
    <col min="74" max="75" width="13.44140625" style="81" customWidth="1"/>
    <col min="76" max="84" width="14.6640625" style="81" customWidth="1"/>
    <col min="85" max="85" width="6.44140625" style="81" customWidth="1"/>
    <col min="86" max="87" width="11.6640625" style="81" bestFit="1" customWidth="1"/>
    <col min="88" max="88" width="11.6640625" style="81" customWidth="1"/>
    <col min="89" max="89" width="12.77734375" style="81" bestFit="1" customWidth="1"/>
    <col min="90" max="90" width="16.44140625" style="82" bestFit="1" customWidth="1"/>
    <col min="91" max="92" width="14.88671875" style="82" bestFit="1" customWidth="1"/>
    <col min="93" max="93" width="16" style="82" bestFit="1" customWidth="1"/>
    <col min="94" max="97" width="7.77734375" style="81" customWidth="1"/>
    <col min="98" max="98" width="33.21875" style="81" customWidth="1"/>
    <col min="99" max="99" width="18" style="81" customWidth="1"/>
    <col min="100" max="100" width="75.6640625" style="81" customWidth="1"/>
    <col min="101" max="125" width="33" style="81" customWidth="1"/>
    <col min="126" max="126" width="8.88671875" style="81"/>
    <col min="127" max="128" width="9.44140625" style="81" bestFit="1" customWidth="1"/>
    <col min="129" max="129" width="10.77734375" style="81" bestFit="1" customWidth="1"/>
    <col min="130" max="134" width="10.77734375" style="81" customWidth="1"/>
    <col min="135" max="135" width="10.109375" style="81" bestFit="1" customWidth="1"/>
    <col min="136" max="136" width="7.77734375" style="81" bestFit="1" customWidth="1"/>
    <col min="137" max="137" width="7.77734375" style="81" customWidth="1"/>
    <col min="138" max="138" width="9" style="81" bestFit="1" customWidth="1"/>
    <col min="139" max="139" width="11.33203125" style="81" bestFit="1" customWidth="1"/>
    <col min="140" max="140" width="9.109375" style="81" bestFit="1" customWidth="1"/>
    <col min="141" max="141" width="9" style="81" bestFit="1" customWidth="1"/>
    <col min="142" max="142" width="12" style="81" bestFit="1" customWidth="1"/>
    <col min="143" max="166" width="12" style="81" customWidth="1"/>
    <col min="167" max="167" width="17.21875" style="81" customWidth="1"/>
    <col min="168" max="191" width="12" style="81" customWidth="1"/>
    <col min="192" max="192" width="8.5546875" style="81" bestFit="1" customWidth="1"/>
    <col min="193" max="193" width="8.5546875" style="81" customWidth="1"/>
    <col min="194" max="194" width="7.109375" style="81" bestFit="1" customWidth="1"/>
    <col min="195" max="195" width="7.5546875" style="81" bestFit="1" customWidth="1"/>
    <col min="196" max="196" width="8.5546875" style="81" bestFit="1" customWidth="1"/>
    <col min="197" max="200" width="8.5546875" style="81" customWidth="1"/>
    <col min="201" max="201" width="188.88671875" style="81" customWidth="1"/>
    <col min="202" max="202" width="9.5546875" style="81" bestFit="1" customWidth="1"/>
    <col min="203" max="203" width="10.44140625" style="81" bestFit="1" customWidth="1"/>
    <col min="204" max="204" width="11.109375" style="81" bestFit="1" customWidth="1"/>
    <col min="205" max="205" width="10.44140625" style="81" bestFit="1" customWidth="1"/>
    <col min="206" max="210" width="10.44140625" style="81" customWidth="1"/>
    <col min="211" max="211" width="45.44140625" style="81" customWidth="1"/>
    <col min="212" max="212" width="47.5546875" style="81" bestFit="1" customWidth="1"/>
    <col min="213" max="213" width="9.33203125" style="85" customWidth="1"/>
    <col min="214" max="214" width="119.5546875" style="81" customWidth="1"/>
    <col min="215" max="215" width="69.6640625" style="81" customWidth="1"/>
    <col min="216" max="218" width="8.88671875" style="81"/>
    <col min="219" max="219" width="37.109375" style="81" customWidth="1"/>
    <col min="220" max="220" width="16.33203125" style="81" customWidth="1"/>
    <col min="221" max="222" width="8.88671875" style="81"/>
    <col min="223" max="223" width="10.109375" style="81" bestFit="1" customWidth="1"/>
    <col min="224" max="232" width="10.88671875" style="81" customWidth="1"/>
    <col min="233" max="234" width="30.77734375" style="81" customWidth="1"/>
    <col min="235" max="235" width="5.109375" style="81" customWidth="1"/>
    <col min="236" max="236" width="3" style="81" customWidth="1"/>
    <col min="237" max="245" width="6.77734375" style="86" customWidth="1"/>
    <col min="246" max="247" width="8.88671875" style="81"/>
    <col min="248" max="248" width="61.5546875" style="81" customWidth="1"/>
    <col min="249" max="253" width="8.88671875" style="81"/>
    <col min="254" max="254" width="9" style="81" customWidth="1"/>
    <col min="255" max="16384" width="8.88671875" style="8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683</v>
      </c>
      <c r="B2" s="40" t="e" vm="32">
        <v>#VALUE!</v>
      </c>
      <c r="C2" s="41">
        <v>1</v>
      </c>
      <c r="D2" s="42" t="s">
        <v>684</v>
      </c>
      <c r="E2" s="43" t="s">
        <v>685</v>
      </c>
      <c r="F2" s="44" t="s">
        <v>163</v>
      </c>
      <c r="G2" s="45">
        <f>COUNTIF($A$1:$A$8362,A2)</f>
        <v>1</v>
      </c>
      <c r="H2" s="46"/>
      <c r="I2" s="47" t="s">
        <v>686</v>
      </c>
      <c r="J2" s="48" t="str">
        <f>""</f>
        <v/>
      </c>
      <c r="K2" s="49">
        <v>102000000</v>
      </c>
      <c r="L2" s="50">
        <v>351000</v>
      </c>
      <c r="M2" s="50" t="s">
        <v>695</v>
      </c>
      <c r="N2" s="51" t="s">
        <v>180</v>
      </c>
      <c r="O2" s="52" t="s">
        <v>687</v>
      </c>
      <c r="P2" s="53" t="s">
        <v>688</v>
      </c>
      <c r="Q2" s="54">
        <v>3</v>
      </c>
      <c r="R2" s="55" t="s">
        <v>180</v>
      </c>
      <c r="S2" s="56">
        <v>5</v>
      </c>
      <c r="T2" s="57" t="s">
        <v>167</v>
      </c>
      <c r="U2" s="58" t="s">
        <v>164</v>
      </c>
      <c r="V2" s="58" t="s">
        <v>164</v>
      </c>
      <c r="W2" s="58" t="s">
        <v>164</v>
      </c>
      <c r="X2" s="58" t="s">
        <v>164</v>
      </c>
      <c r="Y2" s="58" t="s">
        <v>164</v>
      </c>
      <c r="Z2" s="58" t="s">
        <v>164</v>
      </c>
      <c r="AA2" s="58" t="s">
        <v>164</v>
      </c>
      <c r="AB2" s="58" t="s">
        <v>164</v>
      </c>
      <c r="AC2" s="58" t="s">
        <v>164</v>
      </c>
      <c r="AD2" s="58" t="s">
        <v>164</v>
      </c>
      <c r="AE2" s="58" t="s">
        <v>164</v>
      </c>
      <c r="AF2" s="59" t="s">
        <v>164</v>
      </c>
      <c r="AG2" s="59" t="s">
        <v>167</v>
      </c>
      <c r="AH2" s="59" t="s">
        <v>164</v>
      </c>
      <c r="AI2" s="59" t="s">
        <v>164</v>
      </c>
      <c r="AJ2" s="59" t="s">
        <v>164</v>
      </c>
      <c r="AK2" s="59" t="s">
        <v>164</v>
      </c>
      <c r="AL2" s="59" t="s">
        <v>164</v>
      </c>
      <c r="AM2" s="59" t="s">
        <v>164</v>
      </c>
      <c r="AN2" s="59" t="s">
        <v>164</v>
      </c>
      <c r="AO2" s="59" t="s">
        <v>164</v>
      </c>
      <c r="AP2" s="59" t="s">
        <v>164</v>
      </c>
      <c r="AQ2" s="59" t="s">
        <v>164</v>
      </c>
      <c r="AR2" s="59" t="s">
        <v>164</v>
      </c>
      <c r="AS2" s="59" t="s">
        <v>164</v>
      </c>
      <c r="AT2" s="60">
        <v>1</v>
      </c>
      <c r="AU2" s="59"/>
      <c r="AV2" s="59" t="str">
        <f>IF(LEFT(A2,1)="[",LEFT(A2,5)&amp;AU2&amp;A2,"")</f>
        <v/>
      </c>
      <c r="AW2" s="59" t="str">
        <f t="shared" ref="AW2:AW3" si="0">C2&amp;H2&amp;A2</f>
        <v>1DR Congo</v>
      </c>
      <c r="AX2" s="61" t="str">
        <f>_xlfn.TEXTJOIN(";",TRUE,AU2:AW2)</f>
        <v>1DR Congo</v>
      </c>
      <c r="AY2" s="61"/>
      <c r="AZ2" s="62" t="s">
        <v>155</v>
      </c>
      <c r="BA2" s="62"/>
      <c r="BB2" s="62"/>
      <c r="BC2" s="63"/>
      <c r="BD2" s="64" t="s">
        <v>152</v>
      </c>
      <c r="BE2" s="47"/>
      <c r="BF2" s="64" t="s">
        <v>152</v>
      </c>
      <c r="BG2" s="64" t="s">
        <v>154</v>
      </c>
      <c r="BH2" s="64" t="s">
        <v>152</v>
      </c>
      <c r="BI2" s="64"/>
      <c r="BJ2" s="64"/>
      <c r="BK2" s="47"/>
      <c r="BL2" s="64" t="s">
        <v>155</v>
      </c>
      <c r="BM2" s="64" t="s">
        <v>154</v>
      </c>
      <c r="BN2" s="64" t="s">
        <v>152</v>
      </c>
      <c r="BO2" s="64"/>
      <c r="BP2" s="64"/>
      <c r="BQ2" s="64"/>
      <c r="BR2" s="64"/>
      <c r="BS2" s="64"/>
      <c r="BT2" s="64"/>
      <c r="BU2" s="65"/>
      <c r="BV2" s="66" t="s">
        <v>165</v>
      </c>
      <c r="BW2" s="66">
        <v>0</v>
      </c>
      <c r="BX2" s="47"/>
      <c r="BY2" s="48" t="s">
        <v>167</v>
      </c>
      <c r="CB2" s="6" t="s">
        <v>137</v>
      </c>
      <c r="CC2" s="6"/>
      <c r="CD2" s="67">
        <v>0</v>
      </c>
      <c r="CE2" s="67">
        <v>0</v>
      </c>
      <c r="CF2" s="67" t="e">
        <v>#REF!</v>
      </c>
      <c r="CG2" s="68" cm="1">
        <f t="array" ref="CG2">SUMPRODUCT(--(LEN(TRIM(BL2:BT2))&gt;0))</f>
        <v>3</v>
      </c>
      <c r="CH2" s="59" t="str">
        <f>IF(CG2=2,"y","n")</f>
        <v>n</v>
      </c>
      <c r="CI2" s="59" t="str">
        <f>IF(CG2=3,"y","n")</f>
        <v>y</v>
      </c>
      <c r="CJ2" s="59" t="str">
        <f>IF(CG2=4,"y","n")</f>
        <v>n</v>
      </c>
      <c r="CK2" s="59" t="str">
        <f>IF(CG2&gt;4,"y","n")</f>
        <v>n</v>
      </c>
      <c r="CL2" s="59" t="str">
        <f>IF(S2=0,"y","n")</f>
        <v>n</v>
      </c>
      <c r="CM2" s="59" t="str">
        <f>IF(S2=2,"y","n")</f>
        <v>n</v>
      </c>
      <c r="CN2" s="59" t="str">
        <f>IF(S2=3,"y","n")</f>
        <v>n</v>
      </c>
      <c r="CO2" s="59" t="str">
        <f>IF(S2&gt;=4,"y","n")</f>
        <v>y</v>
      </c>
      <c r="CP2" s="59" t="str">
        <f>IF(AT2=0,"y","n")</f>
        <v>n</v>
      </c>
      <c r="CQ2" s="59" t="str">
        <f>IF(AT2=1,"y","n")</f>
        <v>y</v>
      </c>
      <c r="CR2" s="59" t="str">
        <f>IF(AT2=2,"y","n")</f>
        <v>n</v>
      </c>
      <c r="CS2" s="59" t="str">
        <f>IF(AT2&gt;=3,"y","n")</f>
        <v>n</v>
      </c>
      <c r="CT2" s="69" t="str">
        <f>CHAR(34)&amp;A2&amp;CHAR(34)</f>
        <v>"DR Congo"</v>
      </c>
      <c r="CU2" s="70" t="str">
        <f>CHAR(34)&amp;"rgn_"&amp;R2&amp;CHAR(34)</f>
        <v>"rgn_Africa"</v>
      </c>
      <c r="CV2" s="48" t="str">
        <f>CHAR(34)&amp;D2&amp;CHAR(34)</f>
        <v>"https://i.ibb.co/4f8px2k/DR-Congo-Flag.png"</v>
      </c>
      <c r="CW2" s="48" t="str">
        <f>IF(CH2="y",CHAR(34)&amp;CH$1&amp;CHAR(34)&amp;",","")</f>
        <v/>
      </c>
      <c r="CX2" s="48" t="str">
        <f>IF(CI2="y",CHAR(34)&amp;CI$1&amp;CHAR(34)&amp;",","")</f>
        <v>"3Color",</v>
      </c>
      <c r="CY2" s="48" t="str">
        <f>IF(CJ2="y",CHAR(34)&amp;CJ$1&amp;CHAR(34)&amp;",","")</f>
        <v/>
      </c>
      <c r="CZ2" s="48" t="str">
        <f>IF(CK2="y",CHAR(34)&amp;CK$1&amp;CHAR(34)&amp;",","")</f>
        <v/>
      </c>
      <c r="DA2" s="48" t="str">
        <f>IF(Q2&gt;1,CHAR(34)&amp;"words2"&amp;CHAR(34)&amp;",","")</f>
        <v>"words2",</v>
      </c>
      <c r="DB2" s="48" t="str">
        <f>IF(Q2&gt;2,CHAR(34)&amp;"words3"&amp;CHAR(34)&amp;",","")</f>
        <v>"words3",</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"lets07",</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"startD",</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"LUEDEL",</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
      </c>
      <c r="DP2" s="6" t="str">
        <f>IF(AND(ISNUMBER(SEARCH("20", O2)), ISERROR(SEARCH("1920", O2))), CHAR(34)&amp;"year00"&amp;CHAR(34)&amp;",", "")</f>
        <v>"year00",</v>
      </c>
      <c r="DQ2" s="6" t="str">
        <f>IF(CC2="y",CHAR(34)&amp;"soviet"&amp;CHAR(34)&amp;",","")</f>
        <v/>
      </c>
      <c r="DR2" s="6" t="str">
        <f>IF(BY2="y",CHAR(34)&amp;"dgband"&amp;CHAR(34)&amp;",","")</f>
        <v>"dgband",</v>
      </c>
      <c r="DS2" s="6" t="str">
        <f>IF(W2="y",IF(AND(V2="n",BY2&lt;&gt;"y"),CHAR(34)&amp;"allver"&amp;CHAR(34)&amp;",",""),"")</f>
        <v/>
      </c>
      <c r="DT2" s="6" t="str">
        <f>IF(V2="y",IF(AND(W2="n",BY2&lt;&gt;"y"),CHAR(34)&amp;"allhor"&amp;CHAR(34)&amp;",",""),"")</f>
        <v/>
      </c>
      <c r="DU2" s="6" t="str">
        <f>IF(BY2="y",IF(AND(W2="n",V2="n"),CHAR(34)&amp;"alldia"&amp;CHAR(34)&amp;",",""),"")</f>
        <v>"alldia",</v>
      </c>
      <c r="DV2" s="48" t="str">
        <f>IF(IA2&lt;&gt;"",(IF(IA2="y",CHAR(34)&amp;"largec"&amp;CHAR(34)&amp;",",CHAR(34)&amp;"smallc"&amp;CHAR(34)&amp;",")),"")</f>
        <v/>
      </c>
      <c r="DW2" s="48" t="str">
        <f>IF(CL2="y",CHAR(34)&amp;CL$1&amp;CHAR(34)&amp;",","")</f>
        <v/>
      </c>
      <c r="DX2" s="48" t="str">
        <f>IF(CM2="y",CHAR(34)&amp;CM$1&amp;CHAR(34)&amp;",","")</f>
        <v/>
      </c>
      <c r="DY2" s="48" t="str">
        <f>IF(CN2="y",CHAR(34)&amp;CN$1&amp;CHAR(34)&amp;",","")</f>
        <v/>
      </c>
      <c r="DZ2" s="48" t="str">
        <f>IF(CO2="y",CHAR(34)&amp;CO$1&amp;CHAR(34)&amp;",","")</f>
        <v>"4+Band",</v>
      </c>
      <c r="EA2" s="48" t="str">
        <f>IF(T2="y",CHAR(34)&amp;T$1&amp;CHAR(34)&amp;",","")</f>
        <v>"Diagon",</v>
      </c>
      <c r="EB2" s="48" t="str">
        <f>IF(U2="y",CHAR(34)&amp;U$1&amp;CHAR(34)&amp;",","")</f>
        <v/>
      </c>
      <c r="EC2" s="48" t="str">
        <f>IF(V2="y",CHAR(34)&amp;V$1&amp;CHAR(34)&amp;",","")</f>
        <v/>
      </c>
      <c r="ED2" s="48" t="str">
        <f>IF(W2="y",CHAR(34)&amp;W$1&amp;CHAR(34)&amp;",","")</f>
        <v/>
      </c>
      <c r="EE2" s="48" t="str">
        <f>IF(X2="y",CHAR(34)&amp;X$1&amp;CHAR(34)&amp;",","")</f>
        <v/>
      </c>
      <c r="EF2" s="48" t="str">
        <f>IF(AND(Y2&lt;&gt;"n",Y2&lt;&gt;""),CHAR(34)&amp;Y$1&amp;CHAR(34)&amp;",","")</f>
        <v/>
      </c>
      <c r="EG2" s="48" t="str">
        <f>IF(Z2="y",CHAR(34)&amp;Z$1&amp;CHAR(34)&amp;",","")</f>
        <v/>
      </c>
      <c r="EH2" s="48" t="str">
        <f>IF(AA2="y",CHAR(34)&amp;AA$1&amp;CHAR(34)&amp;",","")</f>
        <v/>
      </c>
      <c r="EI2" s="48" t="str">
        <f>IF(AB2="y",CHAR(34)&amp;AB$1&amp;CHAR(34)&amp;",","")</f>
        <v/>
      </c>
      <c r="EJ2" s="48" t="str">
        <f>IF(AC2="y",CHAR(34)&amp;AC$1&amp;CHAR(34)&amp;",","")</f>
        <v/>
      </c>
      <c r="EK2" s="48" t="str">
        <f>IF(AD2="y",CHAR(34)&amp;AD$1&amp;CHAR(34)&amp;",","")</f>
        <v/>
      </c>
      <c r="EL2" s="48" t="str">
        <f>IF(AE2="y",CHAR(34)&amp;AE$1&amp;CHAR(34)&amp;",","")</f>
        <v/>
      </c>
      <c r="EM2" s="48" t="str">
        <f>IF(AF2="y",CHAR(34)&amp;AF$1&amp;CHAR(34)&amp;",","")</f>
        <v/>
      </c>
      <c r="EN2" s="48" t="str">
        <f>IF(AG2="y",CHAR(34)&amp;AG$1&amp;CHAR(34)&amp;",","")</f>
        <v>"Unequa",</v>
      </c>
      <c r="EO2" s="48" t="str">
        <f>IF(AH2="y",CHAR(34)&amp;AH$1&amp;CHAR(34)&amp;",","")</f>
        <v/>
      </c>
      <c r="EP2" s="48" t="str">
        <f>IF(AI2="y",CHAR(34)&amp;AI$1&amp;CHAR(34)&amp;",","")</f>
        <v/>
      </c>
      <c r="EQ2" s="48" t="str">
        <f>IF(AJ2="y",CHAR(34)&amp;AJ$1&amp;CHAR(34)&amp;",","")</f>
        <v/>
      </c>
      <c r="ER2" s="48" t="str">
        <f>IF(AK2="y",CHAR(34)&amp;AK$1&amp;CHAR(34)&amp;",","")</f>
        <v/>
      </c>
      <c r="ES2" s="48" t="str">
        <f>IF(AL2="y",CHAR(34)&amp;AL$1&amp;CHAR(34)&amp;",","")</f>
        <v/>
      </c>
      <c r="ET2" s="48" t="str">
        <f>IF(AM2="y",CHAR(34)&amp;AM$1&amp;CHAR(34)&amp;",","")</f>
        <v/>
      </c>
      <c r="EU2" s="48" t="str">
        <f>IF(AN2="y",CHAR(34)&amp;AN$1&amp;CHAR(34)&amp;",","")</f>
        <v/>
      </c>
      <c r="EV2" s="48" t="str">
        <f>IF(AO2="y",CHAR(34)&amp;AO$1&amp;CHAR(34)&amp;",","")</f>
        <v/>
      </c>
      <c r="EW2" s="48" t="str">
        <f>IF(AP2="y",CHAR(34)&amp;AP$1&amp;CHAR(34)&amp;",","")</f>
        <v/>
      </c>
      <c r="EX2" s="48" t="str">
        <f>IF(AQ2="y",CHAR(34)&amp;AQ$1&amp;CHAR(34)&amp;",","")</f>
        <v/>
      </c>
      <c r="EY2" s="48" t="str">
        <f>IF(AR2="y",CHAR(34)&amp;AR$1&amp;CHAR(34)&amp;",","")</f>
        <v/>
      </c>
      <c r="EZ2" s="48" t="str">
        <f>IF(AS2="y",CHAR(34)&amp;AS$1&amp;CHAR(34)&amp;",","")</f>
        <v/>
      </c>
      <c r="FA2" s="48" t="str">
        <f>IF(AT2&gt;0,CHAR(34)&amp;"sta"&amp;AZ2&amp;CHAR(34)&amp;",","")</f>
        <v>"staYEL",</v>
      </c>
      <c r="FB2" s="48" t="str">
        <f>IF(AND(AT2&gt;0,BA2&lt;&gt;""),CHAR(34)&amp;"sta"&amp;BA2&amp;CHAR(34)&amp;",","")</f>
        <v/>
      </c>
      <c r="FC2" s="48" t="str">
        <f>IF(AND(AT2&gt;0,BB2&lt;&gt;""),CHAR(34)&amp;"sta"&amp;BB2&amp;CHAR(34)&amp;",","")</f>
        <v/>
      </c>
      <c r="FD2" s="48" t="str">
        <f>IF(BV2="n",CHAR(34)&amp;"tcWHYE"&amp;CHAR(34)&amp;",",IF(BV2="y",CHAR(34)&amp;FD$1&amp;CHAR(34)&amp;",",""))</f>
        <v/>
      </c>
      <c r="FE2" s="48" t="str">
        <f>IF(COUNTIF(BL2:BT2,"BLU")=0,CHAR(34)&amp;"NO_BLU"&amp;CHAR(34)&amp;",", "")</f>
        <v/>
      </c>
      <c r="FF2" s="48" t="str">
        <f>IF(COUNTIF(BL2:BT2,"WHI")=0,CHAR(34)&amp;"NO_WHI"&amp;CHAR(34)&amp;",", "")</f>
        <v>"NO_WHI",</v>
      </c>
      <c r="FG2" s="48" t="str">
        <f>IF(COUNTIF(BL2:BT2,"RED")=0,CHAR(34)&amp;"NO_RED"&amp;CHAR(34)&amp;",", "")</f>
        <v/>
      </c>
      <c r="FH2" s="48" t="str">
        <f>IF(COUNTIF(BL2:BS2,"GRE")=0,CHAR(34)&amp;"NO_GRE"&amp;CHAR(34)&amp;",", "")</f>
        <v>"NO_GRE",</v>
      </c>
      <c r="FI2" s="48" t="str">
        <f>IF(COUNTIF(BL2:BT2,"YEL")=0,CHAR(34)&amp;"NO_YEL"&amp;CHAR(34)&amp;",", "")</f>
        <v/>
      </c>
      <c r="FJ2" s="48" t="str">
        <f>IF(COUNTIF(BL2:BT2,"BLA")=0,CHAR(34)&amp;"NO_BLA"&amp;CHAR(34)&amp;",", "")</f>
        <v>"NO_BLA",</v>
      </c>
      <c r="FK2" s="48" t="str">
        <f>IF(AND(FH2&lt;&gt;"",FF2&lt;&gt;""),CHAR(34)&amp;"WHGRNO"&amp;CHAR(34)&amp;",","")</f>
        <v>"WHGRNO",</v>
      </c>
      <c r="FL2" s="48" t="str">
        <f>IF(AND(FI2&lt;&gt;"",FF2&lt;&gt;""),CHAR(34)&amp;"WHYENO"&amp;CHAR(34)&amp;",","")</f>
        <v/>
      </c>
      <c r="FM2" s="48" t="str">
        <f>IF(AND(FJ2&lt;&gt;"",FF2&lt;&gt;""),CHAR(34)&amp;"BAWHNO"&amp;CHAR(34)&amp;",","")</f>
        <v>"BAWHNO",</v>
      </c>
      <c r="FN2" s="48" t="str">
        <f>IF(AND(FE2&lt;&gt;"",FF2&lt;&gt;""),CHAR(34)&amp;"BLWHNO"&amp;CHAR(34)&amp;",","")</f>
        <v/>
      </c>
      <c r="FO2" s="48" t="str">
        <f>IF(AND(FE2&lt;&gt;"",FG2&lt;&gt;""),CHAR(34)&amp;"BLRENO"&amp;CHAR(34)&amp;",","")</f>
        <v/>
      </c>
      <c r="FP2" s="48" t="str">
        <f>IF(AND(FF2&lt;&gt;"",FF2&lt;&gt;""),CHAR(34)&amp;"WHRENO"&amp;CHAR(34)&amp;",","")</f>
        <v>"WHRENO",</v>
      </c>
      <c r="FQ2" s="48" t="str">
        <f>IF(LEN(BF2)=3,CHAR(34)&amp;"001"&amp;BF2&amp;CHAR(34)&amp;",","")</f>
        <v>"001BLU",</v>
      </c>
      <c r="FR2" s="48" t="str">
        <f>IF(LEN(BG2)=3,CHAR(34)&amp;"002"&amp;BG2&amp;CHAR(34)&amp;",","")</f>
        <v>"002RED",</v>
      </c>
      <c r="FS2" s="48" t="str">
        <f>IF(LEN(BH2)=3,CHAR(34)&amp;"003"&amp;BH2&amp;CHAR(34)&amp;",","")</f>
        <v>"003BLU",</v>
      </c>
      <c r="FT2" s="48" t="str">
        <f>CHAR(34)&amp;"myr"&amp;BD2&amp;CHAR(34)&amp;","</f>
        <v>"myrBLU",</v>
      </c>
      <c r="FU2" s="48" t="str">
        <f>IF(AY2="y",CHAR(34)&amp;"island"&amp;CHAR(34)&amp;",","")</f>
        <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
      </c>
      <c r="GA2" s="48" t="str">
        <f>IFERROR(IF(SEARCH("French",CB2)&gt;0,CHAR(34)&amp;"french"&amp;CHAR(34)&amp;",",""),"")</f>
        <v>"french",</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
      </c>
      <c r="GK2" s="48" t="str">
        <f>IF(GJ2="",CHAR(34)&amp;"HasSta"&amp;CHAR(34)&amp;",","")</f>
        <v>"HasSta",</v>
      </c>
      <c r="GL2" s="48" t="str">
        <f>IF(CQ2="y",CHAR(34)&amp;CQ$1&amp;CHAR(34)&amp;",","")</f>
        <v>"1Stars",</v>
      </c>
      <c r="GM2" s="48" t="str">
        <f>IF(CR2="y",CHAR(34)&amp;CR$1&amp;CHAR(34)&amp;",","")</f>
        <v/>
      </c>
      <c r="GN2" s="48" t="str">
        <f>IF(CS2="y",CHAR(34)&amp;CS$1&amp;CHAR(34)&amp;",","")</f>
        <v/>
      </c>
      <c r="GP2" s="48" t="str">
        <f>CHAR(34)&amp;AU2&amp;CHAR(34)</f>
        <v>""</v>
      </c>
      <c r="GS2" s="48" t="str">
        <f>SUBSTITUTE("["&amp;_xlfn.CONCAT(CW2:GN2)&amp;"]",",]","]")</f>
        <v>["3Color","words2","words3","lets07","startD","LUEDEL","year00","dgband","alldia","4+Band","Diagon","Unequa","staYEL","NO_WHI","NO_GRE","NO_BLA","WHGRNO","BAWHNO","WHRENO","001BLU","002RED","003BLU","myrBLU","french","HasSta","1Stars"]</v>
      </c>
      <c r="GT2" s="48" t="str">
        <f>IF(BL2&lt;&gt;"",CHAR(34)&amp;"cl_"&amp;BL2&amp;CHAR(34)&amp;",","")</f>
        <v>"cl_YEL",</v>
      </c>
      <c r="GU2" s="48" t="str">
        <f>IF(BM2&lt;&gt;"",CHAR(34)&amp;"cl_"&amp;BM2&amp;CHAR(34)&amp;",","")</f>
        <v>"cl_RED",</v>
      </c>
      <c r="GV2" s="48" t="str">
        <f>IF(BN2&lt;&gt;"",CHAR(34)&amp;"cl_"&amp;BN2&amp;CHAR(34)&amp;",","")</f>
        <v>"cl_BLU",</v>
      </c>
      <c r="GW2" s="48" t="str">
        <f>IF(BO2&lt;&gt;"",CHAR(34)&amp;"cl_"&amp;BO2&amp;CHAR(34)&amp;",","")</f>
        <v/>
      </c>
      <c r="GX2" s="48" t="str">
        <f>IF(BP2&lt;&gt;"",CHAR(34)&amp;"cl_"&amp;BP2&amp;CHAR(34)&amp;",","")</f>
        <v/>
      </c>
      <c r="GY2" s="48" t="str">
        <f>IF(BQ2&lt;&gt;"",CHAR(34)&amp;"cl_"&amp;BQ2&amp;CHAR(34)&amp;",","")</f>
        <v/>
      </c>
      <c r="GZ2" s="48" t="str">
        <f>IF(BR2&lt;&gt;"",CHAR(34)&amp;"cl_"&amp;BR2&amp;CHAR(34)&amp;",","")</f>
        <v/>
      </c>
      <c r="HA2" s="48" t="str">
        <f>IF(BS2&lt;&gt;"",CHAR(34)&amp;"cl_"&amp;BS2&amp;CHAR(34)&amp;",","")</f>
        <v/>
      </c>
      <c r="HB2" s="48" t="str">
        <f>IF(BT2&lt;&gt;"",CHAR(34)&amp;"cl_"&amp;BT2&amp;CHAR(34)&amp;",","")</f>
        <v/>
      </c>
      <c r="HC2" s="48" t="str">
        <f>SUBSTITUTE("["&amp;_xlfn.CONCAT(GT2:HB2)&amp;"]",",]","]")</f>
        <v>["cl_YEL","cl_RED","cl_BLU"]</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{couname:"DR Congo",year:"2006 ",region:"rgn_Africa",Colors:["cl_YEL","cl_RED","cl_BLU"],Items:["3Color","words2","words3","lets07","startD","LUEDEL","year00","dgband","alldia","4+Band","Diagon","Unequa","staYEL","NO_WHI","NO_GRE","NO_BLA","WHGRNO","BAWHNO","WHRENO","001BLU","002RED","003BLU","myrBLU","french","HasSta","1Stars"],Flag:"https://i.ibb.co/4f8px2k/DR-Congo-Flag.png",HDFlag:"https://upload.wikimedia.org/wikipedia/commons/thumb/6/6f/Flag_of_the_Democratic_Republic_of_the_Congo.svg/2560px-Flag_of_the_Democratic_Republic_of_the_Congo.svg.png",type:"", describe: "\nBlue represents peace. Red stands for the blood of the country's martyrs, yellow the country's wealth; and the star symbol the future for the country.", isnew:".", links: "https://en.wikipedia.org/wiki/Flag_of_the_Democratic_Republic_of_the_Congo"},</v>
      </c>
      <c r="HG2" s="73" t="str">
        <f>"{couname:"&amp;CT2&amp;(IF(HK2&lt;&gt;"",",subtype:"&amp;CHAR(34)&amp;HK2&amp;CHAR(34),""))&amp;",year:"&amp;HJ2&amp;",region:"&amp;CU2&amp;",Colors:"&amp;HC2&amp;",Items:"&amp;GS2&amp;",Flag:"&amp;CV2&amp;",HDFlag:"&amp;CHAR(34)&amp;E2&amp;CHAR(34)&amp;",type:"&amp;GP2&amp;", describe: "&amp;HI2&amp;", links: "&amp;HL2&amp;"},"</f>
        <v>{couname:"DR Congo",year:"2006 ",region:"rgn_Africa",Colors:["cl_YEL","cl_RED","cl_BLU"],Items:["3Color","words2","words3","lets07","startD","LUEDEL","year00","dgband","alldia","4+Band","Diagon","Unequa","staYEL","NO_WHI","NO_GRE","NO_BLA","WHGRNO","BAWHNO","WHRENO","001BLU","002RED","003BLU","myrBLU","french","HasSta","1Stars"],Flag:"https://i.ibb.co/4f8px2k/DR-Congo-Flag.png",HDFlag:"https://upload.wikimedia.org/wikipedia/commons/thumb/6/6f/Flag_of_the_Democratic_Republic_of_the_Congo.svg/2560px-Flag_of_the_Democratic_Republic_of_the_Congo.svg.png",type:"", describe: "\nBlue represents peace. Red stands for the blood of the country's martyrs, yellow the country's wealth; and the star symbol the future for the country.", links: "https://en.wikipedia.org/wiki/Flag_of_the_Democratic_Republic_of_the_Congo"},</v>
      </c>
      <c r="HH2" s="48" t="str">
        <f>IF(P2&lt;&gt;"",CHAR(34)&amp;"\n"&amp;P2&amp;CHAR(34),CHAR(34)&amp;CHAR(34))</f>
        <v>"\nBlue represents peace. Red stands for the blood of the country's martyrs, yellow the country's wealth; and the star symbol the future for the country."</v>
      </c>
      <c r="HI2" s="48" t="str">
        <f>IF(J2=0,CHAR(34)&amp;CHAR(34),HH2)</f>
        <v>"\nBlue represents peace. Red stands for the blood of the country's martyrs, yellow the country's wealth; and the star symbol the future for the country."</v>
      </c>
      <c r="HJ2" s="48" t="str">
        <f>CHAR(34)&amp;O2&amp;CHAR(34)</f>
        <v>"2006 "</v>
      </c>
      <c r="HL2" s="48" t="str">
        <f>CHAR(34)&amp;I2&amp;CHAR(34)</f>
        <v>"https://en.wikipedia.org/wiki/Flag_of_the_Democratic_Republic_of_the_Congo"</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{"couname":"DR Congo","year":"2006 ","region":"rgn_Africa","Colors":["cl_YEL","cl_RED","cl_BLU"],"Items":["3Color","words2","words3","lets07","startD","LUEDEL","year00","dgband","alldia","4+Band","Diagon","Unequa","staYEL","NO_WHI","NO_GRE","NO_BLA","WHGRNO","BAWHNO","WHRENO","001BLU","002RED","003BLU","myrBLU","french","HasSta","1Stars"],"Flag":"https://i.ibb.co/4f8px2k/DR-Congo-Flag.png","HDFlag":"https://upload.wikimedia.org/wikipedia/commons/thumb/6/6f/Flag_of_the_Democratic_Republic_of_the_Congo.svg/2560px-Flag_of_the_Democratic_Republic_of_the_Congo.svg.png","type":"", "describe": "\nBlue represents peace. Red stands for the blood of the country's martyrs, yellow the country's wealth; and the star symbol the future for the country.", "isnew": ".", "links": "https://en.wikipedia.org/wiki/Flag_of_the_Democratic_Republic_of_the_Congo"},</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{"couname":"DR Congo","year":"2006 ","region":"rgn_Africa","Colors":["cl_YEL","cl_RED","cl_BLU"],"Items":["3Color","words2","words3","lets07","startD","LUEDEL","year00","dgband","alldia","4+Band","Diagon","Unequa","staYEL","NO_WHI","NO_GRE","NO_BLA","WHGRNO","BAWHNO","WHRENO","001BLU","002RED","003BLU","myrBLU","french","HasSta","1Stars"],"Flag":"https://i.ibb.co/4f8px2k/DR-Congo-Flag.png","HDFlag":"https://upload.wikimedia.org/wikipedia/commons/thumb/6/6f/Flag_of_the_Democratic_Republic_of_the_Congo.svg/2560px-Flag_of_the_Democratic_Republic_of_the_Congo.svg.png","type":"", "describe": "\nBlue represents peace. Red stands for the blood of the country's martyrs, yellow the country's wealth; and the star symbol the future for the country.", "isnew": ".", "links": "https://en.wikipedia.org/wiki/Flag_of_the_Democratic_Republic_of_the_Congo"},</v>
      </c>
      <c r="HO2" s="75"/>
      <c r="HP2" s="48" t="str" cm="1">
        <f t="array" ref="HP2">IF(_xlfn.TEXTJOIN(", ", TRUE, IF(ISNUMBER(SEARCH("BLA", BL2:BT2)), COLUMN(BL2:BT2) - COLUMN(BL2) + 1, ""))&lt;&gt;"","BLA","")</f>
        <v/>
      </c>
      <c r="HQ2" s="48" t="str" cm="1">
        <f t="array" ref="HQ2">IF(_xlfn.TEXTJOIN(", ", TRUE, IF(ISNUMBER(SEARCH("BLU", BL2:BT2)), COLUMN(BL2:BT2) - COLUMN(BL2) + 1, ""))&lt;&gt;"","BLU","")</f>
        <v>BLU</v>
      </c>
      <c r="HR2" s="48" t="str" cm="1">
        <f t="array" ref="HR2">IF(_xlfn.TEXTJOIN(", ", TRUE, IF(ISNUMBER(SEARCH("GRE", BL2:BT2)), COLUMN(BL2:BT2) - COLUMN(BL2) + 1, ""))&lt;&gt;"","GRE","")</f>
        <v/>
      </c>
      <c r="HS2" s="48" t="str" cm="1">
        <f t="array" ref="HS2">IF(_xlfn.TEXTJOIN(", ", TRUE, IF(ISNUMBER(SEARCH("RED", BL2:BT2)), COLUMN(BL2:BT2) - COLUMN(BL2) + 1, ""))&lt;&gt;"","RED","")</f>
        <v>RED</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
      </c>
      <c r="HY2" s="76"/>
      <c r="HZ2" s="76"/>
      <c r="IA2" s="6"/>
      <c r="IB2" s="6"/>
      <c r="IC2" s="77"/>
      <c r="ID2" s="77"/>
      <c r="IE2" s="77"/>
      <c r="IF2" s="77"/>
      <c r="IG2" s="77"/>
      <c r="IH2" s="77"/>
      <c r="II2" s="77"/>
      <c r="IJ2" s="77"/>
      <c r="IK2" s="77"/>
      <c r="IL2" s="48">
        <f>SUM(IC2:IK2)</f>
        <v>0</v>
      </c>
      <c r="IM2" s="45">
        <f>COUNTIF(IC2:IK2,"&gt;0")-CG2</f>
        <v>-3</v>
      </c>
      <c r="IN2" s="78" t="str">
        <f>"http://mkweb.bcgsc.ca/color-summarizer/?url="&amp;D2&amp;"&amp;precision=low&amp;num_clusters="&amp;CG2&amp;"&amp;text=1"</f>
        <v>http://mkweb.bcgsc.ca/color-summarizer/?url=https://i.ibb.co/4f8px2k/DR-Congo-Flag.png&amp;precision=low&amp;num_clusters=3&amp;text=1</v>
      </c>
      <c r="IO2" s="48" t="str">
        <f>IF(HP2&lt;&gt;"",CHAR(34)&amp;"black"&amp;CHAR(34),"")</f>
        <v/>
      </c>
      <c r="IP2" s="48" t="str">
        <f>IF(HQ2&lt;&gt;"",CHAR(34)&amp;"blue"&amp;CHAR(34),"")</f>
        <v>"blue"</v>
      </c>
      <c r="IQ2" s="48" t="str">
        <f>IF(HR2&lt;&gt;"",CHAR(34)&amp;"green"&amp;CHAR(34),"")</f>
        <v/>
      </c>
      <c r="IR2" s="48" t="str">
        <f>IF(HS2&lt;&gt;"",CHAR(34)&amp;"red"&amp;CHAR(34),"")</f>
        <v>"red"</v>
      </c>
      <c r="IS2" s="48" t="str">
        <f>IF(HT2&lt;&gt;"",CHAR(34)&amp;"yellow"&amp;CHAR(34),"")</f>
        <v>"yellow"</v>
      </c>
      <c r="IT2" s="48" t="str">
        <f>IF(HU2&lt;&gt;"",CHAR(34)&amp;"orange"&amp;CHAR(34),"")</f>
        <v/>
      </c>
      <c r="IU2" s="48" t="str">
        <f>IF(HV2&lt;&gt;"",CHAR(34)&amp;"brown"&amp;CHAR(34),"")</f>
        <v/>
      </c>
      <c r="IV2" s="48" t="str">
        <f>IF(HW2&lt;&gt;"",CHAR(34)&amp;"purple"&amp;CHAR(34),"")</f>
        <v/>
      </c>
      <c r="IW2" s="48" t="str">
        <f>IF(HX2&lt;&gt;"",CHAR(34)&amp;"white"&amp;CHAR(34),"")</f>
        <v/>
      </c>
      <c r="IX2" s="48" t="str">
        <f>"{"&amp;CHAR(34)&amp;"url"&amp;CHAR(34)&amp;":"&amp;CHAR(34)&amp;IN2&amp;CHAR(34)&amp;","&amp;CHAR(34)&amp;"name"&amp;CHAR(34)&amp;":"&amp;CHAR(34)&amp;A2&amp;CHAR(34)&amp;"},"</f>
        <v>{"url":"http://mkweb.bcgsc.ca/color-summarizer/?url=https://i.ibb.co/4f8px2k/DR-Congo-Flag.png&amp;precision=low&amp;num_clusters=3&amp;text=1","name":"DR Congo"},</v>
      </c>
      <c r="IY2" s="48">
        <v>63</v>
      </c>
    </row>
    <row r="3" spans="1:259" s="48" customFormat="1" ht="38.4" customHeight="1" thickBot="1" x14ac:dyDescent="0.35">
      <c r="A3" s="80" t="s">
        <v>689</v>
      </c>
      <c r="B3" s="40" t="e" vm="33">
        <v>#VALUE!</v>
      </c>
      <c r="C3" s="41" t="s">
        <v>173</v>
      </c>
      <c r="D3" s="42" t="s">
        <v>690</v>
      </c>
      <c r="E3" s="43" t="s">
        <v>691</v>
      </c>
      <c r="F3" s="44" t="s">
        <v>163</v>
      </c>
      <c r="G3" s="45">
        <f>COUNTIF($A$1:$A$8371,A3)</f>
        <v>1</v>
      </c>
      <c r="H3" s="46" t="s">
        <v>694</v>
      </c>
      <c r="I3" s="47" t="s">
        <v>692</v>
      </c>
      <c r="J3" s="48" t="str">
        <f>""</f>
        <v/>
      </c>
      <c r="K3" s="49"/>
      <c r="L3" s="50"/>
      <c r="M3" s="50"/>
      <c r="N3" s="51" t="s">
        <v>180</v>
      </c>
      <c r="O3" s="52">
        <v>1960</v>
      </c>
      <c r="P3" s="53" t="s">
        <v>693</v>
      </c>
      <c r="Q3" s="54">
        <v>2</v>
      </c>
      <c r="R3" s="55" t="s">
        <v>180</v>
      </c>
      <c r="S3" s="56">
        <v>2</v>
      </c>
      <c r="T3" s="57" t="s">
        <v>167</v>
      </c>
      <c r="U3" s="58" t="s">
        <v>164</v>
      </c>
      <c r="V3" s="58" t="s">
        <v>167</v>
      </c>
      <c r="W3" s="58" t="s">
        <v>164</v>
      </c>
      <c r="X3" s="58" t="s">
        <v>164</v>
      </c>
      <c r="Y3" s="58" t="s">
        <v>164</v>
      </c>
      <c r="Z3" s="58" t="s">
        <v>164</v>
      </c>
      <c r="AA3" s="58" t="s">
        <v>164</v>
      </c>
      <c r="AB3" s="58" t="s">
        <v>167</v>
      </c>
      <c r="AC3" s="58" t="s">
        <v>164</v>
      </c>
      <c r="AD3" s="58" t="s">
        <v>164</v>
      </c>
      <c r="AE3" s="58" t="s">
        <v>164</v>
      </c>
      <c r="AF3" s="59" t="s">
        <v>164</v>
      </c>
      <c r="AG3" s="59" t="s">
        <v>167</v>
      </c>
      <c r="AH3" s="59" t="s">
        <v>167</v>
      </c>
      <c r="AI3" s="59" t="s">
        <v>164</v>
      </c>
      <c r="AJ3" s="59" t="s">
        <v>164</v>
      </c>
      <c r="AK3" s="59" t="s">
        <v>164</v>
      </c>
      <c r="AL3" s="59" t="s">
        <v>164</v>
      </c>
      <c r="AM3" s="59" t="s">
        <v>164</v>
      </c>
      <c r="AN3" s="59" t="s">
        <v>164</v>
      </c>
      <c r="AO3" s="59" t="s">
        <v>164</v>
      </c>
      <c r="AP3" s="59" t="s">
        <v>164</v>
      </c>
      <c r="AQ3" s="59" t="s">
        <v>164</v>
      </c>
      <c r="AR3" s="59" t="s">
        <v>164</v>
      </c>
      <c r="AS3" s="59" t="s">
        <v>164</v>
      </c>
      <c r="AT3" s="60">
        <v>0</v>
      </c>
      <c r="AU3" s="59" t="s">
        <v>174</v>
      </c>
      <c r="AV3" s="59" t="str">
        <f>IF(LEFT(A3,1)="[",LEFT(A3,5)&amp;AU3&amp;A3,"")</f>
        <v>[DRC]Historical[DRC] South Kasai</v>
      </c>
      <c r="AW3" s="59" t="str">
        <f t="shared" si="0"/>
        <v>3b[DRC] Other[DRC] South Kasai</v>
      </c>
      <c r="AX3" s="61"/>
      <c r="AY3" s="61"/>
      <c r="AZ3" s="62" t="s">
        <v>172</v>
      </c>
      <c r="BA3" s="62" t="s">
        <v>172</v>
      </c>
      <c r="BB3" s="62"/>
      <c r="BC3" s="63"/>
      <c r="BD3" s="64" t="s">
        <v>169</v>
      </c>
      <c r="BE3" s="47"/>
      <c r="BF3" s="64" t="s">
        <v>154</v>
      </c>
      <c r="BG3" s="64" t="s">
        <v>172</v>
      </c>
      <c r="BH3" s="64" t="s">
        <v>153</v>
      </c>
      <c r="BI3" s="64"/>
      <c r="BJ3" s="64"/>
      <c r="BK3" s="47"/>
      <c r="BL3" s="64" t="s">
        <v>172</v>
      </c>
      <c r="BM3" s="64" t="s">
        <v>172</v>
      </c>
      <c r="BN3" s="64" t="s">
        <v>153</v>
      </c>
      <c r="BO3" s="64" t="s">
        <v>154</v>
      </c>
      <c r="BP3" s="64" t="s">
        <v>155</v>
      </c>
      <c r="BQ3" s="64" t="s">
        <v>172</v>
      </c>
      <c r="BR3" s="64" t="s">
        <v>172</v>
      </c>
      <c r="BS3" s="64" t="s">
        <v>172</v>
      </c>
      <c r="BT3" s="64" t="s">
        <v>172</v>
      </c>
      <c r="BU3" s="65"/>
      <c r="BV3" s="66"/>
      <c r="BW3" s="66">
        <v>0</v>
      </c>
      <c r="BX3" s="47"/>
      <c r="BY3" s="48" t="s">
        <v>164</v>
      </c>
      <c r="CB3" s="6"/>
      <c r="CC3" s="6"/>
      <c r="CD3" s="67">
        <v>0</v>
      </c>
      <c r="CE3" s="67">
        <v>0</v>
      </c>
      <c r="CF3" s="67" t="e">
        <v>#REF!</v>
      </c>
      <c r="CG3" s="68" cm="1">
        <f t="array" ref="CG3">SUMPRODUCT(--(LEN(TRIM(BL3:BT3))&gt;0))</f>
        <v>3</v>
      </c>
      <c r="CH3" s="59" t="str">
        <f>IF(CG3=2,"y","n")</f>
        <v>n</v>
      </c>
      <c r="CI3" s="59" t="str">
        <f>IF(CG3=3,"y","n")</f>
        <v>y</v>
      </c>
      <c r="CJ3" s="59" t="str">
        <f>IF(CG3=4,"y","n")</f>
        <v>n</v>
      </c>
      <c r="CK3" s="59" t="str">
        <f>IF(CG3&gt;4,"y","n")</f>
        <v>n</v>
      </c>
      <c r="CL3" s="59" t="str">
        <f>IF(S3=0,"y","n")</f>
        <v>n</v>
      </c>
      <c r="CM3" s="59" t="str">
        <f>IF(S3=2,"y","n")</f>
        <v>y</v>
      </c>
      <c r="CN3" s="59" t="str">
        <f>IF(S3=3,"y","n")</f>
        <v>n</v>
      </c>
      <c r="CO3" s="59" t="str">
        <f>IF(S3&gt;=4,"y","n")</f>
        <v>n</v>
      </c>
      <c r="CP3" s="59" t="str">
        <f>IF(AT3=0,"y","n")</f>
        <v>y</v>
      </c>
      <c r="CQ3" s="59" t="str">
        <f>IF(AT3=1,"y","n")</f>
        <v>n</v>
      </c>
      <c r="CR3" s="59" t="str">
        <f>IF(AT3=2,"y","n")</f>
        <v>n</v>
      </c>
      <c r="CS3" s="59" t="str">
        <f>IF(AT3&gt;=3,"y","n")</f>
        <v>n</v>
      </c>
      <c r="CT3" s="69" t="str">
        <f>CHAR(34)&amp;A3&amp;CHAR(34)</f>
        <v>"[DRC] South Kasai"</v>
      </c>
      <c r="CU3" s="70" t="str">
        <f>CHAR(34)&amp;"rgn_"&amp;R3&amp;CHAR(34)</f>
        <v>"rgn_Africa"</v>
      </c>
      <c r="CV3" s="48" t="str">
        <f>CHAR(34)&amp;D3&amp;CHAR(34)</f>
        <v>"https://upload.wikimedia.org/wikipedia/commons/thumb/e/e5/Flag_of_South_Kasai.svg/640px-Flag_of_South_Kasai.svg.png"</v>
      </c>
      <c r="CW3" s="48" t="str">
        <f>IF(CH3="y",CHAR(34)&amp;CH$1&amp;CHAR(34)&amp;",","")</f>
        <v/>
      </c>
      <c r="CX3" s="48" t="str">
        <f>IF(CI3="y",CHAR(34)&amp;CI$1&amp;CHAR(34)&amp;",","")</f>
        <v>"3Color",</v>
      </c>
      <c r="CY3" s="48" t="str">
        <f>IF(CJ3="y",CHAR(34)&amp;CJ$1&amp;CHAR(34)&amp;",","")</f>
        <v/>
      </c>
      <c r="CZ3" s="48" t="str">
        <f>IF(CK3="y",CHAR(34)&amp;CK$1&amp;CHAR(34)&amp;",","")</f>
        <v/>
      </c>
      <c r="DA3" s="48" t="str">
        <f>IF(Q3&gt;1,CHAR(34)&amp;"words2"&amp;CHAR(34)&amp;",","")</f>
        <v>"words2",</v>
      </c>
      <c r="DB3" s="48" t="str">
        <f>IF(Q3&gt;2,CHAR(34)&amp;"words3"&amp;CHAR(34)&amp;",","")</f>
        <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"lets10",</v>
      </c>
      <c r="DE3" s="48" t="str">
        <f>CHAR(34)&amp;"start"&amp;IFERROR(LEFT(SUBSTITUTE(A3,"["&amp;MID(A3,FIND("[",A3)+1,FIND("]",A3)-FIND("[",A3)-1)&amp;"] ",""),1),LEFT(A3,1))&amp;CHAR(34)&amp;","</f>
        <v>"startS",</v>
      </c>
      <c r="DF3" s="48" t="str">
        <f>IFERROR(IF(SEARCH("tan",A3)&gt;0,CHAR(34)&amp;"withtn"&amp;CHAR(34)&amp;",",""),"")</f>
        <v/>
      </c>
      <c r="DG3" s="48" t="str">
        <f>IFERROR(IF(SEARCH("q",A3)&gt;0,CHAR(34)&amp;"with_q"&amp;CHAR(34)&amp;",",""),"")</f>
        <v/>
      </c>
      <c r="DH3" s="48" t="str">
        <f>IFERROR(IF(SEARCH("v",A3)&gt;0,CHAR(34)&amp;"with_v"&amp;CHAR(34)&amp;",",""),"")</f>
        <v/>
      </c>
      <c r="DI3" s="48" t="str">
        <f>IFERROR(IF(SEARCH("w",A3)&gt;0,CHAR(34)&amp;"with_w"&amp;CHAR(34)&amp;",",""),"")</f>
        <v/>
      </c>
      <c r="DJ3" s="48" t="str">
        <f>IFERROR(IF(SEARCH("y",A3)&gt;0,CHAR(34)&amp;"with_y"&amp;CHAR(34)&amp;",",""),"")</f>
        <v/>
      </c>
      <c r="DK3" s="48" t="str">
        <f>IFERROR(IF(SEARCH("z",A3)&gt;0,CHAR(34)&amp;"with_z"&amp;CHAR(34)&amp;",",""),"")</f>
        <v/>
      </c>
      <c r="DL3" s="48" t="str">
        <f>IF(CG3=2, CHAR(34) &amp; _xlfn.TEXTJOIN("", TRUE, _xlfn._xlws.SORT(HP3:HX3)) &amp; CHAR(34) &amp; ",", "")</f>
        <v/>
      </c>
      <c r="DM3" s="48" t="str" cm="1">
        <f t="array" ref="DM3">IF(CG3=3,CHAR(34) &amp; _xlfn.TEXTJOIN("", TRUE, RIGHT(HP3:HX3, 2)) &amp; CHAR(34) &amp; ",", "")</f>
        <v>"REEDEL",</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"year19",</v>
      </c>
      <c r="DP3" s="6" t="str">
        <f>IF(AND(ISNUMBER(SEARCH("20", O3)), ISERROR(SEARCH("1920", O3))), CHAR(34)&amp;"year00"&amp;CHAR(34)&amp;",", "")</f>
        <v/>
      </c>
      <c r="DQ3" s="6" t="str">
        <f>IF(CC3="y",CHAR(34)&amp;"soviet"&amp;CHAR(34)&amp;",","")</f>
        <v/>
      </c>
      <c r="DR3" s="6" t="str">
        <f>IF(BY3="y",CHAR(34)&amp;"dgband"&amp;CHAR(34)&amp;",","")</f>
        <v/>
      </c>
      <c r="DS3" s="6" t="str">
        <f>IF(W3="y",IF(AND(V3="n",BY3&lt;&gt;"y"),CHAR(34)&amp;"allver"&amp;CHAR(34)&amp;",",""),"")</f>
        <v/>
      </c>
      <c r="DT3" s="6" t="str">
        <f>IF(V3="y",IF(AND(W3="n",BY3&lt;&gt;"y"),CHAR(34)&amp;"allhor"&amp;CHAR(34)&amp;",",""),"")</f>
        <v>"allhor",</v>
      </c>
      <c r="DU3" s="6" t="str">
        <f>IF(BY3="y",IF(AND(W3="n",V3="n"),CHAR(34)&amp;"alldia"&amp;CHAR(34)&amp;",",""),"")</f>
        <v/>
      </c>
      <c r="DW3" s="48" t="str">
        <f>IF(CL3="y",CHAR(34)&amp;CL$1&amp;CHAR(34)&amp;",","")</f>
        <v/>
      </c>
      <c r="DX3" s="48" t="str">
        <f>IF(CM3="y",CHAR(34)&amp;CM$1&amp;CHAR(34)&amp;",","")</f>
        <v>"2Bands",</v>
      </c>
      <c r="DY3" s="48" t="str">
        <f>IF(CN3="y",CHAR(34)&amp;CN$1&amp;CHAR(34)&amp;",","")</f>
        <v/>
      </c>
      <c r="DZ3" s="48" t="str">
        <f>IF(CO3="y",CHAR(34)&amp;CO$1&amp;CHAR(34)&amp;",","")</f>
        <v/>
      </c>
      <c r="EA3" s="48" t="str">
        <f>IF(T3="y",CHAR(34)&amp;T$1&amp;CHAR(34)&amp;",","")</f>
        <v>"Diagon",</v>
      </c>
      <c r="EB3" s="48" t="str">
        <f>IF(U3="y",CHAR(34)&amp;U$1&amp;CHAR(34)&amp;",","")</f>
        <v/>
      </c>
      <c r="EC3" s="48" t="str">
        <f>IF(V3="y",CHAR(34)&amp;V$1&amp;CHAR(34)&amp;",","")</f>
        <v>"Horizo",</v>
      </c>
      <c r="ED3" s="48" t="str">
        <f>IF(W3="y",CHAR(34)&amp;W$1&amp;CHAR(34)&amp;",","")</f>
        <v/>
      </c>
      <c r="EE3" s="48" t="str">
        <f>IF(X3="y",CHAR(34)&amp;X$1&amp;CHAR(34)&amp;",","")</f>
        <v/>
      </c>
      <c r="EF3" s="48" t="str">
        <f>IF(AND(Y3&lt;&gt;"n",Y3&lt;&gt;""),CHAR(34)&amp;Y$1&amp;CHAR(34)&amp;",","")</f>
        <v/>
      </c>
      <c r="EG3" s="48" t="str">
        <f>IF(Z3="y",CHAR(34)&amp;Z$1&amp;CHAR(34)&amp;",","")</f>
        <v/>
      </c>
      <c r="EH3" s="48" t="str">
        <f>IF(AA3="y",CHAR(34)&amp;AA$1&amp;CHAR(34)&amp;",","")</f>
        <v/>
      </c>
      <c r="EI3" s="48" t="str">
        <f>IF(AB3="y",CHAR(34)&amp;AB$1&amp;CHAR(34)&amp;",","")</f>
        <v>"Texted",</v>
      </c>
      <c r="EJ3" s="48" t="str">
        <f>IF(AC3="y",CHAR(34)&amp;AC$1&amp;CHAR(34)&amp;",","")</f>
        <v/>
      </c>
      <c r="EK3" s="48" t="str">
        <f>IF(AD3="y",CHAR(34)&amp;AD$1&amp;CHAR(34)&amp;",","")</f>
        <v/>
      </c>
      <c r="EL3" s="48" t="str">
        <f>IF(AE3="y",CHAR(34)&amp;AE$1&amp;CHAR(34)&amp;",","")</f>
        <v/>
      </c>
      <c r="EM3" s="48" t="str">
        <f>IF(AF3="y",CHAR(34)&amp;AF$1&amp;CHAR(34)&amp;",","")</f>
        <v/>
      </c>
      <c r="EN3" s="48" t="str">
        <f>IF(AG3="y",CHAR(34)&amp;AG$1&amp;CHAR(34)&amp;",","")</f>
        <v>"Unequa",</v>
      </c>
      <c r="EO3" s="48" t="str">
        <f>IF(AH3="y",CHAR(34)&amp;AH$1&amp;CHAR(34)&amp;",","")</f>
        <v>"Center",</v>
      </c>
      <c r="EP3" s="48" t="str">
        <f>IF(AI3="y",CHAR(34)&amp;AI$1&amp;CHAR(34)&amp;",","")</f>
        <v/>
      </c>
      <c r="EQ3" s="48" t="str">
        <f>IF(AJ3="y",CHAR(34)&amp;AJ$1&amp;CHAR(34)&amp;",","")</f>
        <v/>
      </c>
      <c r="ER3" s="48" t="str">
        <f>IF(AK3="y",CHAR(34)&amp;AK$1&amp;CHAR(34)&amp;",","")</f>
        <v/>
      </c>
      <c r="ES3" s="48" t="str">
        <f>IF(AL3="y",CHAR(34)&amp;AL$1&amp;CHAR(34)&amp;",","")</f>
        <v/>
      </c>
      <c r="ET3" s="48" t="str">
        <f>IF(AM3="y",CHAR(34)&amp;AM$1&amp;CHAR(34)&amp;",","")</f>
        <v/>
      </c>
      <c r="EU3" s="48" t="str">
        <f>IF(AN3="y",CHAR(34)&amp;AN$1&amp;CHAR(34)&amp;",","")</f>
        <v/>
      </c>
      <c r="EV3" s="48" t="str">
        <f>IF(AO3="y",CHAR(34)&amp;AO$1&amp;CHAR(34)&amp;",","")</f>
        <v/>
      </c>
      <c r="EW3" s="48" t="str">
        <f>IF(AP3="y",CHAR(34)&amp;AP$1&amp;CHAR(34)&amp;",","")</f>
        <v/>
      </c>
      <c r="EX3" s="48" t="str">
        <f>IF(AQ3="y",CHAR(34)&amp;AQ$1&amp;CHAR(34)&amp;",","")</f>
        <v/>
      </c>
      <c r="EY3" s="48" t="str">
        <f>IF(AR3="y",CHAR(34)&amp;AR$1&amp;CHAR(34)&amp;",","")</f>
        <v/>
      </c>
      <c r="EZ3" s="48" t="str">
        <f>IF(AS3="y",CHAR(34)&amp;AS$1&amp;CHAR(34)&amp;",","")</f>
        <v/>
      </c>
      <c r="FA3" s="48" t="str">
        <f>IF(AT3&gt;0,CHAR(34)&amp;"sta"&amp;AZ3&amp;CHAR(34)&amp;",","")</f>
        <v/>
      </c>
      <c r="FB3" s="48" t="str">
        <f>IF(AND(AT3&gt;0,BA3&lt;&gt;""),CHAR(34)&amp;"sta"&amp;BA3&amp;CHAR(34)&amp;",","")</f>
        <v/>
      </c>
      <c r="FD3" s="48" t="str">
        <f>IF(BV3="n",CHAR(34)&amp;"tcWHYE"&amp;CHAR(34)&amp;",",IF(BV3="y",CHAR(34)&amp;FD$1&amp;CHAR(34)&amp;",",""))</f>
        <v/>
      </c>
      <c r="FE3" s="48" t="str">
        <f>IF(COUNTIF(BL3:BT3,"BLU")=0,CHAR(34)&amp;"NO_BLU"&amp;CHAR(34)&amp;",", "")</f>
        <v>"NO_BLU",</v>
      </c>
      <c r="FF3" s="48" t="str">
        <f>IF(COUNTIF(BL3:BT3,"WHI")=0,CHAR(34)&amp;"NO_WHI"&amp;CHAR(34)&amp;",", "")</f>
        <v>"NO_WHI",</v>
      </c>
      <c r="FG3" s="48" t="str">
        <f>IF(COUNTIF(BL3:BT3,"RED")=0,CHAR(34)&amp;"NO_RED"&amp;CHAR(34)&amp;",", "")</f>
        <v/>
      </c>
      <c r="FH3" s="48" t="str">
        <f>IF(COUNTIF(BL3:BS3,"GRE")=0,CHAR(34)&amp;"NO_GRE"&amp;CHAR(34)&amp;",", "")</f>
        <v/>
      </c>
      <c r="FI3" s="48" t="str">
        <f>IF(COUNTIF(BL3:BT3,"YEL")=0,CHAR(34)&amp;"NO_YEL"&amp;CHAR(34)&amp;",", "")</f>
        <v/>
      </c>
      <c r="FJ3" s="48" t="str">
        <f>IF(COUNTIF(BL3:BT3,"BLA")=0,CHAR(34)&amp;"NO_BLA"&amp;CHAR(34)&amp;",", "")</f>
        <v>"NO_BLA",</v>
      </c>
      <c r="FK3" s="48" t="str">
        <f>IF(AND(FH3&lt;&gt;"",FF3&lt;&gt;""),CHAR(34)&amp;"WHGRNO"&amp;CHAR(34)&amp;",","")</f>
        <v/>
      </c>
      <c r="FL3" s="48" t="str">
        <f>IF(AND(FI3&lt;&gt;"",FF3&lt;&gt;""),CHAR(34)&amp;"WHYENO"&amp;CHAR(34)&amp;",","")</f>
        <v/>
      </c>
      <c r="FM3" s="48" t="str">
        <f>IF(AND(FJ3&lt;&gt;"",FF3&lt;&gt;""),CHAR(34)&amp;"BAWHNO"&amp;CHAR(34)&amp;",","")</f>
        <v>"BAWHNO",</v>
      </c>
      <c r="FN3" s="48" t="str">
        <f>IF(AND(FE3&lt;&gt;"",FF3&lt;&gt;""),CHAR(34)&amp;"BLWHNO"&amp;CHAR(34)&amp;",","")</f>
        <v>"BLWHNO",</v>
      </c>
      <c r="FO3" s="48" t="str">
        <f>IF(AND(FE3&lt;&gt;"",FG3&lt;&gt;""),CHAR(34)&amp;"BLRENO"&amp;CHAR(34)&amp;",","")</f>
        <v/>
      </c>
      <c r="FP3" s="48" t="str">
        <f>IF(AND(FF3&lt;&gt;"",FF3&lt;&gt;""),CHAR(34)&amp;"WHRENO"&amp;CHAR(34)&amp;",","")</f>
        <v>"WHRENO",</v>
      </c>
      <c r="FQ3" s="48" t="str">
        <f>IF(LEN(BF3)=3,CHAR(34)&amp;"001"&amp;BF3&amp;CHAR(34)&amp;",","")</f>
        <v>"001RED",</v>
      </c>
      <c r="FR3" s="48" t="str">
        <f>IF(LEN(BG3)=3,CHAR(34)&amp;"002"&amp;BG3&amp;CHAR(34)&amp;",","")</f>
        <v/>
      </c>
      <c r="FS3" s="48" t="str">
        <f>IF(LEN(BH3)=3,CHAR(34)&amp;"003"&amp;BH3&amp;CHAR(34)&amp;",","")</f>
        <v>"003GRE",</v>
      </c>
      <c r="FT3" s="48" t="str">
        <f>CHAR(34)&amp;"myr"&amp;BD3&amp;CHAR(34)&amp;","</f>
        <v>"myrEQ",</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"histor",</v>
      </c>
      <c r="GG3" s="48" t="str">
        <f>IF(BU3="y",CHAR(34)&amp;"unjack"&amp;CHAR(34)&amp;",","")</f>
        <v/>
      </c>
      <c r="GH3" s="48" t="str">
        <f>IF(CD3=1,CHAR(34)&amp;"southc"&amp;CHAR(34)&amp;",","")</f>
        <v/>
      </c>
      <c r="GI3" s="48" t="str">
        <f>IF(CE3=1,CHAR(34)&amp;"hasmap"&amp;CHAR(34)&amp;",","")</f>
        <v/>
      </c>
      <c r="GJ3" s="48" t="str">
        <f>IF(CP3="y",CHAR(34)&amp;CP$1&amp;CHAR(34)&amp;",","")</f>
        <v>"NoStar",</v>
      </c>
      <c r="GK3" s="48" t="str">
        <f>IF(GJ3="",CHAR(34)&amp;"HasSta"&amp;CHAR(34)&amp;",","")</f>
        <v/>
      </c>
      <c r="GL3" s="48" t="str">
        <f>IF(CQ3="y",CHAR(34)&amp;CQ$1&amp;CHAR(34)&amp;",","")</f>
        <v/>
      </c>
      <c r="GM3" s="48" t="str">
        <f>IF(CR3="y",CHAR(34)&amp;CR$1&amp;CHAR(34)&amp;",","")</f>
        <v/>
      </c>
      <c r="GN3" s="48" t="str">
        <f>IF(CS3="y",CHAR(34)&amp;CS$1&amp;CHAR(34)&amp;",","")</f>
        <v/>
      </c>
      <c r="GP3" s="48" t="str">
        <f>CHAR(34)&amp;AU3&amp;CHAR(34)</f>
        <v>"Historical"</v>
      </c>
      <c r="GS3" s="48" t="str">
        <f>SUBSTITUTE("["&amp;_xlfn.CONCAT(CW3:GN3)&amp;"]",",]","]")</f>
        <v>["3Color","words2","lets10","startS","REEDEL","year19","allhor","2Bands","Diagon","Horizo","Texted","Unequa","Center","NO_BLU","NO_WHI","NO_BLA","BAWHNO","BLWHNO","WHRENO","001RED","003GRE","myrEQ","histor","NoStar"]</v>
      </c>
      <c r="GT3" s="48" t="str">
        <f>IF(BL3&lt;&gt;"",CHAR(34)&amp;"cl_"&amp;BL3&amp;CHAR(34)&amp;",","")</f>
        <v/>
      </c>
      <c r="GU3" s="48" t="str">
        <f>IF(BM3&lt;&gt;"",CHAR(34)&amp;"cl_"&amp;BM3&amp;CHAR(34)&amp;",","")</f>
        <v/>
      </c>
      <c r="GV3" s="48" t="str">
        <f>IF(BN3&lt;&gt;"",CHAR(34)&amp;"cl_"&amp;BN3&amp;CHAR(34)&amp;",","")</f>
        <v>"cl_GRE",</v>
      </c>
      <c r="GW3" s="48" t="str">
        <f>IF(BO3&lt;&gt;"",CHAR(34)&amp;"cl_"&amp;BO3&amp;CHAR(34)&amp;",","")</f>
        <v>"cl_RED",</v>
      </c>
      <c r="GX3" s="48" t="str">
        <f>IF(BP3&lt;&gt;"",CHAR(34)&amp;"cl_"&amp;BP3&amp;CHAR(34)&amp;",","")</f>
        <v>"cl_YEL",</v>
      </c>
      <c r="GY3" s="48" t="str">
        <f>IF(BQ3&lt;&gt;"",CHAR(34)&amp;"cl_"&amp;BQ3&amp;CHAR(34)&amp;",","")</f>
        <v/>
      </c>
      <c r="GZ3" s="48" t="str">
        <f>IF(BR3&lt;&gt;"",CHAR(34)&amp;"cl_"&amp;BR3&amp;CHAR(34)&amp;",","")</f>
        <v/>
      </c>
      <c r="HA3" s="48" t="str">
        <f>IF(BS3&lt;&gt;"",CHAR(34)&amp;"cl_"&amp;BS3&amp;CHAR(34)&amp;",","")</f>
        <v/>
      </c>
      <c r="HB3" s="48" t="str">
        <f>IF(BT3&lt;&gt;"",CHAR(34)&amp;"cl_"&amp;BT3&amp;CHAR(34)&amp;",","")</f>
        <v/>
      </c>
      <c r="HC3" s="48" t="str">
        <f>SUBSTITUTE("["&amp;_xlfn.CONCAT(GT3:HB3)&amp;"]",",]","]")</f>
        <v>["cl_GRE","cl_RED","cl_YEL"]</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{couname:"[DRC] South Kasai",year:"1960",region:"rgn_Africa",Colors:["cl_GRE","cl_RED","cl_YEL"],Items:["3Color","words2","lets10","startS","REEDEL","year19","allhor","2Bands","Diagon","Horizo","Texted","Unequa","Center","NO_BLU","NO_WHI","NO_BLA","BAWHNO","BLWHNO","WHRENO","001RED","003GRE","myrEQ","histor","NoStar"],Flag:"https://upload.wikimedia.org/wikipedia/commons/thumb/e/e5/Flag_of_South_Kasai.svg/640px-Flag_of_South_Kasai.svg.png",HDFlag:"https://upload.wikimedia.org/wikipedia/commons/thumb/e/e5/Flag_of_South_Kasai.svg/2560px-Flag_of_South_Kasai.svg.png",type:"Historical", describe: "\nTwo horizontal stripes in red and green, with a yellow V in the middle. Various flags had different sizes of the V, with some reaching to the end. The meaning of the flag is unclear, with South Kasai only existing for a few years during the Congo Crisis", isnew:".", links: "https://en.wikipedia.org/wiki/South_Kasai"},</v>
      </c>
      <c r="HG3" s="73" t="str">
        <f>"{couname:"&amp;CT3&amp;(IF(HK3&lt;&gt;"",",subtype:"&amp;CHAR(34)&amp;HK3&amp;CHAR(34),""))&amp;",year:"&amp;HJ3&amp;",region:"&amp;CU3&amp;",Colors:"&amp;HC3&amp;",Items:"&amp;GS3&amp;",Flag:"&amp;CV3&amp;",HDFlag:"&amp;CHAR(34)&amp;E3&amp;CHAR(34)&amp;",type:"&amp;GP3&amp;", describe: "&amp;HI3&amp;", links: "&amp;HL3&amp;"},"</f>
        <v>{couname:"[DRC] South Kasai",year:"1960",region:"rgn_Africa",Colors:["cl_GRE","cl_RED","cl_YEL"],Items:["3Color","words2","lets10","startS","REEDEL","year19","allhor","2Bands","Diagon","Horizo","Texted","Unequa","Center","NO_BLU","NO_WHI","NO_BLA","BAWHNO","BLWHNO","WHRENO","001RED","003GRE","myrEQ","histor","NoStar"],Flag:"https://upload.wikimedia.org/wikipedia/commons/thumb/e/e5/Flag_of_South_Kasai.svg/640px-Flag_of_South_Kasai.svg.png",HDFlag:"https://upload.wikimedia.org/wikipedia/commons/thumb/e/e5/Flag_of_South_Kasai.svg/2560px-Flag_of_South_Kasai.svg.png",type:"Historical", describe: "\nTwo horizontal stripes in red and green, with a yellow V in the middle. Various flags had different sizes of the V, with some reaching to the end. The meaning of the flag is unclear, with South Kasai only existing for a few years during the Congo Crisis", links: "https://en.wikipedia.org/wiki/South_Kasai"},</v>
      </c>
      <c r="HH3" s="48" t="str">
        <f>IF(P3&lt;&gt;"",CHAR(34)&amp;"\n"&amp;P3&amp;CHAR(34),CHAR(34)&amp;CHAR(34))</f>
        <v>"\nTwo horizontal stripes in red and green, with a yellow V in the middle. Various flags had different sizes of the V, with some reaching to the end. The meaning of the flag is unclear, with South Kasai only existing for a few years during the Congo Crisis"</v>
      </c>
      <c r="HI3" s="48" t="str">
        <f>IF(J3=0,CHAR(34)&amp;CHAR(34),HH3)</f>
        <v>"\nTwo horizontal stripes in red and green, with a yellow V in the middle. Various flags had different sizes of the V, with some reaching to the end. The meaning of the flag is unclear, with South Kasai only existing for a few years during the Congo Crisis"</v>
      </c>
      <c r="HJ3" s="48" t="str">
        <f>CHAR(34)&amp;O3&amp;CHAR(34)</f>
        <v>"1960"</v>
      </c>
      <c r="HL3" s="48" t="str">
        <f>CHAR(34)&amp;I3&amp;CHAR(34)</f>
        <v>"https://en.wikipedia.org/wiki/South_Kasai"</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{"couname":"[DRC] South Kasai","subtype":"[DRC] Other","year":"1960","region":"rgn_Africa","Colors":["cl_GRE","cl_RED","cl_YEL"],"Items":["3Color","words2","lets10","startS","REEDEL","year19","allhor","2Bands","Diagon","Horizo","Texted","Unequa","Center","NO_BLU","NO_WHI","NO_BLA","BAWHNO","BLWHNO","WHRENO","001RED","003GRE","myrEQ","histor","NoStar"],"Flag":"https://upload.wikimedia.org/wikipedia/commons/thumb/e/e5/Flag_of_South_Kasai.svg/640px-Flag_of_South_Kasai.svg.png","HDFlag":"https://upload.wikimedia.org/wikipedia/commons/thumb/e/e5/Flag_of_South_Kasai.svg/2560px-Flag_of_South_Kasai.svg.png","type":"Historical", "describe": "\nTwo horizontal stripes in red and green, with a yellow V in the middle. Various flags had different sizes of the V, with some reaching to the end. The meaning of the flag is unclear, with South Kasai only existing for a few years during the Congo Crisis", "isnew": ".", "links": "https://en.wikipedia.org/wiki/South_Kasai"},</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{"couname":"[DRC] South Kasai","subtype":"[DRC] Other","year":"1960","region":"rgn_Africa","Colors":["cl_GRE","cl_RED","cl_YEL"],"Items":["3Color","words2","lets10","startS","REEDEL","year19","allhor","2Bands","Diagon","Horizo","Texted","Unequa","Center","NO_BLU","NO_WHI","NO_BLA","BAWHNO","BLWHNO","WHRENO","001RED","003GRE","myrEQ","histor","NoStar"],"Flag":"https://upload.wikimedia.org/wikipedia/commons/thumb/e/e5/Flag_of_South_Kasai.svg/640px-Flag_of_South_Kasai.svg.png","HDFlag":"https://upload.wikimedia.org/wikipedia/commons/thumb/e/e5/Flag_of_South_Kasai.svg/2560px-Flag_of_South_Kasai.svg.png","type":"Historical", "describe": "\nTwo horizontal stripes in red and green, with a yellow V in the middle. Various flags had different sizes of the V, with some reaching to the end. The meaning of the flag is unclear, with South Kasai only existing for a few years during the Congo Crisis", "isnew": ".", "links": "https://en.wikipedia.org/wiki/South_Kasai"},</v>
      </c>
      <c r="HO3" s="75">
        <v>45610</v>
      </c>
      <c r="HP3" s="48" t="str" cm="1">
        <f t="array" ref="HP3">IF(_xlfn.TEXTJOIN(", ", TRUE, IF(ISNUMBER(SEARCH("BLA", BL3:BT3)), COLUMN(BL3:BT3) - COLUMN(BL3) + 1, ""))&lt;&gt;"","BLA","")</f>
        <v/>
      </c>
      <c r="HQ3" s="48" t="str" cm="1">
        <f t="array" ref="HQ3">IF(_xlfn.TEXTJOIN(", ", TRUE, IF(ISNUMBER(SEARCH("BLU", BL3:BT3)), COLUMN(BL3:BT3) - COLUMN(BL3) + 1, ""))&lt;&gt;"","BLU","")</f>
        <v/>
      </c>
      <c r="HR3" s="48" t="str" cm="1">
        <f t="array" ref="HR3">IF(_xlfn.TEXTJOIN(", ", TRUE, IF(ISNUMBER(SEARCH("GRE", BL3:BT3)), COLUMN(BL3:BT3) - COLUMN(BL3) + 1, ""))&lt;&gt;"","GRE","")</f>
        <v>GRE</v>
      </c>
      <c r="HS3" s="48" t="str" cm="1">
        <f t="array" ref="HS3">IF(_xlfn.TEXTJOIN(", ", TRUE, IF(ISNUMBER(SEARCH("RED", BL3:BT3)), COLUMN(BL3:BT3) - COLUMN(BL3) + 1, ""))&lt;&gt;"","RED","")</f>
        <v>RED</v>
      </c>
      <c r="HT3" s="48" t="str" cm="1">
        <f t="array" ref="HT3">IF(_xlfn.TEXTJOIN(", ", TRUE, IF(ISNUMBER(SEARCH("YEL", BL3:BT3)), COLUMN(BL3:BT3) - COLUMN(BL3) + 1, ""))&lt;&gt;"","YEL","")</f>
        <v>YEL</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
      </c>
      <c r="HY3" s="76"/>
      <c r="HZ3" s="76"/>
      <c r="IA3" s="6"/>
      <c r="IB3" s="6"/>
      <c r="IC3" s="77"/>
      <c r="ID3" s="77"/>
      <c r="IE3" s="77"/>
      <c r="IF3" s="77"/>
      <c r="IG3" s="77"/>
      <c r="IH3" s="77"/>
      <c r="II3" s="77"/>
      <c r="IJ3" s="77"/>
      <c r="IK3" s="77"/>
      <c r="IM3" s="45">
        <f>COUNTIF(IC3:IK3,"&gt;0")-CG3</f>
        <v>-3</v>
      </c>
      <c r="IN3" s="78" t="str">
        <f>"http://mkweb.bcgsc.ca/color-summarizer/?url="&amp;D3&amp;"&amp;precision=low&amp;num_clusters="&amp;CG3&amp;"&amp;text=1"</f>
        <v>http://mkweb.bcgsc.ca/color-summarizer/?url=https://upload.wikimedia.org/wikipedia/commons/thumb/e/e5/Flag_of_South_Kasai.svg/640px-Flag_of_South_Kasai.svg.png&amp;precision=low&amp;num_clusters=3&amp;text=1</v>
      </c>
      <c r="IO3" s="48" t="str">
        <f>IF(HP3&lt;&gt;"",CHAR(34)&amp;"black"&amp;CHAR(34),"")</f>
        <v/>
      </c>
      <c r="IP3" s="48" t="str">
        <f>IF(HQ3&lt;&gt;"",CHAR(34)&amp;"blue"&amp;CHAR(34),"")</f>
        <v/>
      </c>
      <c r="IQ3" s="48" t="str">
        <f>IF(HR3&lt;&gt;"",CHAR(34)&amp;"green"&amp;CHAR(34),"")</f>
        <v>"green"</v>
      </c>
      <c r="IR3" s="48" t="str">
        <f>IF(HS3&lt;&gt;"",CHAR(34)&amp;"red"&amp;CHAR(34),"")</f>
        <v>"red"</v>
      </c>
      <c r="IS3" s="48" t="str">
        <f>IF(HT3&lt;&gt;"",CHAR(34)&amp;"yellow"&amp;CHAR(34),"")</f>
        <v>"yellow"</v>
      </c>
      <c r="IT3" s="48" t="str">
        <f>IF(HU3&lt;&gt;"",CHAR(34)&amp;"orange"&amp;CHAR(34),"")</f>
        <v/>
      </c>
      <c r="IU3" s="48" t="str">
        <f>IF(HV3&lt;&gt;"",CHAR(34)&amp;"brown"&amp;CHAR(34),"")</f>
        <v/>
      </c>
      <c r="IV3" s="48" t="str">
        <f>IF(HW3&lt;&gt;"",CHAR(34)&amp;"purple"&amp;CHAR(34),"")</f>
        <v/>
      </c>
      <c r="IW3" s="48" t="str">
        <f>IF(HX3&lt;&gt;"",CHAR(34)&amp;"white"&amp;CHAR(34),"")</f>
        <v/>
      </c>
      <c r="IX3" s="48" t="str">
        <f>"{"&amp;CHAR(34)&amp;"url"&amp;CHAR(34)&amp;":"&amp;CHAR(34)&amp;IN3&amp;CHAR(34)&amp;","&amp;CHAR(34)&amp;"name"&amp;CHAR(34)&amp;":"&amp;CHAR(34)&amp;A3&amp;CHAR(34)&amp;"},"</f>
        <v>{"url":"http://mkweb.bcgsc.ca/color-summarizer/?url=https://upload.wikimedia.org/wikipedia/commons/thumb/e/e5/Flag_of_South_Kasai.svg/640px-Flag_of_South_Kasai.svg.png&amp;precision=low&amp;num_clusters=3&amp;text=1","name":"[DRC] South Kasai"},</v>
      </c>
      <c r="IY3" s="48">
        <v>1270</v>
      </c>
    </row>
    <row r="4" spans="1:259" ht="38.4" customHeight="1" x14ac:dyDescent="0.3">
      <c r="F4" s="82"/>
      <c r="G4" s="82"/>
      <c r="H4" s="82"/>
      <c r="I4" s="82"/>
      <c r="J4" s="82"/>
      <c r="K4" s="82"/>
    </row>
    <row r="5" spans="1:259" ht="38.4" customHeight="1" x14ac:dyDescent="0.3">
      <c r="C5" s="81"/>
      <c r="D5" s="81"/>
      <c r="E5" s="81"/>
      <c r="F5" s="81"/>
      <c r="K5" s="81"/>
    </row>
    <row r="6" spans="1:259" ht="38.4" customHeight="1" x14ac:dyDescent="0.3">
      <c r="C6" s="81"/>
      <c r="D6" s="81"/>
      <c r="E6" s="81"/>
      <c r="F6" s="81"/>
      <c r="K6" s="81"/>
    </row>
    <row r="7" spans="1:259" ht="38.4" customHeight="1" x14ac:dyDescent="0.3">
      <c r="C7" s="81"/>
      <c r="D7" s="81"/>
      <c r="E7" s="81"/>
      <c r="F7" s="81"/>
      <c r="K7" s="81"/>
    </row>
    <row r="8" spans="1:259" ht="38.4" customHeight="1" x14ac:dyDescent="0.3">
      <c r="C8" s="81"/>
      <c r="D8" s="81"/>
      <c r="E8" s="81"/>
      <c r="F8" s="81"/>
      <c r="K8" s="81"/>
    </row>
    <row r="9" spans="1:259" ht="38.4" customHeight="1" x14ac:dyDescent="0.3">
      <c r="C9" s="81"/>
      <c r="D9" s="81"/>
      <c r="E9" s="81"/>
      <c r="F9" s="81"/>
      <c r="K9" s="81"/>
    </row>
  </sheetData>
  <autoFilter ref="A1:IY1" xr:uid="{A1051193-A95B-4CFB-A73C-F0184620C81F}">
    <sortState xmlns:xlrd2="http://schemas.microsoft.com/office/spreadsheetml/2017/richdata2" ref="A2:IY5">
      <sortCondition ref="AW1"/>
    </sortState>
  </autoFilter>
  <conditionalFormatting sqref="H1 CW1:GS1 IA1:IB1">
    <cfRule type="cellIs" dxfId="5091" priority="118" operator="greaterThan">
      <formula>0</formula>
    </cfRule>
  </conditionalFormatting>
  <conditionalFormatting sqref="H1 H7:H1048576">
    <cfRule type="cellIs" dxfId="5090" priority="84" stopIfTrue="1" operator="notEqual">
      <formula>""</formula>
    </cfRule>
  </conditionalFormatting>
  <conditionalFormatting sqref="T1:BK1">
    <cfRule type="cellIs" dxfId="5089" priority="121" operator="greaterThan">
      <formula>0</formula>
    </cfRule>
  </conditionalFormatting>
  <conditionalFormatting sqref="BV1:BW1 BV4:BW1048576">
    <cfRule type="cellIs" dxfId="5088" priority="120" operator="equal">
      <formula>"nc"</formula>
    </cfRule>
  </conditionalFormatting>
  <conditionalFormatting sqref="HF1:HG1">
    <cfRule type="cellIs" dxfId="5087" priority="122" operator="greaterThan">
      <formula>0</formula>
    </cfRule>
  </conditionalFormatting>
  <conditionalFormatting sqref="HK1">
    <cfRule type="cellIs" dxfId="5086" priority="119" operator="greaterThan">
      <formula>0</formula>
    </cfRule>
  </conditionalFormatting>
  <conditionalFormatting sqref="HP1:HX1">
    <cfRule type="cellIs" dxfId="5085" priority="96" operator="equal">
      <formula>"PIN"</formula>
    </cfRule>
    <cfRule type="cellIs" dxfId="5084" priority="97" operator="equal">
      <formula>"ORA"</formula>
    </cfRule>
    <cfRule type="cellIs" dxfId="5083" priority="98" operator="equal">
      <formula>"GRA"</formula>
    </cfRule>
    <cfRule type="cellIs" dxfId="5082" priority="99" operator="equal">
      <formula>"PUR"</formula>
    </cfRule>
    <cfRule type="cellIs" dxfId="5081" priority="100" operator="equal">
      <formula>"BRO"</formula>
    </cfRule>
    <cfRule type="cellIs" dxfId="5080" priority="101" operator="equal">
      <formula>"YEL"</formula>
    </cfRule>
    <cfRule type="cellIs" dxfId="5079" priority="102" operator="equal">
      <formula>"BLU"</formula>
    </cfRule>
    <cfRule type="cellIs" dxfId="5078" priority="103" operator="equal">
      <formula>"WHI"</formula>
    </cfRule>
    <cfRule type="cellIs" dxfId="5077" priority="104" operator="equal">
      <formula>"GRE"</formula>
    </cfRule>
    <cfRule type="cellIs" dxfId="5076" priority="105" operator="equal">
      <formula>"RED"</formula>
    </cfRule>
    <cfRule type="cellIs" dxfId="5075" priority="106" operator="equal">
      <formula>"BLA"</formula>
    </cfRule>
  </conditionalFormatting>
  <conditionalFormatting sqref="IC1:IK1">
    <cfRule type="cellIs" dxfId="5074" priority="107" operator="equal">
      <formula>"PIN"</formula>
    </cfRule>
    <cfRule type="cellIs" dxfId="5073" priority="108" operator="equal">
      <formula>"ORA"</formula>
    </cfRule>
    <cfRule type="cellIs" dxfId="5072" priority="109" operator="equal">
      <formula>"GRA"</formula>
    </cfRule>
    <cfRule type="cellIs" dxfId="5071" priority="110" operator="equal">
      <formula>"PUR"</formula>
    </cfRule>
    <cfRule type="cellIs" dxfId="5070" priority="111" operator="equal">
      <formula>"BRO"</formula>
    </cfRule>
    <cfRule type="cellIs" dxfId="5069" priority="112" operator="equal">
      <formula>"YEL"</formula>
    </cfRule>
    <cfRule type="cellIs" dxfId="5068" priority="113" operator="equal">
      <formula>"BLU"</formula>
    </cfRule>
    <cfRule type="cellIs" dxfId="5067" priority="114" operator="equal">
      <formula>"WHI"</formula>
    </cfRule>
    <cfRule type="cellIs" dxfId="5066" priority="115" operator="equal">
      <formula>"GRE"</formula>
    </cfRule>
    <cfRule type="cellIs" dxfId="5065" priority="116" operator="equal">
      <formula>"RED"</formula>
    </cfRule>
    <cfRule type="cellIs" dxfId="5064" priority="117" operator="equal">
      <formula>"BLA"</formula>
    </cfRule>
  </conditionalFormatting>
  <conditionalFormatting sqref="IO1:IW1">
    <cfRule type="cellIs" dxfId="5063" priority="85" operator="equal">
      <formula>"PIN"</formula>
    </cfRule>
    <cfRule type="cellIs" dxfId="5062" priority="86" operator="equal">
      <formula>"ORA"</formula>
    </cfRule>
    <cfRule type="cellIs" dxfId="5061" priority="87" operator="equal">
      <formula>"GRA"</formula>
    </cfRule>
    <cfRule type="cellIs" dxfId="5060" priority="88" operator="equal">
      <formula>"PUR"</formula>
    </cfRule>
    <cfRule type="cellIs" dxfId="5059" priority="89" operator="equal">
      <formula>"BRO"</formula>
    </cfRule>
    <cfRule type="cellIs" dxfId="5058" priority="90" operator="equal">
      <formula>"YEL"</formula>
    </cfRule>
    <cfRule type="cellIs" dxfId="5057" priority="91" operator="equal">
      <formula>"BLU"</formula>
    </cfRule>
    <cfRule type="cellIs" dxfId="5056" priority="92" operator="equal">
      <formula>"WHI"</formula>
    </cfRule>
    <cfRule type="cellIs" dxfId="5055" priority="93" operator="equal">
      <formula>"GRE"</formula>
    </cfRule>
    <cfRule type="cellIs" dxfId="5054" priority="94" operator="equal">
      <formula>"RED"</formula>
    </cfRule>
    <cfRule type="cellIs" dxfId="5053" priority="95" operator="equal">
      <formula>"BLA"</formula>
    </cfRule>
  </conditionalFormatting>
  <conditionalFormatting sqref="H2">
    <cfRule type="cellIs" dxfId="5052" priority="77" stopIfTrue="1" operator="notEqual">
      <formula>""</formula>
    </cfRule>
  </conditionalFormatting>
  <conditionalFormatting sqref="R2 CU2">
    <cfRule type="cellIs" dxfId="5051" priority="79" operator="greaterThan">
      <formula>0</formula>
    </cfRule>
  </conditionalFormatting>
  <conditionalFormatting sqref="T2:AS2 CH2:CS2">
    <cfRule type="cellIs" dxfId="5050" priority="74" stopIfTrue="1" operator="equal">
      <formula>"n"</formula>
    </cfRule>
    <cfRule type="cellIs" dxfId="5049" priority="75" stopIfTrue="1" operator="equal">
      <formula>"y"</formula>
    </cfRule>
    <cfRule type="cellIs" dxfId="5048" priority="76" operator="greaterThan">
      <formula>0</formula>
    </cfRule>
  </conditionalFormatting>
  <conditionalFormatting sqref="AZ2:BB2">
    <cfRule type="expression" dxfId="5047" priority="61">
      <formula>$AT2=0</formula>
    </cfRule>
  </conditionalFormatting>
  <conditionalFormatting sqref="AZ2:BU2">
    <cfRule type="cellIs" dxfId="5046" priority="62" operator="equal">
      <formula>"PIN"</formula>
    </cfRule>
    <cfRule type="cellIs" dxfId="5045" priority="63" operator="equal">
      <formula>"ORA"</formula>
    </cfRule>
    <cfRule type="cellIs" dxfId="5044" priority="64" operator="equal">
      <formula>"GRA"</formula>
    </cfRule>
    <cfRule type="cellIs" dxfId="5043" priority="65" operator="equal">
      <formula>"PUR"</formula>
    </cfRule>
    <cfRule type="cellIs" dxfId="5042" priority="66" operator="equal">
      <formula>"BRO"</formula>
    </cfRule>
    <cfRule type="cellIs" dxfId="5041" priority="67" operator="equal">
      <formula>"YEL"</formula>
    </cfRule>
    <cfRule type="cellIs" dxfId="5040" priority="68" operator="equal">
      <formula>"BLU"</formula>
    </cfRule>
    <cfRule type="cellIs" dxfId="5039" priority="69" operator="equal">
      <formula>"WHI"</formula>
    </cfRule>
    <cfRule type="cellIs" dxfId="5038" priority="70" operator="equal">
      <formula>"GRE"</formula>
    </cfRule>
    <cfRule type="cellIs" dxfId="5037" priority="71" operator="equal">
      <formula>"RED"</formula>
    </cfRule>
    <cfRule type="cellIs" dxfId="5036" priority="72" operator="equal">
      <formula>"BLA"</formula>
    </cfRule>
  </conditionalFormatting>
  <conditionalFormatting sqref="BV2">
    <cfRule type="cellIs" dxfId="5035" priority="78" operator="equal">
      <formula>"nc"</formula>
    </cfRule>
  </conditionalFormatting>
  <conditionalFormatting sqref="CD2:CF2 BZ2:CA2">
    <cfRule type="cellIs" dxfId="5034" priority="73" operator="greaterThan">
      <formula>0</formula>
    </cfRule>
  </conditionalFormatting>
  <conditionalFormatting sqref="IC2:IK2">
    <cfRule type="expression" dxfId="5033" priority="60">
      <formula>$IL2&gt;0</formula>
    </cfRule>
  </conditionalFormatting>
  <conditionalFormatting sqref="BX2:CA2 CD2:CF2">
    <cfRule type="cellIs" dxfId="5032" priority="48" operator="equal">
      <formula>"y"</formula>
    </cfRule>
    <cfRule type="cellIs" dxfId="5031" priority="49" operator="equal">
      <formula>"PIN"</formula>
    </cfRule>
    <cfRule type="cellIs" dxfId="5030" priority="50" operator="equal">
      <formula>"ORA"</formula>
    </cfRule>
    <cfRule type="cellIs" dxfId="5029" priority="51" operator="equal">
      <formula>"GRA"</formula>
    </cfRule>
    <cfRule type="cellIs" dxfId="5028" priority="52" operator="equal">
      <formula>"PUR"</formula>
    </cfRule>
    <cfRule type="cellIs" dxfId="5027" priority="53" operator="equal">
      <formula>"BRO"</formula>
    </cfRule>
    <cfRule type="cellIs" dxfId="5026" priority="54" operator="equal">
      <formula>"YEL"</formula>
    </cfRule>
    <cfRule type="cellIs" dxfId="5025" priority="55" operator="equal">
      <formula>"BLU"</formula>
    </cfRule>
    <cfRule type="cellIs" dxfId="5024" priority="56" operator="equal">
      <formula>"WHI"</formula>
    </cfRule>
    <cfRule type="cellIs" dxfId="5023" priority="57" operator="equal">
      <formula>"GRE"</formula>
    </cfRule>
    <cfRule type="cellIs" dxfId="5022" priority="58" operator="equal">
      <formula>"RED"</formula>
    </cfRule>
    <cfRule type="cellIs" dxfId="5021" priority="59" operator="equal">
      <formula>"BLA"</formula>
    </cfRule>
  </conditionalFormatting>
  <conditionalFormatting sqref="J2">
    <cfRule type="colorScale" priority="80">
      <colorScale>
        <cfvo type="min"/>
        <cfvo type="percentile" val="50"/>
        <cfvo type="max"/>
        <color rgb="FFF8696B"/>
        <color rgb="FFFFEB84"/>
        <color rgb="FF63BE7B"/>
      </colorScale>
    </cfRule>
  </conditionalFormatting>
  <conditionalFormatting sqref="S2">
    <cfRule type="colorScale" priority="81">
      <colorScale>
        <cfvo type="min"/>
        <cfvo type="max"/>
        <color rgb="FFFCFCFF"/>
        <color rgb="FF754BFB"/>
      </colorScale>
    </cfRule>
  </conditionalFormatting>
  <conditionalFormatting sqref="AT2">
    <cfRule type="colorScale" priority="82">
      <colorScale>
        <cfvo type="min"/>
        <cfvo type="max"/>
        <color rgb="FFFCFCFF"/>
        <color theme="8" tint="0.39997558519241921"/>
      </colorScale>
    </cfRule>
  </conditionalFormatting>
  <conditionalFormatting sqref="CG2">
    <cfRule type="colorScale" priority="83">
      <colorScale>
        <cfvo type="min"/>
        <cfvo type="max"/>
        <color rgb="FFFCFCFF"/>
        <color rgb="FF63BE7B"/>
      </colorScale>
    </cfRule>
  </conditionalFormatting>
  <conditionalFormatting sqref="H3">
    <cfRule type="cellIs" dxfId="5020" priority="40" stopIfTrue="1" operator="notEqual">
      <formula>""</formula>
    </cfRule>
  </conditionalFormatting>
  <conditionalFormatting sqref="R3 CU3">
    <cfRule type="cellIs" dxfId="5019" priority="43" operator="greaterThan">
      <formula>0</formula>
    </cfRule>
  </conditionalFormatting>
  <conditionalFormatting sqref="T3:AS3 CH3:CS3">
    <cfRule type="cellIs" dxfId="5018" priority="37" stopIfTrue="1" operator="equal">
      <formula>"n"</formula>
    </cfRule>
    <cfRule type="cellIs" dxfId="5017" priority="38" stopIfTrue="1" operator="equal">
      <formula>"y"</formula>
    </cfRule>
    <cfRule type="cellIs" dxfId="5016" priority="39" operator="greaterThan">
      <formula>0</formula>
    </cfRule>
  </conditionalFormatting>
  <conditionalFormatting sqref="AZ3:BB3">
    <cfRule type="expression" dxfId="5015" priority="24">
      <formula>$AT3=0</formula>
    </cfRule>
  </conditionalFormatting>
  <conditionalFormatting sqref="CD3:CF3 BX3:CA3 AZ3:BU3">
    <cfRule type="cellIs" dxfId="5014" priority="25" operator="equal">
      <formula>"PIN"</formula>
    </cfRule>
    <cfRule type="cellIs" dxfId="5013" priority="26" operator="equal">
      <formula>"ORA"</formula>
    </cfRule>
    <cfRule type="cellIs" dxfId="5012" priority="27" operator="equal">
      <formula>"GRA"</formula>
    </cfRule>
    <cfRule type="cellIs" dxfId="5011" priority="28" operator="equal">
      <formula>"PUR"</formula>
    </cfRule>
    <cfRule type="cellIs" dxfId="5010" priority="29" operator="equal">
      <formula>"BRO"</formula>
    </cfRule>
    <cfRule type="cellIs" dxfId="5009" priority="30" operator="equal">
      <formula>"YEL"</formula>
    </cfRule>
    <cfRule type="cellIs" dxfId="5008" priority="31" operator="equal">
      <formula>"BLU"</formula>
    </cfRule>
    <cfRule type="cellIs" dxfId="5007" priority="32" operator="equal">
      <formula>"WHI"</formula>
    </cfRule>
    <cfRule type="cellIs" dxfId="5006" priority="33" operator="equal">
      <formula>"GRE"</formula>
    </cfRule>
    <cfRule type="cellIs" dxfId="5005" priority="34" operator="equal">
      <formula>"RED"</formula>
    </cfRule>
    <cfRule type="cellIs" dxfId="5004" priority="35" operator="equal">
      <formula>"BLA"</formula>
    </cfRule>
  </conditionalFormatting>
  <conditionalFormatting sqref="BV3">
    <cfRule type="cellIs" dxfId="5003" priority="42" operator="equal">
      <formula>"nc"</formula>
    </cfRule>
  </conditionalFormatting>
  <conditionalFormatting sqref="CD3:CF3 BX3:CA3">
    <cfRule type="cellIs" dxfId="5002" priority="41" operator="equal">
      <formula>"y"</formula>
    </cfRule>
  </conditionalFormatting>
  <conditionalFormatting sqref="CD3:CF3 BZ3:CA3">
    <cfRule type="cellIs" dxfId="5001" priority="36" operator="greaterThan">
      <formula>0</formula>
    </cfRule>
  </conditionalFormatting>
  <conditionalFormatting sqref="IC3:IK3">
    <cfRule type="expression" dxfId="5000" priority="23">
      <formula>$IL3&gt;0</formula>
    </cfRule>
  </conditionalFormatting>
  <conditionalFormatting sqref="IC3">
    <cfRule type="cellIs" dxfId="4999" priority="17" stopIfTrue="1" operator="greaterThan">
      <formula>0</formula>
    </cfRule>
  </conditionalFormatting>
  <conditionalFormatting sqref="ID3">
    <cfRule type="cellIs" dxfId="4998" priority="15" stopIfTrue="1" operator="greaterThan">
      <formula>0</formula>
    </cfRule>
  </conditionalFormatting>
  <conditionalFormatting sqref="II3 IE3:IF3">
    <cfRule type="cellIs" dxfId="4997" priority="22" operator="greaterThan">
      <formula>0</formula>
    </cfRule>
  </conditionalFormatting>
  <conditionalFormatting sqref="II3 IF3">
    <cfRule type="cellIs" dxfId="4996" priority="16" stopIfTrue="1" operator="greaterThan">
      <formula>0</formula>
    </cfRule>
  </conditionalFormatting>
  <conditionalFormatting sqref="IG3">
    <cfRule type="cellIs" dxfId="4995" priority="21" operator="greaterThan">
      <formula>0</formula>
    </cfRule>
  </conditionalFormatting>
  <conditionalFormatting sqref="IH3:II3">
    <cfRule type="cellIs" dxfId="4994" priority="20" operator="greaterThan">
      <formula>0</formula>
    </cfRule>
  </conditionalFormatting>
  <conditionalFormatting sqref="IJ3">
    <cfRule type="cellIs" dxfId="4993" priority="19" operator="greaterThan">
      <formula>0</formula>
    </cfRule>
  </conditionalFormatting>
  <conditionalFormatting sqref="IK3">
    <cfRule type="cellIs" dxfId="4992" priority="18" operator="greaterThan">
      <formula>0</formula>
    </cfRule>
  </conditionalFormatting>
  <conditionalFormatting sqref="IF3">
    <cfRule type="cellIs" dxfId="4991" priority="14" stopIfTrue="1" operator="greaterThan">
      <formula>0</formula>
    </cfRule>
  </conditionalFormatting>
  <conditionalFormatting sqref="IM3">
    <cfRule type="cellIs" dxfId="4990" priority="13" operator="equal">
      <formula>0</formula>
    </cfRule>
  </conditionalFormatting>
  <conditionalFormatting sqref="BX3:CA3 CD3:CF3">
    <cfRule type="cellIs" dxfId="4989" priority="1" operator="equal">
      <formula>"y"</formula>
    </cfRule>
    <cfRule type="cellIs" dxfId="4988" priority="2" operator="equal">
      <formula>"PIN"</formula>
    </cfRule>
    <cfRule type="cellIs" dxfId="4987" priority="3" operator="equal">
      <formula>"ORA"</formula>
    </cfRule>
    <cfRule type="cellIs" dxfId="4986" priority="4" operator="equal">
      <formula>"GRA"</formula>
    </cfRule>
    <cfRule type="cellIs" dxfId="4985" priority="5" operator="equal">
      <formula>"PUR"</formula>
    </cfRule>
    <cfRule type="cellIs" dxfId="4984" priority="6" operator="equal">
      <formula>"BRO"</formula>
    </cfRule>
    <cfRule type="cellIs" dxfId="4983" priority="7" operator="equal">
      <formula>"YEL"</formula>
    </cfRule>
    <cfRule type="cellIs" dxfId="4982" priority="8" operator="equal">
      <formula>"BLU"</formula>
    </cfRule>
    <cfRule type="cellIs" dxfId="4981" priority="9" operator="equal">
      <formula>"WHI"</formula>
    </cfRule>
    <cfRule type="cellIs" dxfId="4980" priority="10" operator="equal">
      <formula>"GRE"</formula>
    </cfRule>
    <cfRule type="cellIs" dxfId="4979" priority="11" operator="equal">
      <formula>"RED"</formula>
    </cfRule>
    <cfRule type="cellIs" dxfId="4978" priority="12" operator="equal">
      <formula>"BLA"</formula>
    </cfRule>
  </conditionalFormatting>
  <conditionalFormatting sqref="AT3">
    <cfRule type="colorScale" priority="44">
      <colorScale>
        <cfvo type="min"/>
        <cfvo type="max"/>
        <color rgb="FFFCFCFF"/>
        <color theme="8" tint="0.39997558519241921"/>
      </colorScale>
    </cfRule>
  </conditionalFormatting>
  <conditionalFormatting sqref="S3">
    <cfRule type="colorScale" priority="45">
      <colorScale>
        <cfvo type="min"/>
        <cfvo type="max"/>
        <color rgb="FFFCFCFF"/>
        <color rgb="FF754BFB"/>
      </colorScale>
    </cfRule>
  </conditionalFormatting>
  <conditionalFormatting sqref="J3">
    <cfRule type="colorScale" priority="46">
      <colorScale>
        <cfvo type="min"/>
        <cfvo type="percentile" val="50"/>
        <cfvo type="max"/>
        <color rgb="FFF8696B"/>
        <color rgb="FFFFEB84"/>
        <color rgb="FF63BE7B"/>
      </colorScale>
    </cfRule>
  </conditionalFormatting>
  <conditionalFormatting sqref="CG3">
    <cfRule type="colorScale" priority="47">
      <colorScale>
        <cfvo type="min"/>
        <cfvo type="max"/>
        <color rgb="FFFCFCFF"/>
        <color rgb="FF63BE7B"/>
      </colorScale>
    </cfRule>
  </conditionalFormatting>
  <hyperlinks>
    <hyperlink ref="A2" r:id="rId1" display="https://fbref.com/en/country/COD/Congo-DR-Football" xr:uid="{37A21811-8B6C-4EC8-B848-B0C6775BD2EF}"/>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43009" r:id="rId5"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43010" r:id="rId6"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43011" r:id="rId7"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BE096D-4B20-4617-BD14-FC7624F43E39}">
  <sheetPr codeName="Sheet54"/>
  <dimension ref="A1:IY6"/>
  <sheetViews>
    <sheetView zoomScale="70" zoomScaleNormal="70" workbookViewId="0">
      <pane xSplit="5" ySplit="1" topLeftCell="F2" activePane="bottomRight" state="frozen"/>
      <selection pane="topRight" activeCell="F1" sqref="F1"/>
      <selection pane="bottomLeft" activeCell="A2" sqref="A2"/>
      <selection pane="bottomRight" activeCell="M3" sqref="M3"/>
    </sheetView>
  </sheetViews>
  <sheetFormatPr defaultRowHeight="38.4" customHeight="1" x14ac:dyDescent="0.3"/>
  <cols>
    <col min="1" max="1" width="52.44140625" style="81" bestFit="1" customWidth="1"/>
    <col min="2" max="2" width="10.109375" style="81" customWidth="1"/>
    <col min="3" max="3" width="7.44140625" style="82" customWidth="1"/>
    <col min="4" max="4" width="4.77734375" style="83" customWidth="1"/>
    <col min="5" max="5" width="4.5546875" style="83" customWidth="1"/>
    <col min="6" max="6" width="5.77734375" style="83" customWidth="1"/>
    <col min="7" max="7" width="7.44140625" style="81" customWidth="1"/>
    <col min="8" max="8" width="11.44140625" style="81" customWidth="1"/>
    <col min="9" max="9" width="10" style="81" customWidth="1"/>
    <col min="10" max="10" width="4.21875" style="81" customWidth="1"/>
    <col min="11" max="11" width="5.6640625" style="83" customWidth="1"/>
    <col min="12" max="12" width="2.88671875" style="83" customWidth="1"/>
    <col min="13" max="13" width="6.44140625" style="83" customWidth="1"/>
    <col min="14" max="14" width="4.5546875" style="83" customWidth="1"/>
    <col min="15" max="15" width="10.5546875" style="84" customWidth="1"/>
    <col min="16" max="16" width="6.88671875" style="83" customWidth="1"/>
    <col min="17" max="17" width="4.77734375" style="83" customWidth="1"/>
    <col min="18" max="18" width="13.109375" style="82" customWidth="1"/>
    <col min="19" max="19" width="6.77734375" style="82" customWidth="1"/>
    <col min="20" max="46" width="8.44140625" style="81" customWidth="1"/>
    <col min="47" max="47" width="24.5546875" style="81" customWidth="1"/>
    <col min="48" max="51" width="16.6640625" style="81" customWidth="1"/>
    <col min="52" max="52" width="6.5546875" style="81" customWidth="1"/>
    <col min="53" max="54" width="5.88671875" style="81" customWidth="1"/>
    <col min="55" max="55" width="1.33203125" style="81" customWidth="1"/>
    <col min="56" max="56" width="7.44140625" style="81" customWidth="1"/>
    <col min="57" max="57" width="2.33203125" style="81" customWidth="1"/>
    <col min="58" max="62" width="6.109375" style="81" customWidth="1"/>
    <col min="63" max="63" width="2.33203125" style="81" customWidth="1"/>
    <col min="64" max="64" width="7" style="81" bestFit="1" customWidth="1"/>
    <col min="65" max="65" width="6.44140625" style="81" bestFit="1" customWidth="1"/>
    <col min="66" max="66" width="7.109375" style="81" bestFit="1" customWidth="1"/>
    <col min="67" max="71" width="6.44140625" style="81" bestFit="1" customWidth="1"/>
    <col min="72" max="73" width="6.44140625" style="81" customWidth="1"/>
    <col min="74" max="75" width="13.44140625" style="81" customWidth="1"/>
    <col min="76" max="84" width="14.6640625" style="81" customWidth="1"/>
    <col min="85" max="85" width="6.44140625" style="81" customWidth="1"/>
    <col min="86" max="87" width="11.6640625" style="81" bestFit="1" customWidth="1"/>
    <col min="88" max="88" width="11.6640625" style="81" customWidth="1"/>
    <col min="89" max="89" width="12.77734375" style="81" bestFit="1" customWidth="1"/>
    <col min="90" max="90" width="16.44140625" style="82" bestFit="1" customWidth="1"/>
    <col min="91" max="92" width="14.88671875" style="82" bestFit="1" customWidth="1"/>
    <col min="93" max="93" width="16" style="82" bestFit="1" customWidth="1"/>
    <col min="94" max="97" width="7.77734375" style="81" customWidth="1"/>
    <col min="98" max="98" width="33.21875" style="81" customWidth="1"/>
    <col min="99" max="99" width="18" style="81" customWidth="1"/>
    <col min="100" max="100" width="75.6640625" style="81" customWidth="1"/>
    <col min="101" max="125" width="33" style="81" customWidth="1"/>
    <col min="126" max="126" width="8.88671875" style="81"/>
    <col min="127" max="128" width="9.44140625" style="81" bestFit="1" customWidth="1"/>
    <col min="129" max="129" width="10.77734375" style="81" bestFit="1" customWidth="1"/>
    <col min="130" max="134" width="10.77734375" style="81" customWidth="1"/>
    <col min="135" max="135" width="10.109375" style="81" bestFit="1" customWidth="1"/>
    <col min="136" max="136" width="7.77734375" style="81" bestFit="1" customWidth="1"/>
    <col min="137" max="137" width="7.77734375" style="81" customWidth="1"/>
    <col min="138" max="138" width="9" style="81" bestFit="1" customWidth="1"/>
    <col min="139" max="139" width="11.33203125" style="81" bestFit="1" customWidth="1"/>
    <col min="140" max="140" width="9.109375" style="81" bestFit="1" customWidth="1"/>
    <col min="141" max="141" width="9" style="81" bestFit="1" customWidth="1"/>
    <col min="142" max="142" width="12" style="81" bestFit="1" customWidth="1"/>
    <col min="143" max="166" width="12" style="81" customWidth="1"/>
    <col min="167" max="167" width="17.21875" style="81" customWidth="1"/>
    <col min="168" max="191" width="12" style="81" customWidth="1"/>
    <col min="192" max="192" width="8.5546875" style="81" bestFit="1" customWidth="1"/>
    <col min="193" max="193" width="8.5546875" style="81" customWidth="1"/>
    <col min="194" max="194" width="7.109375" style="81" bestFit="1" customWidth="1"/>
    <col min="195" max="195" width="7.5546875" style="81" bestFit="1" customWidth="1"/>
    <col min="196" max="196" width="8.5546875" style="81" bestFit="1" customWidth="1"/>
    <col min="197" max="200" width="8.5546875" style="81" customWidth="1"/>
    <col min="201" max="201" width="188.88671875" style="81" customWidth="1"/>
    <col min="202" max="202" width="9.5546875" style="81" bestFit="1" customWidth="1"/>
    <col min="203" max="203" width="10.44140625" style="81" bestFit="1" customWidth="1"/>
    <col min="204" max="204" width="11.109375" style="81" bestFit="1" customWidth="1"/>
    <col min="205" max="205" width="10.44140625" style="81" bestFit="1" customWidth="1"/>
    <col min="206" max="210" width="10.44140625" style="81" customWidth="1"/>
    <col min="211" max="211" width="45.44140625" style="81" customWidth="1"/>
    <col min="212" max="212" width="47.5546875" style="81" bestFit="1" customWidth="1"/>
    <col min="213" max="213" width="9.33203125" style="85" customWidth="1"/>
    <col min="214" max="214" width="119.5546875" style="81" customWidth="1"/>
    <col min="215" max="215" width="69.6640625" style="81" customWidth="1"/>
    <col min="216" max="218" width="8.88671875" style="81"/>
    <col min="219" max="219" width="37.109375" style="81" customWidth="1"/>
    <col min="220" max="220" width="16.33203125" style="81" customWidth="1"/>
    <col min="221" max="222" width="8.88671875" style="81"/>
    <col min="223" max="223" width="10.109375" style="81" bestFit="1" customWidth="1"/>
    <col min="224" max="232" width="10.88671875" style="81" customWidth="1"/>
    <col min="233" max="234" width="30.77734375" style="81" customWidth="1"/>
    <col min="235" max="235" width="5.109375" style="81" customWidth="1"/>
    <col min="236" max="236" width="3" style="81" customWidth="1"/>
    <col min="237" max="245" width="6.77734375" style="86" customWidth="1"/>
    <col min="246" max="247" width="8.88671875" style="81"/>
    <col min="248" max="248" width="61.5546875" style="81" customWidth="1"/>
    <col min="249" max="253" width="8.88671875" style="81"/>
    <col min="254" max="254" width="9" style="81" customWidth="1"/>
    <col min="255" max="16384" width="8.88671875" style="8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652</v>
      </c>
      <c r="B2" s="40" t="e" vm="34">
        <v>#VALUE!</v>
      </c>
      <c r="C2" s="41">
        <v>1</v>
      </c>
      <c r="D2" s="42" t="s">
        <v>653</v>
      </c>
      <c r="E2" s="43" t="s">
        <v>654</v>
      </c>
      <c r="F2" s="44" t="s">
        <v>163</v>
      </c>
      <c r="G2" s="45">
        <f>COUNTIF($A$1:$A$8364,A2)</f>
        <v>1</v>
      </c>
      <c r="H2" s="46"/>
      <c r="I2" s="47" t="s">
        <v>655</v>
      </c>
      <c r="J2" s="48" t="str">
        <f>""</f>
        <v/>
      </c>
      <c r="K2" s="49">
        <v>112716598</v>
      </c>
      <c r="L2" s="50">
        <v>14900000</v>
      </c>
      <c r="M2" s="50" t="s">
        <v>1110</v>
      </c>
      <c r="N2" s="51" t="s">
        <v>180</v>
      </c>
      <c r="O2" s="52" t="s">
        <v>416</v>
      </c>
      <c r="P2" s="53" t="s">
        <v>656</v>
      </c>
      <c r="Q2" s="54">
        <v>1</v>
      </c>
      <c r="R2" s="55" t="s">
        <v>180</v>
      </c>
      <c r="S2" s="56">
        <v>3</v>
      </c>
      <c r="T2" s="57" t="s">
        <v>164</v>
      </c>
      <c r="U2" s="58" t="s">
        <v>164</v>
      </c>
      <c r="V2" s="58" t="s">
        <v>167</v>
      </c>
      <c r="W2" s="58" t="s">
        <v>164</v>
      </c>
      <c r="X2" s="58" t="s">
        <v>164</v>
      </c>
      <c r="Y2" s="58" t="s">
        <v>167</v>
      </c>
      <c r="Z2" s="58" t="s">
        <v>167</v>
      </c>
      <c r="AA2" s="58" t="s">
        <v>164</v>
      </c>
      <c r="AB2" s="58" t="s">
        <v>167</v>
      </c>
      <c r="AC2" s="58" t="s">
        <v>164</v>
      </c>
      <c r="AD2" s="58" t="s">
        <v>164</v>
      </c>
      <c r="AE2" s="58" t="s">
        <v>164</v>
      </c>
      <c r="AF2" s="59" t="s">
        <v>164</v>
      </c>
      <c r="AG2" s="59" t="s">
        <v>164</v>
      </c>
      <c r="AH2" s="59" t="s">
        <v>167</v>
      </c>
      <c r="AI2" s="59" t="s">
        <v>164</v>
      </c>
      <c r="AJ2" s="59" t="s">
        <v>164</v>
      </c>
      <c r="AK2" s="59" t="s">
        <v>164</v>
      </c>
      <c r="AL2" s="59" t="s">
        <v>164</v>
      </c>
      <c r="AM2" s="59" t="s">
        <v>164</v>
      </c>
      <c r="AN2" s="59" t="s">
        <v>164</v>
      </c>
      <c r="AO2" s="59" t="s">
        <v>164</v>
      </c>
      <c r="AP2" s="59" t="s">
        <v>164</v>
      </c>
      <c r="AQ2" s="59" t="s">
        <v>164</v>
      </c>
      <c r="AR2" s="59" t="s">
        <v>164</v>
      </c>
      <c r="AS2" s="59" t="s">
        <v>164</v>
      </c>
      <c r="AT2" s="60">
        <v>0</v>
      </c>
      <c r="AU2" s="59"/>
      <c r="AV2" s="59" t="str">
        <f>IF(LEFT(A2,1)="[",LEFT(A2,5)&amp;AU2&amp;A2,"")</f>
        <v/>
      </c>
      <c r="AW2" s="59" t="str">
        <f>C2&amp;H2&amp;A2</f>
        <v>1Egypt</v>
      </c>
      <c r="AX2" s="61" t="str">
        <f>_xlfn.TEXTJOIN(";",TRUE,AU2:AW2)</f>
        <v>1Egypt</v>
      </c>
      <c r="AY2" s="61"/>
      <c r="AZ2" s="62"/>
      <c r="BA2" s="62"/>
      <c r="BB2" s="62"/>
      <c r="BC2" s="63"/>
      <c r="BD2" s="64" t="s">
        <v>169</v>
      </c>
      <c r="BE2" s="47"/>
      <c r="BF2" s="64" t="s">
        <v>154</v>
      </c>
      <c r="BG2" s="64" t="s">
        <v>159</v>
      </c>
      <c r="BH2" s="64" t="s">
        <v>151</v>
      </c>
      <c r="BI2" s="64"/>
      <c r="BJ2" s="64"/>
      <c r="BK2" s="47"/>
      <c r="BL2" s="64" t="s">
        <v>154</v>
      </c>
      <c r="BM2" s="64" t="s">
        <v>159</v>
      </c>
      <c r="BN2" s="64" t="s">
        <v>151</v>
      </c>
      <c r="BO2" s="64" t="s">
        <v>155</v>
      </c>
      <c r="BP2" s="64"/>
      <c r="BQ2" s="64"/>
      <c r="BR2" s="64"/>
      <c r="BS2" s="64"/>
      <c r="BT2" s="64"/>
      <c r="BU2" s="65"/>
      <c r="BV2" s="66" t="s">
        <v>164</v>
      </c>
      <c r="BW2" s="66" t="s">
        <v>166</v>
      </c>
      <c r="BX2" s="47"/>
      <c r="CB2" s="6" t="s">
        <v>135</v>
      </c>
      <c r="CC2" s="6"/>
      <c r="CD2" s="67">
        <v>0</v>
      </c>
      <c r="CE2" s="67">
        <v>0</v>
      </c>
      <c r="CF2" s="67" t="e">
        <v>#REF!</v>
      </c>
      <c r="CG2" s="68" cm="1">
        <f t="array" ref="CG2">SUMPRODUCT(--(LEN(TRIM(BL2:BT2))&gt;0))</f>
        <v>4</v>
      </c>
      <c r="CH2" s="59" t="str">
        <f>IF(CG2=2,"y","n")</f>
        <v>n</v>
      </c>
      <c r="CI2" s="59" t="str">
        <f>IF(CG2=3,"y","n")</f>
        <v>n</v>
      </c>
      <c r="CJ2" s="59" t="str">
        <f>IF(CG2=4,"y","n")</f>
        <v>y</v>
      </c>
      <c r="CK2" s="59" t="str">
        <f>IF(CG2&gt;4,"y","n")</f>
        <v>n</v>
      </c>
      <c r="CL2" s="59" t="str">
        <f>IF(S2=0,"y","n")</f>
        <v>n</v>
      </c>
      <c r="CM2" s="59" t="str">
        <f>IF(S2=2,"y","n")</f>
        <v>n</v>
      </c>
      <c r="CN2" s="59" t="str">
        <f>IF(S2=3,"y","n")</f>
        <v>y</v>
      </c>
      <c r="CO2" s="59" t="str">
        <f>IF(S2&gt;=4,"y","n")</f>
        <v>n</v>
      </c>
      <c r="CP2" s="59" t="str">
        <f>IF(AT2=0,"y","n")</f>
        <v>y</v>
      </c>
      <c r="CQ2" s="59" t="str">
        <f>IF(AT2=1,"y","n")</f>
        <v>n</v>
      </c>
      <c r="CR2" s="59" t="str">
        <f>IF(AT2=2,"y","n")</f>
        <v>n</v>
      </c>
      <c r="CS2" s="59" t="str">
        <f>IF(AT2&gt;=3,"y","n")</f>
        <v>n</v>
      </c>
      <c r="CT2" s="69" t="str">
        <f>CHAR(34)&amp;A2&amp;CHAR(34)</f>
        <v>"Egypt"</v>
      </c>
      <c r="CU2" s="70" t="str">
        <f>CHAR(34)&amp;"rgn_"&amp;R2&amp;CHAR(34)</f>
        <v>"rgn_Africa"</v>
      </c>
      <c r="CV2" s="48" t="str">
        <f>CHAR(34)&amp;D2&amp;CHAR(34)</f>
        <v>"https://i.ibb.co/grvKyVf/Egypt-Flag.png"</v>
      </c>
      <c r="CW2" s="48" t="str">
        <f>IF(CH2="y",CHAR(34)&amp;CH$1&amp;CHAR(34)&amp;",","")</f>
        <v/>
      </c>
      <c r="CX2" s="48" t="str">
        <f>IF(CI2="y",CHAR(34)&amp;CI$1&amp;CHAR(34)&amp;",","")</f>
        <v/>
      </c>
      <c r="CY2" s="48" t="str">
        <f>IF(CJ2="y",CHAR(34)&amp;CJ$1&amp;CHAR(34)&amp;",","")</f>
        <v>"4Color",</v>
      </c>
      <c r="CZ2" s="48" t="str">
        <f>IF(CK2="y",CHAR(34)&amp;CK$1&amp;CHAR(34)&amp;",","")</f>
        <v/>
      </c>
      <c r="DA2" s="48" t="str">
        <f>IF(Q2&gt;1,CHAR(34)&amp;"words2"&amp;CHAR(34)&amp;",","")</f>
        <v/>
      </c>
      <c r="DB2" s="48" t="str">
        <f>IF(Q2&gt;2,CHAR(34)&amp;"words3"&amp;CHAR(34)&amp;",","")</f>
        <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"lets05",</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"startE",</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"with_y",</v>
      </c>
      <c r="DK2" s="48" t="str">
        <f>IFERROR(IF(SEARCH("z",A2)&gt;0,CHAR(34)&amp;"with_z"&amp;CHAR(34)&amp;",",""),"")</f>
        <v/>
      </c>
      <c r="DL2" s="48" t="str">
        <f>IF(CG2=2, CHAR(34) &amp; _xlfn.TEXTJOIN("", TRUE, _xlfn._xlws.SORT(HP2:HX2)) &amp; CHAR(34) &amp; ",", "")</f>
        <v/>
      </c>
      <c r="DM2" s="48" t="str" cm="1">
        <f t="array" ref="DM2">IF(CG2=3,CHAR(34) &amp; _xlfn.TEXTJOIN("", TRUE, RIGHT(HP2:HX2, 2)) &amp; CHAR(34) &amp; ",", "")</f>
        <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
      </c>
      <c r="DS2" s="6" t="str">
        <f>IF(W2="y",IF(AND(V2="n",BY2&lt;&gt;"y"),CHAR(34)&amp;"allver"&amp;CHAR(34)&amp;",",""),"")</f>
        <v/>
      </c>
      <c r="DT2" s="6" t="str">
        <f>IF(V2="y",IF(AND(W2="n",BY2&lt;&gt;"y"),CHAR(34)&amp;"allhor"&amp;CHAR(34)&amp;",",""),"")</f>
        <v>"allhor",</v>
      </c>
      <c r="DU2" s="6" t="str">
        <f>IF(BY2="y",IF(AND(W2="n",V2="n"),CHAR(34)&amp;"alldia"&amp;CHAR(34)&amp;",",""),"")</f>
        <v/>
      </c>
      <c r="DV2" s="48" t="str">
        <f>IF(IA2&lt;&gt;"",(IF(IA2="y",CHAR(34)&amp;"largec"&amp;CHAR(34)&amp;",",CHAR(34)&amp;"smallc"&amp;CHAR(34)&amp;",")),"")</f>
        <v/>
      </c>
      <c r="DW2" s="48" t="str">
        <f>IF(CL2="y",CHAR(34)&amp;CL$1&amp;CHAR(34)&amp;",","")</f>
        <v/>
      </c>
      <c r="DX2" s="48" t="str">
        <f>IF(CM2="y",CHAR(34)&amp;CM$1&amp;CHAR(34)&amp;",","")</f>
        <v/>
      </c>
      <c r="DY2" s="48" t="str">
        <f>IF(CN2="y",CHAR(34)&amp;CN$1&amp;CHAR(34)&amp;",","")</f>
        <v>"3Bands",</v>
      </c>
      <c r="DZ2" s="48" t="str">
        <f>IF(CO2="y",CHAR(34)&amp;CO$1&amp;CHAR(34)&amp;",","")</f>
        <v/>
      </c>
      <c r="EA2" s="48" t="str">
        <f>IF(T2="y",CHAR(34)&amp;T$1&amp;CHAR(34)&amp;",","")</f>
        <v/>
      </c>
      <c r="EB2" s="48" t="str">
        <f>IF(U2="y",CHAR(34)&amp;U$1&amp;CHAR(34)&amp;",","")</f>
        <v/>
      </c>
      <c r="EC2" s="48" t="str">
        <f>IF(V2="y",CHAR(34)&amp;V$1&amp;CHAR(34)&amp;",","")</f>
        <v>"Horizo",</v>
      </c>
      <c r="ED2" s="48" t="str">
        <f>IF(W2="y",CHAR(34)&amp;W$1&amp;CHAR(34)&amp;",","")</f>
        <v/>
      </c>
      <c r="EE2" s="48" t="str">
        <f>IF(X2="y",CHAR(34)&amp;X$1&amp;CHAR(34)&amp;",","")</f>
        <v/>
      </c>
      <c r="EF2" s="48" t="str">
        <f>IF(AND(Y2&lt;&gt;"n",Y2&lt;&gt;""),CHAR(34)&amp;Y$1&amp;CHAR(34)&amp;",","")</f>
        <v>"Animal",</v>
      </c>
      <c r="EG2" s="48" t="str">
        <f>IF(Z2="y",CHAR(34)&amp;Z$1&amp;CHAR(34)&amp;",","")</f>
        <v>"Bird",</v>
      </c>
      <c r="EH2" s="48" t="str">
        <f>IF(AA2="y",CHAR(34)&amp;AA$1&amp;CHAR(34)&amp;",","")</f>
        <v/>
      </c>
      <c r="EI2" s="48" t="str">
        <f>IF(AB2="y",CHAR(34)&amp;AB$1&amp;CHAR(34)&amp;",","")</f>
        <v>"Texted",</v>
      </c>
      <c r="EJ2" s="48" t="str">
        <f>IF(AC2="y",CHAR(34)&amp;AC$1&amp;CHAR(34)&amp;",","")</f>
        <v/>
      </c>
      <c r="EK2" s="48" t="str">
        <f>IF(AD2="y",CHAR(34)&amp;AD$1&amp;CHAR(34)&amp;",","")</f>
        <v/>
      </c>
      <c r="EL2" s="48" t="str">
        <f>IF(AE2="y",CHAR(34)&amp;AE$1&amp;CHAR(34)&amp;",","")</f>
        <v/>
      </c>
      <c r="EM2" s="48" t="str">
        <f>IF(AF2="y",CHAR(34)&amp;AF$1&amp;CHAR(34)&amp;",","")</f>
        <v/>
      </c>
      <c r="EN2" s="48" t="str">
        <f>IF(AG2="y",CHAR(34)&amp;AG$1&amp;CHAR(34)&amp;",","")</f>
        <v/>
      </c>
      <c r="EO2" s="48" t="str">
        <f>IF(AH2="y",CHAR(34)&amp;AH$1&amp;CHAR(34)&amp;",","")</f>
        <v>"Center",</v>
      </c>
      <c r="EP2" s="48" t="str">
        <f>IF(AI2="y",CHAR(34)&amp;AI$1&amp;CHAR(34)&amp;",","")</f>
        <v/>
      </c>
      <c r="EQ2" s="48" t="str">
        <f>IF(AJ2="y",CHAR(34)&amp;AJ$1&amp;CHAR(34)&amp;",","")</f>
        <v/>
      </c>
      <c r="ER2" s="48" t="str">
        <f>IF(AK2="y",CHAR(34)&amp;AK$1&amp;CHAR(34)&amp;",","")</f>
        <v/>
      </c>
      <c r="ES2" s="48" t="str">
        <f>IF(AL2="y",CHAR(34)&amp;AL$1&amp;CHAR(34)&amp;",","")</f>
        <v/>
      </c>
      <c r="ET2" s="48" t="str">
        <f>IF(AM2="y",CHAR(34)&amp;AM$1&amp;CHAR(34)&amp;",","")</f>
        <v/>
      </c>
      <c r="EU2" s="48" t="str">
        <f>IF(AN2="y",CHAR(34)&amp;AN$1&amp;CHAR(34)&amp;",","")</f>
        <v/>
      </c>
      <c r="EV2" s="48" t="str">
        <f>IF(AO2="y",CHAR(34)&amp;AO$1&amp;CHAR(34)&amp;",","")</f>
        <v/>
      </c>
      <c r="EW2" s="48" t="str">
        <f>IF(AP2="y",CHAR(34)&amp;AP$1&amp;CHAR(34)&amp;",","")</f>
        <v/>
      </c>
      <c r="EX2" s="48" t="str">
        <f>IF(AQ2="y",CHAR(34)&amp;AQ$1&amp;CHAR(34)&amp;",","")</f>
        <v/>
      </c>
      <c r="EY2" s="48" t="str">
        <f>IF(AR2="y",CHAR(34)&amp;AR$1&amp;CHAR(34)&amp;",","")</f>
        <v/>
      </c>
      <c r="EZ2" s="48" t="str">
        <f>IF(AS2="y",CHAR(34)&amp;AS$1&amp;CHAR(34)&amp;",","")</f>
        <v/>
      </c>
      <c r="FA2" s="48" t="str">
        <f>IF(AT2&gt;0,CHAR(34)&amp;"sta"&amp;AZ2&amp;CHAR(34)&amp;",","")</f>
        <v/>
      </c>
      <c r="FB2" s="48" t="str">
        <f>IF(AND(AT2&gt;0,BA2&lt;&gt;""),CHAR(34)&amp;"sta"&amp;BA2&amp;CHAR(34)&amp;",","")</f>
        <v/>
      </c>
      <c r="FC2" s="48" t="str">
        <f>IF(AND(AT2&gt;0,BB2&lt;&gt;""),CHAR(34)&amp;"sta"&amp;BB2&amp;CHAR(34)&amp;",","")</f>
        <v/>
      </c>
      <c r="FD2" s="48" t="str">
        <f>IF(BV2="n",CHAR(34)&amp;"tcWHYE"&amp;CHAR(34)&amp;",",IF(BV2="y",CHAR(34)&amp;FD$1&amp;CHAR(34)&amp;",",""))</f>
        <v>"tcWHYE",</v>
      </c>
      <c r="FE2" s="48" t="str">
        <f>IF(COUNTIF(BL2:BT2,"BLU")=0,CHAR(34)&amp;"NO_BLU"&amp;CHAR(34)&amp;",", "")</f>
        <v>"NO_BLU",</v>
      </c>
      <c r="FF2" s="48" t="str">
        <f>IF(COUNTIF(BL2:BT2,"WHI")=0,CHAR(34)&amp;"NO_WHI"&amp;CHAR(34)&amp;",", "")</f>
        <v/>
      </c>
      <c r="FG2" s="48" t="str">
        <f>IF(COUNTIF(BL2:BT2,"RED")=0,CHAR(34)&amp;"NO_RED"&amp;CHAR(34)&amp;",", "")</f>
        <v/>
      </c>
      <c r="FH2" s="48" t="str">
        <f>IF(COUNTIF(BL2:BS2,"GRE")=0,CHAR(34)&amp;"NO_GRE"&amp;CHAR(34)&amp;",", "")</f>
        <v>"NO_GRE",</v>
      </c>
      <c r="FI2" s="48" t="str">
        <f>IF(COUNTIF(BL2:BT2,"YEL")=0,CHAR(34)&amp;"NO_YEL"&amp;CHAR(34)&amp;",", "")</f>
        <v/>
      </c>
      <c r="FJ2" s="48" t="str">
        <f>IF(COUNTIF(BL2:BT2,"BLA")=0,CHAR(34)&amp;"NO_BLA"&amp;CHAR(34)&amp;",", "")</f>
        <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
      </c>
      <c r="FP2" s="48" t="str">
        <f>IF(AND(FF2&lt;&gt;"",FF2&lt;&gt;""),CHAR(34)&amp;"WHRENO"&amp;CHAR(34)&amp;",","")</f>
        <v/>
      </c>
      <c r="FQ2" s="48" t="str">
        <f>IF(LEN(BF2)=3,CHAR(34)&amp;"001"&amp;BF2&amp;CHAR(34)&amp;",","")</f>
        <v>"001RED",</v>
      </c>
      <c r="FR2" s="48" t="str">
        <f>IF(LEN(BG2)=3,CHAR(34)&amp;"002"&amp;BG2&amp;CHAR(34)&amp;",","")</f>
        <v>"002WHI",</v>
      </c>
      <c r="FS2" s="48" t="str">
        <f>IF(LEN(BH2)=3,CHAR(34)&amp;"003"&amp;BH2&amp;CHAR(34)&amp;",","")</f>
        <v>"003BLA",</v>
      </c>
      <c r="FT2" s="48" t="str">
        <f>CHAR(34)&amp;"myr"&amp;BD2&amp;CHAR(34)&amp;","</f>
        <v>"myrEQ",</v>
      </c>
      <c r="FU2" s="48" t="str">
        <f>IF(AY2="y",CHAR(34)&amp;"island"&amp;CHAR(34)&amp;",","")</f>
        <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"arabic",</v>
      </c>
      <c r="FZ2" s="48" t="str">
        <f>IFERROR(IF(SEARCH("English",CB2)&gt;0,CHAR(34)&amp;"englis"&amp;CHAR(34)&amp;",",""),"")</f>
        <v/>
      </c>
      <c r="GA2" s="48" t="str">
        <f>IFERROR(IF(SEARCH("French",CB2)&gt;0,CHAR(34)&amp;"french"&amp;CHAR(34)&amp;",",""),"")</f>
        <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"NoStar",</v>
      </c>
      <c r="GK2" s="48" t="str">
        <f>IF(GJ2="",CHAR(34)&amp;"HasSta"&amp;CHAR(34)&amp;",","")</f>
        <v/>
      </c>
      <c r="GL2" s="48" t="str">
        <f>IF(CQ2="y",CHAR(34)&amp;CQ$1&amp;CHAR(34)&amp;",","")</f>
        <v/>
      </c>
      <c r="GM2" s="48" t="str">
        <f>IF(CR2="y",CHAR(34)&amp;CR$1&amp;CHAR(34)&amp;",","")</f>
        <v/>
      </c>
      <c r="GN2" s="48" t="str">
        <f>IF(CS2="y",CHAR(34)&amp;CS$1&amp;CHAR(34)&amp;",","")</f>
        <v/>
      </c>
      <c r="GP2" s="48" t="str">
        <f>CHAR(34)&amp;AU2&amp;CHAR(34)</f>
        <v>""</v>
      </c>
      <c r="GS2" s="48" t="str">
        <f>SUBSTITUTE("["&amp;_xlfn.CONCAT(CW2:GN2)&amp;"]",",]","]")</f>
        <v>["4Color","lets05","startE","with_y","year19","allhor","3Bands","Horizo","Animal","Bird","Texted","Center","tcWHYE","NO_BLU","NO_GRE","001RED","002WHI","003BLA","myrEQ","arabic","NoStar"]</v>
      </c>
      <c r="GT2" s="48" t="str">
        <f>IF(BL2&lt;&gt;"",CHAR(34)&amp;"cl_"&amp;BL2&amp;CHAR(34)&amp;",","")</f>
        <v>"cl_RED",</v>
      </c>
      <c r="GU2" s="48" t="str">
        <f>IF(BM2&lt;&gt;"",CHAR(34)&amp;"cl_"&amp;BM2&amp;CHAR(34)&amp;",","")</f>
        <v>"cl_WHI",</v>
      </c>
      <c r="GV2" s="48" t="str">
        <f>IF(BN2&lt;&gt;"",CHAR(34)&amp;"cl_"&amp;BN2&amp;CHAR(34)&amp;",","")</f>
        <v>"cl_BLA",</v>
      </c>
      <c r="GW2" s="48" t="str">
        <f>IF(BO2&lt;&gt;"",CHAR(34)&amp;"cl_"&amp;BO2&amp;CHAR(34)&amp;",","")</f>
        <v>"cl_YEL",</v>
      </c>
      <c r="GX2" s="48" t="str">
        <f>IF(BP2&lt;&gt;"",CHAR(34)&amp;"cl_"&amp;BP2&amp;CHAR(34)&amp;",","")</f>
        <v/>
      </c>
      <c r="GY2" s="48" t="str">
        <f>IF(BQ2&lt;&gt;"",CHAR(34)&amp;"cl_"&amp;BQ2&amp;CHAR(34)&amp;",","")</f>
        <v/>
      </c>
      <c r="GZ2" s="48" t="str">
        <f>IF(BR2&lt;&gt;"",CHAR(34)&amp;"cl_"&amp;BR2&amp;CHAR(34)&amp;",","")</f>
        <v/>
      </c>
      <c r="HA2" s="48" t="str">
        <f>IF(BS2&lt;&gt;"",CHAR(34)&amp;"cl_"&amp;BS2&amp;CHAR(34)&amp;",","")</f>
        <v/>
      </c>
      <c r="HB2" s="48" t="str">
        <f>IF(BT2&lt;&gt;"",CHAR(34)&amp;"cl_"&amp;BT2&amp;CHAR(34)&amp;",","")</f>
        <v/>
      </c>
      <c r="HC2" s="48" t="str">
        <f>SUBSTITUTE("["&amp;_xlfn.CONCAT(GT2:HB2)&amp;"]",",]","]")</f>
        <v>["cl_RED","cl_WHI","cl_BLA","cl_YEL"]</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{couname:"Egypt",year:"1984 ",region:"rgn_Africa",Colors:["cl_RED","cl_WHI","cl_BLA","cl_YEL"],Items:["4Color","lets05","startE","with_y","year19","allhor","3Bands","Horizo","Animal","Bird","Texted","Center","tcWHYE","NO_BLU","NO_GRE","001RED","002WHI","003BLA","myrEQ","arabic","NoStar"],Flag:"https://i.ibb.co/grvKyVf/Egypt-Flag.png",HDFlag:"https://upload.wikimedia.org/wikipedia/commons/thumb/f/fe/Flag_of_Egypt.svg/2560px-Flag_of_Egypt.svg.png",type:"", describe: "\n\n • Red: Represents the struggle for freedom against oppression.\n\n • White: Symbolizes the revolution of 1952, which led to the establishment of the Republic of Egypt.\n\n • Black: Signifies the end of the oppression of the people.\n\n • Golden Eagle: Represents the strength and unity of the Egyptian people.", isnew:".", links: "https://en.wikipedia.org/wiki/Flag_of_Egypt"},</v>
      </c>
      <c r="HG2" s="73" t="str">
        <f>"{couname:"&amp;CT2&amp;(IF(HK2&lt;&gt;"",",subtype:"&amp;CHAR(34)&amp;HK2&amp;CHAR(34),""))&amp;",year:"&amp;HJ2&amp;",region:"&amp;CU2&amp;",Colors:"&amp;HC2&amp;",Items:"&amp;GS2&amp;",Flag:"&amp;CV2&amp;",HDFlag:"&amp;CHAR(34)&amp;E2&amp;CHAR(34)&amp;",type:"&amp;GP2&amp;", describe: "&amp;HI2&amp;", links: "&amp;HL2&amp;"},"</f>
        <v>{couname:"Egypt",year:"1984 ",region:"rgn_Africa",Colors:["cl_RED","cl_WHI","cl_BLA","cl_YEL"],Items:["4Color","lets05","startE","with_y","year19","allhor","3Bands","Horizo","Animal","Bird","Texted","Center","tcWHYE","NO_BLU","NO_GRE","001RED","002WHI","003BLA","myrEQ","arabic","NoStar"],Flag:"https://i.ibb.co/grvKyVf/Egypt-Flag.png",HDFlag:"https://upload.wikimedia.org/wikipedia/commons/thumb/f/fe/Flag_of_Egypt.svg/2560px-Flag_of_Egypt.svg.png",type:"", describe: "\n\n • Red: Represents the struggle for freedom against oppression.\n\n • White: Symbolizes the revolution of 1952, which led to the establishment of the Republic of Egypt.\n\n • Black: Signifies the end of the oppression of the people.\n\n • Golden Eagle: Represents the strength and unity of the Egyptian people.", links: "https://en.wikipedia.org/wiki/Flag_of_Egypt"},</v>
      </c>
      <c r="HH2" s="48" t="str">
        <f>IF(P2&lt;&gt;"",CHAR(34)&amp;"\n"&amp;P2&amp;CHAR(34),CHAR(34)&amp;CHAR(34))</f>
        <v>"\n\n • Red: Represents the struggle for freedom against oppression.\n\n • White: Symbolizes the revolution of 1952, which led to the establishment of the Republic of Egypt.\n\n • Black: Signifies the end of the oppression of the people.\n\n • Golden Eagle: Represents the strength and unity of the Egyptian people."</v>
      </c>
      <c r="HI2" s="48" t="str">
        <f>IF(J2=0,CHAR(34)&amp;CHAR(34),HH2)</f>
        <v>"\n\n • Red: Represents the struggle for freedom against oppression.\n\n • White: Symbolizes the revolution of 1952, which led to the establishment of the Republic of Egypt.\n\n • Black: Signifies the end of the oppression of the people.\n\n • Golden Eagle: Represents the strength and unity of the Egyptian people."</v>
      </c>
      <c r="HJ2" s="48" t="str">
        <f>CHAR(34)&amp;O2&amp;CHAR(34)</f>
        <v>"1984 "</v>
      </c>
      <c r="HL2" s="48" t="str">
        <f>CHAR(34)&amp;I2&amp;CHAR(34)</f>
        <v>"https://en.wikipedia.org/wiki/Flag_of_Egypt"</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{"couname":"Egypt","year":"1984 ","region":"rgn_Africa","Colors":["cl_RED","cl_WHI","cl_BLA","cl_YEL"],"Items":["4Color","lets05","startE","with_y","year19","allhor","3Bands","Horizo","Animal","Bird","Texted","Center","tcWHYE","NO_BLU","NO_GRE","001RED","002WHI","003BLA","myrEQ","arabic","NoStar"],"Flag":"https://i.ibb.co/grvKyVf/Egypt-Flag.png","HDFlag":"https://upload.wikimedia.org/wikipedia/commons/thumb/f/fe/Flag_of_Egypt.svg/2560px-Flag_of_Egypt.svg.png","type":"", "describe": "\n\n • Red: Represents the struggle for freedom against oppression.\n\n • White: Symbolizes the revolution of 1952, which led to the establishment of the Republic of Egypt.\n\n • Black: Signifies the end of the oppression of the people.\n\n • Golden Eagle: Represents the strength and unity of the Egyptian people.", "isnew": ".", "links": "https://en.wikipedia.org/wiki/Flag_of_Egypt"},</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{"couname":"Egypt","year":"1984 ","region":"rgn_Africa","Colors":["cl_RED","cl_WHI","cl_BLA","cl_YEL"],"Items":["4Color","lets05","startE","with_y","year19","allhor","3Bands","Horizo","Animal","Bird","Texted","Center","tcWHYE","NO_BLU","NO_GRE","001RED","002WHI","003BLA","myrEQ","arabic","NoStar"],"Flag":"https://i.ibb.co/grvKyVf/Egypt-Flag.png","HDFlag":"https://upload.wikimedia.org/wikipedia/commons/thumb/f/fe/Flag_of_Egypt.svg/2560px-Flag_of_Egypt.svg.png","type":"", "describe": "\n\n • Red: Represents the struggle for freedom against oppression.\n\n • White: Symbolizes the revolution of 1952, which led to the establishment of the Republic of Egypt.\n\n • Black: Signifies the end of the oppression of the people.\n\n • Golden Eagle: Represents the strength and unity of the Egyptian people.", "isnew": ".", "links": "https://en.wikipedia.org/wiki/Flag_of_Egypt"},</v>
      </c>
      <c r="HO2" s="75"/>
      <c r="HP2" s="48" t="str" cm="1">
        <f t="array" ref="HP2">IF(_xlfn.TEXTJOIN(", ", TRUE, IF(ISNUMBER(SEARCH("BLA", BL2:BT2)), COLUMN(BL2:BT2) - COLUMN(BL2) + 1, ""))&lt;&gt;"","BLA","")</f>
        <v>BLA</v>
      </c>
      <c r="HQ2" s="48" t="str" cm="1">
        <f t="array" ref="HQ2">IF(_xlfn.TEXTJOIN(", ", TRUE, IF(ISNUMBER(SEARCH("BLU", BL2:BT2)), COLUMN(BL2:BT2) - COLUMN(BL2) + 1, ""))&lt;&gt;"","BLU","")</f>
        <v/>
      </c>
      <c r="HR2" s="48" t="str" cm="1">
        <f t="array" ref="HR2">IF(_xlfn.TEXTJOIN(", ", TRUE, IF(ISNUMBER(SEARCH("GRE", BL2:BT2)), COLUMN(BL2:BT2) - COLUMN(BL2) + 1, ""))&lt;&gt;"","GRE","")</f>
        <v/>
      </c>
      <c r="HS2" s="48" t="str" cm="1">
        <f t="array" ref="HS2">IF(_xlfn.TEXTJOIN(", ", TRUE, IF(ISNUMBER(SEARCH("RED", BL2:BT2)), COLUMN(BL2:BT2) - COLUMN(BL2) + 1, ""))&lt;&gt;"","RED","")</f>
        <v>RED</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c r="IB2" s="6"/>
      <c r="IC2" s="77"/>
      <c r="ID2" s="77"/>
      <c r="IE2" s="77"/>
      <c r="IF2" s="77"/>
      <c r="IG2" s="77"/>
      <c r="IH2" s="77"/>
      <c r="II2" s="77"/>
      <c r="IJ2" s="77"/>
      <c r="IK2" s="77"/>
      <c r="IL2" s="48">
        <f>SUM(IC2:IK2)</f>
        <v>0</v>
      </c>
      <c r="IM2" s="45">
        <f>COUNTIF(IC2:IK2,"&gt;0")-CG2</f>
        <v>-4</v>
      </c>
      <c r="IN2" s="78" t="str">
        <f>"http://mkweb.bcgsc.ca/color-summarizer/?url="&amp;D2&amp;"&amp;precision=low&amp;num_clusters="&amp;CG2&amp;"&amp;text=1"</f>
        <v>http://mkweb.bcgsc.ca/color-summarizer/?url=https://i.ibb.co/grvKyVf/Egypt-Flag.png&amp;precision=low&amp;num_clusters=4&amp;text=1</v>
      </c>
      <c r="IO2" s="48" t="str">
        <f>IF(HP2&lt;&gt;"",CHAR(34)&amp;"black"&amp;CHAR(34),"")</f>
        <v>"black"</v>
      </c>
      <c r="IP2" s="48" t="str">
        <f>IF(HQ2&lt;&gt;"",CHAR(34)&amp;"blue"&amp;CHAR(34),"")</f>
        <v/>
      </c>
      <c r="IQ2" s="48" t="str">
        <f>IF(HR2&lt;&gt;"",CHAR(34)&amp;"green"&amp;CHAR(34),"")</f>
        <v/>
      </c>
      <c r="IR2" s="48" t="str">
        <f>IF(HS2&lt;&gt;"",CHAR(34)&amp;"red"&amp;CHAR(34),"")</f>
        <v>"red"</v>
      </c>
      <c r="IS2" s="48" t="str">
        <f>IF(HT2&lt;&gt;"",CHAR(34)&amp;"yellow"&amp;CHAR(34),"")</f>
        <v>"yellow"</v>
      </c>
      <c r="IT2" s="48" t="str">
        <f>IF(HU2&lt;&gt;"",CHAR(34)&amp;"orange"&amp;CHAR(34),"")</f>
        <v/>
      </c>
      <c r="IU2" s="48" t="str">
        <f>IF(HV2&lt;&gt;"",CHAR(34)&amp;"brown"&amp;CHAR(34),"")</f>
        <v/>
      </c>
      <c r="IV2" s="48" t="str">
        <f>IF(HW2&lt;&gt;"",CHAR(34)&amp;"purple"&amp;CHAR(34),"")</f>
        <v/>
      </c>
      <c r="IW2" s="48" t="str">
        <f>IF(HX2&lt;&gt;"",CHAR(34)&amp;"white"&amp;CHAR(34),"")</f>
        <v>"white"</v>
      </c>
      <c r="IX2" s="48" t="str">
        <f>"{"&amp;CHAR(34)&amp;"url"&amp;CHAR(34)&amp;":"&amp;CHAR(34)&amp;IN2&amp;CHAR(34)&amp;","&amp;CHAR(34)&amp;"name"&amp;CHAR(34)&amp;":"&amp;CHAR(34)&amp;A2&amp;CHAR(34)&amp;"},"</f>
        <v>{"url":"http://mkweb.bcgsc.ca/color-summarizer/?url=https://i.ibb.co/grvKyVf/Egypt-Flag.png&amp;precision=low&amp;num_clusters=4&amp;text=1","name":"Egypt"},</v>
      </c>
      <c r="IY2" s="48">
        <v>65</v>
      </c>
    </row>
    <row r="3" spans="1:259" s="48" customFormat="1" ht="38.4" customHeight="1" thickBot="1" x14ac:dyDescent="0.35">
      <c r="A3" s="79" t="s">
        <v>662</v>
      </c>
      <c r="B3" s="40" t="e" vm="35">
        <v>#VALUE!</v>
      </c>
      <c r="C3" s="41">
        <v>2</v>
      </c>
      <c r="D3" s="42" t="s">
        <v>663</v>
      </c>
      <c r="E3" s="43" t="s">
        <v>664</v>
      </c>
      <c r="F3" s="44" t="s">
        <v>163</v>
      </c>
      <c r="G3" s="45">
        <f>COUNTIF($A$1:$A$8374,A3)</f>
        <v>1</v>
      </c>
      <c r="H3" s="46"/>
      <c r="I3" s="47" t="s">
        <v>665</v>
      </c>
      <c r="J3" s="48" t="str">
        <f>""</f>
        <v/>
      </c>
      <c r="K3" s="49"/>
      <c r="L3" s="50"/>
      <c r="M3" s="50"/>
      <c r="N3" s="51" t="s">
        <v>180</v>
      </c>
      <c r="O3" s="52" t="s">
        <v>170</v>
      </c>
      <c r="P3" s="53" t="s">
        <v>666</v>
      </c>
      <c r="Q3" s="54">
        <v>2</v>
      </c>
      <c r="R3" s="55" t="s">
        <v>180</v>
      </c>
      <c r="S3" s="56">
        <v>0</v>
      </c>
      <c r="T3" s="57" t="s">
        <v>164</v>
      </c>
      <c r="U3" s="58" t="s">
        <v>164</v>
      </c>
      <c r="V3" s="58" t="s">
        <v>164</v>
      </c>
      <c r="W3" s="58" t="s">
        <v>164</v>
      </c>
      <c r="X3" s="58" t="s">
        <v>164</v>
      </c>
      <c r="Y3" s="58" t="s">
        <v>167</v>
      </c>
      <c r="Z3" s="58" t="s">
        <v>164</v>
      </c>
      <c r="AA3" s="58" t="s">
        <v>164</v>
      </c>
      <c r="AB3" s="58" t="s">
        <v>164</v>
      </c>
      <c r="AC3" s="58" t="s">
        <v>164</v>
      </c>
      <c r="AD3" s="58" t="s">
        <v>164</v>
      </c>
      <c r="AE3" s="58" t="s">
        <v>164</v>
      </c>
      <c r="AF3" s="59" t="s">
        <v>164</v>
      </c>
      <c r="AG3" s="59" t="s">
        <v>164</v>
      </c>
      <c r="AH3" s="59" t="s">
        <v>167</v>
      </c>
      <c r="AI3" s="59" t="s">
        <v>164</v>
      </c>
      <c r="AJ3" s="59" t="s">
        <v>164</v>
      </c>
      <c r="AK3" s="59" t="s">
        <v>164</v>
      </c>
      <c r="AL3" s="59" t="s">
        <v>164</v>
      </c>
      <c r="AM3" s="59" t="s">
        <v>164</v>
      </c>
      <c r="AN3" s="59" t="s">
        <v>164</v>
      </c>
      <c r="AO3" s="59" t="s">
        <v>164</v>
      </c>
      <c r="AP3" s="59" t="s">
        <v>164</v>
      </c>
      <c r="AQ3" s="59" t="s">
        <v>164</v>
      </c>
      <c r="AR3" s="59" t="s">
        <v>164</v>
      </c>
      <c r="AS3" s="59" t="s">
        <v>164</v>
      </c>
      <c r="AT3" s="60">
        <v>0</v>
      </c>
      <c r="AU3" s="59" t="s">
        <v>667</v>
      </c>
      <c r="AV3" s="59" t="str">
        <f>IF(LEFT(A3,1)="[",LEFT(A3,5)&amp;AU3&amp;A3,"")</f>
        <v>[EGY]Governorate[EGY] Sharqia Governorate</v>
      </c>
      <c r="AW3" s="59" t="str">
        <f>C3&amp;H3&amp;A3</f>
        <v>2[EGY] Sharqia Governorate</v>
      </c>
      <c r="AX3" s="61"/>
      <c r="AY3" s="61"/>
      <c r="AZ3" s="62" t="s">
        <v>172</v>
      </c>
      <c r="BA3" s="62" t="s">
        <v>172</v>
      </c>
      <c r="BB3" s="62"/>
      <c r="BC3" s="63"/>
      <c r="BD3" s="64" t="s">
        <v>153</v>
      </c>
      <c r="BE3" s="47"/>
      <c r="BF3" s="64" t="s">
        <v>172</v>
      </c>
      <c r="BG3" s="64" t="s">
        <v>172</v>
      </c>
      <c r="BH3" s="64" t="s">
        <v>172</v>
      </c>
      <c r="BI3" s="64"/>
      <c r="BJ3" s="64"/>
      <c r="BK3" s="47"/>
      <c r="BL3" s="64" t="s">
        <v>172</v>
      </c>
      <c r="BM3" s="64" t="s">
        <v>172</v>
      </c>
      <c r="BN3" s="64" t="s">
        <v>153</v>
      </c>
      <c r="BO3" s="64" t="s">
        <v>172</v>
      </c>
      <c r="BP3" s="64" t="s">
        <v>172</v>
      </c>
      <c r="BQ3" s="64" t="s">
        <v>172</v>
      </c>
      <c r="BR3" s="64" t="s">
        <v>172</v>
      </c>
      <c r="BS3" s="64" t="s">
        <v>172</v>
      </c>
      <c r="BT3" s="64" t="s">
        <v>159</v>
      </c>
      <c r="BU3" s="65"/>
      <c r="BV3" s="66"/>
      <c r="BW3" s="66">
        <v>0</v>
      </c>
      <c r="BX3" s="47"/>
      <c r="CB3" s="6"/>
      <c r="CC3" s="6"/>
      <c r="CD3" s="67">
        <v>0</v>
      </c>
      <c r="CE3" s="67">
        <v>0</v>
      </c>
      <c r="CF3" s="67" t="e">
        <v>#REF!</v>
      </c>
      <c r="CG3" s="68" cm="1">
        <f t="array" ref="CG3">SUMPRODUCT(--(LEN(TRIM(BL3:BT3))&gt;0))</f>
        <v>2</v>
      </c>
      <c r="CH3" s="59" t="str">
        <f>IF(CG3=2,"y","n")</f>
        <v>y</v>
      </c>
      <c r="CI3" s="59" t="str">
        <f>IF(CG3=3,"y","n")</f>
        <v>n</v>
      </c>
      <c r="CJ3" s="59" t="str">
        <f>IF(CG3=4,"y","n")</f>
        <v>n</v>
      </c>
      <c r="CK3" s="59" t="str">
        <f>IF(CG3&gt;4,"y","n")</f>
        <v>n</v>
      </c>
      <c r="CL3" s="59" t="str">
        <f>IF(S3=0,"y","n")</f>
        <v>y</v>
      </c>
      <c r="CM3" s="59" t="str">
        <f>IF(S3=2,"y","n")</f>
        <v>n</v>
      </c>
      <c r="CN3" s="59" t="str">
        <f>IF(S3=3,"y","n")</f>
        <v>n</v>
      </c>
      <c r="CO3" s="59" t="str">
        <f>IF(S3&gt;=4,"y","n")</f>
        <v>n</v>
      </c>
      <c r="CP3" s="59" t="str">
        <f>IF(AT3=0,"y","n")</f>
        <v>y</v>
      </c>
      <c r="CQ3" s="59" t="str">
        <f>IF(AT3=1,"y","n")</f>
        <v>n</v>
      </c>
      <c r="CR3" s="59" t="str">
        <f>IF(AT3=2,"y","n")</f>
        <v>n</v>
      </c>
      <c r="CS3" s="59" t="str">
        <f>IF(AT3&gt;=3,"y","n")</f>
        <v>n</v>
      </c>
      <c r="CT3" s="69" t="str">
        <f>CHAR(34)&amp;A3&amp;CHAR(34)</f>
        <v>"[EGY] Sharqia Governorate"</v>
      </c>
      <c r="CU3" s="70" t="str">
        <f>CHAR(34)&amp;"rgn_"&amp;R3&amp;CHAR(34)</f>
        <v>"rgn_Africa"</v>
      </c>
      <c r="CV3" s="48" t="str">
        <f>CHAR(34)&amp;D3&amp;CHAR(34)</f>
        <v>"https://upload.wikimedia.org/wikipedia/commons/thumb/b/bd/Flag_Of_Sharkia_Governorate.svg/640px-Flag_Of_Sharkia_Governorate.svg.png"</v>
      </c>
      <c r="CW3" s="48" t="str">
        <f>IF(CH3="y",CHAR(34)&amp;CH$1&amp;CHAR(34)&amp;",","")</f>
        <v>"2Color",</v>
      </c>
      <c r="CX3" s="48" t="str">
        <f>IF(CI3="y",CHAR(34)&amp;CI$1&amp;CHAR(34)&amp;",","")</f>
        <v/>
      </c>
      <c r="CY3" s="48" t="str">
        <f>IF(CJ3="y",CHAR(34)&amp;CJ$1&amp;CHAR(34)&amp;",","")</f>
        <v/>
      </c>
      <c r="CZ3" s="48" t="str">
        <f>IF(CK3="y",CHAR(34)&amp;CK$1&amp;CHAR(34)&amp;",","")</f>
        <v/>
      </c>
      <c r="DA3" s="48" t="str">
        <f>IF(Q3&gt;1,CHAR(34)&amp;"words2"&amp;CHAR(34)&amp;",","")</f>
        <v>"words2",</v>
      </c>
      <c r="DB3" s="48" t="str">
        <f>IF(Q3&gt;2,CHAR(34)&amp;"words3"&amp;CHAR(34)&amp;",","")</f>
        <v/>
      </c>
      <c r="DC3" s="48" t="str">
        <f>IF(Q3=2,CHAR(34)&amp;"exact2"&amp;CHAR(34)&amp;",","")</f>
        <v>"exact2",</v>
      </c>
      <c r="DD3" s="48" t="str">
        <f>IF(LEN(CHAR(34)&amp;"lets"&amp;LEN(SUBSTITUTE(SUBSTITUTE(IFERROR(TRIM(SUBSTITUTE(SUBSTITUTE(SUBSTITUTE(IFERROR(TRIM(SUBSTITUTE(A3,MID(A3,FIND("(",A3),FIND(")",A3)-FIND("(",A3)+1),"")),A3),"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",""),"-",""))&amp;CHAR(34)&amp;",")=9,CHAR(34)&amp;"lets"&amp;LEN(SUBSTITUTE(SUBSTITUTE(IFERROR(TRIM(SUBSTITUTE(SUBSTITUTE(SUBSTITUTE(IFERROR(TRIM(SUBSTITUTE(A3,MID(A3,FIND("(",A3),FIND(")",A3)-FIND("(",A3)+1),"")),A3),"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",""),"-",""))&amp;CHAR(34)&amp;",",CHAR(34)&amp;"lets0"&amp;LEN(SUBSTITUTE(SUBSTITUTE(IFERROR(TRIM(SUBSTITUTE(SUBSTITUTE(SUBSTITUTE(IFERROR(TRIM(SUBSTITUTE(A3,MID(A3,FIND("(",A3),FIND(")",A3)-FIND("(",A3)+1),"")),A3),"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f>
        <v>"lets18",</v>
      </c>
      <c r="DE3" s="48" t="str">
        <f>IFERROR(CHAR(34)&amp;"start"&amp;LEFT(TRIM(SUBSTITUTE(SUBSTITUTE(TRIM(SUBSTITUTE(SUBSTITUTE(A3, MID(A3, FIND("[", A3), FIND("]", A3) - FIND("[", A3) + 1), ""), "  ", " ")), MID(TRIM(SUBSTITUTE(SUBSTITUTE(A3, MID(A3, FIND("[", A3), FIND("]", A3) - FIND("[", A3) + 1), ""), "  ", " ")), FIND("[", TRIM(SUBSTITUTE(SUBSTITUTE(A3, MID(A3, FIND("[", A3), FIND("]", A3) - FIND("[", A3) + 1), ""), "  ", " "))), FIND("]", TRIM(SUBSTITUTE(SUBSTITUTE(A3, MID(A3, FIND("[", A3), FIND("]", A3) - FIND("[", A3) + 1), ""), "  ", " "))) - FIND("[", TRIM(SUBSTITUTE(SUBSTITUTE(A3, MID(A3, FIND("[", A3), FIND("]", A3) - FIND("[", A3) + 1), ""), "  ", " "))) + 1), ""), "  ", " ")),1)&amp;CHAR(34)&amp;",",CHAR(34)&amp;"start"&amp;IFERROR(LEFT(SUBSTITUTE(A3,"["&amp;MID(A3,FIND("[",A3)+1,FIND("]",A3)-FIND("[",A3)-1)&amp;"] ",""),1),LEFT(A3,1))&amp;CHAR(34)&amp;",")</f>
        <v>"startS",</v>
      </c>
      <c r="DF3" s="48" t="str">
        <f>IFERROR(IF(SEARCH("tan",A3)&gt;0,CHAR(34)&amp;"withtn"&amp;CHAR(34)&amp;",",""),"")</f>
        <v/>
      </c>
      <c r="DG3" s="48" t="str">
        <f>IFERROR(IF(SEARCH("q",A3)&gt;0,CHAR(34)&amp;"with_q"&amp;CHAR(34)&amp;",",""),"")</f>
        <v>"with_q",</v>
      </c>
      <c r="DH3" s="48" t="str">
        <f>IFERROR(IF(SEARCH("v",A3)&gt;0,CHAR(34)&amp;"with_v"&amp;CHAR(34)&amp;",",""),"")</f>
        <v>"with_v",</v>
      </c>
      <c r="DI3" s="48" t="str">
        <f>IFERROR(IF(SEARCH("w",A3)&gt;0,CHAR(34)&amp;"with_w"&amp;CHAR(34)&amp;",",""),"")</f>
        <v/>
      </c>
      <c r="DJ3" s="48" t="str">
        <f>IFERROR(IF(SEARCH("y",A3)&gt;0,CHAR(34)&amp;"with_y"&amp;CHAR(34)&amp;",",""),"")</f>
        <v>"with_y",</v>
      </c>
      <c r="DK3" s="48" t="str">
        <f>IFERROR(IF(SEARCH("z",A3)&gt;0,CHAR(34)&amp;"with_z"&amp;CHAR(34)&amp;",",""),"")</f>
        <v/>
      </c>
      <c r="DL3" s="48" t="str">
        <f>IF(CG3=2, CHAR(34) &amp; _xlfn.TEXTJOIN("", TRUE, _xlfn._xlws.SORT(HP3:HX3)) &amp; CHAR(34) &amp; ",", "")</f>
        <v>"GREWHI",</v>
      </c>
      <c r="DM3" s="48" t="str" cm="1">
        <f t="array" ref="DM3">IF(CG3=3,CHAR(34) &amp; _xlfn.TEXTJOIN("", TRUE, RIGHT(HP3:HX3, 2)) &amp; CHAR(34) &amp; ",", "")</f>
        <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
      </c>
      <c r="DP3" s="6" t="str">
        <f>IF(AND(ISNUMBER(SEARCH("20", O3)), ISERROR(SEARCH("1920", O3))), CHAR(34)&amp;"year00"&amp;CHAR(34)&amp;",", "")</f>
        <v/>
      </c>
      <c r="DQ3" s="6" t="str">
        <f>IF(CC3="y",CHAR(34)&amp;"soviet"&amp;CHAR(34)&amp;",","")</f>
        <v/>
      </c>
      <c r="DR3" s="6" t="str">
        <f>IF(BY3="y",CHAR(34)&amp;"dgband"&amp;CHAR(34)&amp;",","")</f>
        <v/>
      </c>
      <c r="DS3" s="6" t="str">
        <f>IF(W3="y",IF(AND(V3="n",BY3&lt;&gt;"y"),CHAR(34)&amp;"allver"&amp;CHAR(34)&amp;",",""),"")</f>
        <v/>
      </c>
      <c r="DT3" s="6" t="str">
        <f>IF(V3="y",IF(AND(W3="n",BY3&lt;&gt;"y"),CHAR(34)&amp;"allhor"&amp;CHAR(34)&amp;",",""),"")</f>
        <v/>
      </c>
      <c r="DU3" s="6" t="str">
        <f>IF(BY3="y",IF(AND(W3="n",V3="n"),CHAR(34)&amp;"alldia"&amp;CHAR(34)&amp;",",""),"")</f>
        <v/>
      </c>
      <c r="DV3" s="48" t="str">
        <f>IF(IA3&lt;&gt;"",(IF(IA3="y",CHAR(34)&amp;"largec"&amp;CHAR(34)&amp;",",CHAR(34)&amp;"smallc"&amp;CHAR(34)&amp;",")),"")</f>
        <v/>
      </c>
      <c r="DW3" s="48" t="str">
        <f>IF(CL3="y",CHAR(34)&amp;CL$1&amp;CHAR(34)&amp;",","")</f>
        <v>"NoBand",</v>
      </c>
      <c r="DX3" s="48" t="str">
        <f>IF(CM3="y",CHAR(34)&amp;CM$1&amp;CHAR(34)&amp;",","")</f>
        <v/>
      </c>
      <c r="DY3" s="48" t="str">
        <f>IF(CN3="y",CHAR(34)&amp;CN$1&amp;CHAR(34)&amp;",","")</f>
        <v/>
      </c>
      <c r="DZ3" s="48" t="str">
        <f>IF(CO3="y",CHAR(34)&amp;CO$1&amp;CHAR(34)&amp;",","")</f>
        <v/>
      </c>
      <c r="EA3" s="48" t="str">
        <f>IF(T3="y",CHAR(34)&amp;T$1&amp;CHAR(34)&amp;",","")</f>
        <v/>
      </c>
      <c r="EB3" s="48" t="str">
        <f>IF(U3="y",CHAR(34)&amp;U$1&amp;CHAR(34)&amp;",","")</f>
        <v/>
      </c>
      <c r="EC3" s="48" t="str">
        <f>IF(V3="y",CHAR(34)&amp;V$1&amp;CHAR(34)&amp;",","")</f>
        <v/>
      </c>
      <c r="ED3" s="48" t="str">
        <f>IF(W3="y",CHAR(34)&amp;W$1&amp;CHAR(34)&amp;",","")</f>
        <v/>
      </c>
      <c r="EE3" s="48" t="str">
        <f>IF(X3="y",CHAR(34)&amp;X$1&amp;CHAR(34)&amp;",","")</f>
        <v/>
      </c>
      <c r="EF3" s="48" t="str">
        <f>IF(AND(Y3&lt;&gt;"n",Y3&lt;&gt;""),CHAR(34)&amp;Y$1&amp;CHAR(34)&amp;",","")</f>
        <v>"Animal",</v>
      </c>
      <c r="EG3" s="48" t="str">
        <f>IF(Z3="y",CHAR(34)&amp;Z$1&amp;CHAR(34)&amp;",","")</f>
        <v/>
      </c>
      <c r="EH3" s="48" t="str">
        <f>IF(AA3="y",CHAR(34)&amp;AA$1&amp;CHAR(34)&amp;",","")</f>
        <v/>
      </c>
      <c r="EI3" s="48" t="str">
        <f>IF(AB3="y",CHAR(34)&amp;AB$1&amp;CHAR(34)&amp;",","")</f>
        <v/>
      </c>
      <c r="EJ3" s="48" t="str">
        <f>IF(AC3="y",CHAR(34)&amp;AC$1&amp;CHAR(34)&amp;",","")</f>
        <v/>
      </c>
      <c r="EK3" s="48" t="str">
        <f>IF(AD3="y",CHAR(34)&amp;AD$1&amp;CHAR(34)&amp;",","")</f>
        <v/>
      </c>
      <c r="EL3" s="48" t="str">
        <f>IF(AE3="y",CHAR(34)&amp;AE$1&amp;CHAR(34)&amp;",","")</f>
        <v/>
      </c>
      <c r="EM3" s="48" t="str">
        <f>IF(AF3="y",CHAR(34)&amp;AF$1&amp;CHAR(34)&amp;",","")</f>
        <v/>
      </c>
      <c r="EN3" s="48" t="str">
        <f>IF(AG3="y",CHAR(34)&amp;AG$1&amp;CHAR(34)&amp;",","")</f>
        <v/>
      </c>
      <c r="EO3" s="48" t="str">
        <f>IF(AH3="y",CHAR(34)&amp;AH$1&amp;CHAR(34)&amp;",","")</f>
        <v>"Center",</v>
      </c>
      <c r="EP3" s="48" t="str">
        <f>IF(AI3="y",CHAR(34)&amp;AI$1&amp;CHAR(34)&amp;",","")</f>
        <v/>
      </c>
      <c r="EQ3" s="48" t="str">
        <f>IF(AJ3="y",CHAR(34)&amp;AJ$1&amp;CHAR(34)&amp;",","")</f>
        <v/>
      </c>
      <c r="ER3" s="48" t="str">
        <f>IF(AK3="y",CHAR(34)&amp;AK$1&amp;CHAR(34)&amp;",","")</f>
        <v/>
      </c>
      <c r="ES3" s="48" t="str">
        <f>IF(AL3="y",CHAR(34)&amp;AL$1&amp;CHAR(34)&amp;",","")</f>
        <v/>
      </c>
      <c r="ET3" s="48" t="str">
        <f>IF(AM3="y",CHAR(34)&amp;AM$1&amp;CHAR(34)&amp;",","")</f>
        <v/>
      </c>
      <c r="EU3" s="48" t="str">
        <f>IF(AN3="y",CHAR(34)&amp;AN$1&amp;CHAR(34)&amp;",","")</f>
        <v/>
      </c>
      <c r="EV3" s="48" t="str">
        <f>IF(AO3="y",CHAR(34)&amp;AO$1&amp;CHAR(34)&amp;",","")</f>
        <v/>
      </c>
      <c r="EW3" s="48" t="str">
        <f>IF(AP3="y",CHAR(34)&amp;AP$1&amp;CHAR(34)&amp;",","")</f>
        <v/>
      </c>
      <c r="EX3" s="48" t="str">
        <f>IF(AQ3="y",CHAR(34)&amp;AQ$1&amp;CHAR(34)&amp;",","")</f>
        <v/>
      </c>
      <c r="EY3" s="48" t="str">
        <f>IF(AR3="y",CHAR(34)&amp;AR$1&amp;CHAR(34)&amp;",","")</f>
        <v/>
      </c>
      <c r="EZ3" s="48" t="str">
        <f>IF(AS3="y",CHAR(34)&amp;AS$1&amp;CHAR(34)&amp;",","")</f>
        <v/>
      </c>
      <c r="FA3" s="48" t="str">
        <f>IF(AT3&gt;0,CHAR(34)&amp;"sta"&amp;AZ3&amp;CHAR(34)&amp;",","")</f>
        <v/>
      </c>
      <c r="FB3" s="48" t="str">
        <f>IF(AND(AT3&gt;0,BA3&lt;&gt;""),CHAR(34)&amp;"sta"&amp;BA3&amp;CHAR(34)&amp;",","")</f>
        <v/>
      </c>
      <c r="FC3" s="48" t="str">
        <f>IF(AND(AT3&gt;0,BB3&lt;&gt;""),CHAR(34)&amp;"sta"&amp;BB3&amp;CHAR(34)&amp;",","")</f>
        <v/>
      </c>
      <c r="FD3" s="48" t="str">
        <f>IF(BV3="n",CHAR(34)&amp;"tcWHYE"&amp;CHAR(34)&amp;",",IF(BV3="y",CHAR(34)&amp;FD$1&amp;CHAR(34)&amp;",",""))</f>
        <v/>
      </c>
      <c r="FE3" s="48" t="str">
        <f>IF(COUNTIF(BL3:BT3,"BLU")=0,CHAR(34)&amp;"NO_BLU"&amp;CHAR(34)&amp;",", "")</f>
        <v>"NO_BLU",</v>
      </c>
      <c r="FF3" s="48" t="str">
        <f>IF(COUNTIF(BL3:BT3,"WHI")=0,CHAR(34)&amp;"NO_WHI"&amp;CHAR(34)&amp;",", "")</f>
        <v/>
      </c>
      <c r="FG3" s="48" t="str">
        <f>IF(COUNTIF(BL3:BT3,"RED")=0,CHAR(34)&amp;"NO_RED"&amp;CHAR(34)&amp;",", "")</f>
        <v>"NO_RED",</v>
      </c>
      <c r="FH3" s="48" t="str">
        <f>IF(COUNTIF(BL3:BS3,"GRE")=0,CHAR(34)&amp;"NO_GRE"&amp;CHAR(34)&amp;",", "")</f>
        <v/>
      </c>
      <c r="FI3" s="48" t="str">
        <f>IF(COUNTIF(BL3:BT3,"YEL")=0,CHAR(34)&amp;"NO_YEL"&amp;CHAR(34)&amp;",", "")</f>
        <v>"NO_YEL",</v>
      </c>
      <c r="FJ3" s="48" t="str">
        <f>IF(COUNTIF(BL3:BT3,"BLA")=0,CHAR(34)&amp;"NO_BLA"&amp;CHAR(34)&amp;",", "")</f>
        <v>"NO_BLA",</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"BLRENO",</v>
      </c>
      <c r="FP3" s="48" t="str">
        <f>IF(AND(FF3&lt;&gt;"",FF3&lt;&gt;""),CHAR(34)&amp;"WHRENO"&amp;CHAR(34)&amp;",","")</f>
        <v/>
      </c>
      <c r="FQ3" s="48" t="str">
        <f>IF(LEN(BF3)=3,CHAR(34)&amp;"001"&amp;BF3&amp;CHAR(34)&amp;",","")</f>
        <v/>
      </c>
      <c r="FR3" s="48" t="str">
        <f>IF(LEN(BG3)=3,CHAR(34)&amp;"002"&amp;BG3&amp;CHAR(34)&amp;",","")</f>
        <v/>
      </c>
      <c r="FS3" s="48" t="str">
        <f>IF(LEN(BH3)=3,CHAR(34)&amp;"003"&amp;BH3&amp;CHAR(34)&amp;",","")</f>
        <v/>
      </c>
      <c r="FT3" s="48" t="str">
        <f>CHAR(34)&amp;"myr"&amp;BD3&amp;CHAR(34)&amp;","</f>
        <v>"myrGRE",</v>
      </c>
      <c r="FU3" s="48" t="str">
        <f>IF(AY3="y",CHAR(34)&amp;"island"&amp;CHAR(34)&amp;",","")</f>
        <v/>
      </c>
      <c r="FV3" s="48" t="str">
        <f>IF(BZ3="y",CHAR(34)&amp;"landlo"&amp;CHAR(34)&amp;",","")</f>
        <v/>
      </c>
      <c r="FW3" s="48" t="str">
        <f>IF(CA3="y",CHAR(34)&amp;"eunion"&amp;CHAR(34)&amp;",","")</f>
        <v/>
      </c>
      <c r="FX3" s="48" t="str">
        <f>SUBSTITUTE(IFERROR(SEARCH("[",A3),IFERROR(IF(AND(CA3&lt;&gt;"y",SEARCH("Europe",R3)&gt;0),CHAR(34)&amp;"noeuni"&amp;CHAR(34)&amp;",",""),"")),"1","")</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C3" s="48" t="str">
        <f>IFERROR(IF(SEARCH("Portuguese",CB3)&gt;0,CHAR(34)&amp;"portug"&amp;CHAR(34)&amp;",",""),"")</f>
        <v/>
      </c>
      <c r="GD3" s="48" t="str">
        <f>IFERROR(IF(SEARCH("German",CB3)&gt;0,CHAR(34)&amp;"german"&amp;CHAR(34)&amp;",",""),"")</f>
        <v/>
      </c>
      <c r="GE3" s="48" t="str">
        <f>IFERROR(IF(SEARCH("Dutch",CB3)&gt;0,CHAR(34)&amp;"dutchs"&amp;CHAR(34)&amp;",",""),"")</f>
        <v/>
      </c>
      <c r="GF3" s="48" t="str">
        <f>IFERROR(IF(SEARCH("Historical",AU3)&gt;0,CHAR(34)&amp;"histor"&amp;CHAR(34)&amp;",",""),"")</f>
        <v/>
      </c>
      <c r="GG3" s="48" t="str">
        <f>IF(BU3="y",CHAR(34)&amp;"unjack"&amp;CHAR(34)&amp;",","")</f>
        <v/>
      </c>
      <c r="GH3" s="48" t="str">
        <f>IF(CD3=1,CHAR(34)&amp;"southc"&amp;CHAR(34)&amp;",","")</f>
        <v/>
      </c>
      <c r="GI3" s="48" t="str">
        <f>IF(CE3=1,CHAR(34)&amp;"hasmap"&amp;CHAR(34)&amp;",","")</f>
        <v/>
      </c>
      <c r="GJ3" s="48" t="str">
        <f>IF(CP3="y",CHAR(34)&amp;CP$1&amp;CHAR(34)&amp;",","")</f>
        <v>"NoStar",</v>
      </c>
      <c r="GK3" s="48" t="str">
        <f>IF(GJ3="",CHAR(34)&amp;"HasSta"&amp;CHAR(34)&amp;",","")</f>
        <v/>
      </c>
      <c r="GL3" s="48" t="str">
        <f>IF(CQ3="y",CHAR(34)&amp;CQ$1&amp;CHAR(34)&amp;",","")</f>
        <v/>
      </c>
      <c r="GM3" s="48" t="str">
        <f>IF(CR3="y",CHAR(34)&amp;CR$1&amp;CHAR(34)&amp;",","")</f>
        <v/>
      </c>
      <c r="GN3" s="48" t="str">
        <f>IF(CS3="y",CHAR(34)&amp;CS$1&amp;CHAR(34)&amp;",","")</f>
        <v/>
      </c>
      <c r="GP3" s="48" t="str">
        <f>CHAR(34)&amp;AU3&amp;CHAR(34)</f>
        <v>"Governorate"</v>
      </c>
      <c r="GS3" s="48" t="str">
        <f>SUBSTITUTE("["&amp;_xlfn.CONCAT(CW3:GN3)&amp;"]",",]","]")</f>
        <v>["2Color","words2","exact2","lets18","startS","with_q","with_v","with_y","GREWHI","NoBand","Animal","Center","NO_BLU","NO_RED","NO_YEL","NO_BLA","BLRENO","myrGRE","NoStar"]</v>
      </c>
      <c r="GT3" s="48" t="str">
        <f>IF(BL3&lt;&gt;"",CHAR(34)&amp;"cl_"&amp;BL3&amp;CHAR(34)&amp;",","")</f>
        <v/>
      </c>
      <c r="GU3" s="48" t="str">
        <f>IF(BM3&lt;&gt;"",CHAR(34)&amp;"cl_"&amp;BM3&amp;CHAR(34)&amp;",","")</f>
        <v/>
      </c>
      <c r="GV3" s="48" t="str">
        <f>IF(BN3&lt;&gt;"",CHAR(34)&amp;"cl_"&amp;BN3&amp;CHAR(34)&amp;",","")</f>
        <v>"cl_GRE",</v>
      </c>
      <c r="GW3" s="48" t="str">
        <f>IF(BO3&lt;&gt;"",CHAR(34)&amp;"cl_"&amp;BO3&amp;CHAR(34)&amp;",","")</f>
        <v/>
      </c>
      <c r="GX3" s="48" t="str">
        <f>IF(BP3&lt;&gt;"",CHAR(34)&amp;"cl_"&amp;BP3&amp;CHAR(34)&amp;",","")</f>
        <v/>
      </c>
      <c r="GY3" s="48" t="str">
        <f>IF(BQ3&lt;&gt;"",CHAR(34)&amp;"cl_"&amp;BQ3&amp;CHAR(34)&amp;",","")</f>
        <v/>
      </c>
      <c r="GZ3" s="48" t="str">
        <f>IF(BR3&lt;&gt;"",CHAR(34)&amp;"cl_"&amp;BR3&amp;CHAR(34)&amp;",","")</f>
        <v/>
      </c>
      <c r="HA3" s="48" t="str">
        <f>IF(BS3&lt;&gt;"",CHAR(34)&amp;"cl_"&amp;BS3&amp;CHAR(34)&amp;",","")</f>
        <v/>
      </c>
      <c r="HB3" s="48" t="str">
        <f>IF(BT3&lt;&gt;"",CHAR(34)&amp;"cl_"&amp;BT3&amp;CHAR(34)&amp;",","")</f>
        <v>"cl_WHI",</v>
      </c>
      <c r="HC3" s="48" t="str">
        <f>SUBSTITUTE("["&amp;_xlfn.CONCAT(GT3:HB3)&amp;"]",",]","]")</f>
        <v>["cl_GRE","cl_WHI"]</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{couname:"[EGY] Sharqia Governorate",year:"???",region:"rgn_Africa",Colors:["cl_GRE","cl_WHI"],Items:["2Color","words2","exact2","lets18","startS","with_q","with_v","with_y","GREWHI","NoBand","Animal","Center","NO_BLU","NO_RED","NO_YEL","NO_BLA","BLRENO","myrGRE","NoStar"],Flag:"https://upload.wikimedia.org/wikipedia/commons/thumb/b/bd/Flag_Of_Sharkia_Governorate.svg/640px-Flag_Of_Sharkia_Governorate.svg.png",HDFlag:"https://upload.wikimedia.org/wikipedia/commons/thumb/b/bd/Flag_Of_Sharkia_Governorate.svg/2560px-Flag_Of_Sharkia_Governorate.svg.png",type:"Governorate", describe: "\nGreen field background with white silhouette of a jumping horse in center", isnew:".", links: "https://en.m.wikipedia.org/wiki/Sharqia_Governorate#"},</v>
      </c>
      <c r="HG3" s="73" t="str">
        <f>"{couname:"&amp;CT3&amp;(IF(HK3&lt;&gt;"",",subtype:"&amp;CHAR(34)&amp;HK3&amp;CHAR(34),""))&amp;",year:"&amp;HJ3&amp;",region:"&amp;CU3&amp;",Colors:"&amp;HC3&amp;",Items:"&amp;GS3&amp;",Flag:"&amp;CV3&amp;",HDFlag:"&amp;CHAR(34)&amp;E3&amp;CHAR(34)&amp;",type:"&amp;GP3&amp;", describe: "&amp;HI3&amp;", links: "&amp;HL3&amp;"},"</f>
        <v>{couname:"[EGY] Sharqia Governorate",year:"???",region:"rgn_Africa",Colors:["cl_GRE","cl_WHI"],Items:["2Color","words2","exact2","lets18","startS","with_q","with_v","with_y","GREWHI","NoBand","Animal","Center","NO_BLU","NO_RED","NO_YEL","NO_BLA","BLRENO","myrGRE","NoStar"],Flag:"https://upload.wikimedia.org/wikipedia/commons/thumb/b/bd/Flag_Of_Sharkia_Governorate.svg/640px-Flag_Of_Sharkia_Governorate.svg.png",HDFlag:"https://upload.wikimedia.org/wikipedia/commons/thumb/b/bd/Flag_Of_Sharkia_Governorate.svg/2560px-Flag_Of_Sharkia_Governorate.svg.png",type:"Governorate", describe: "\nGreen field background with white silhouette of a jumping horse in center", links: "https://en.m.wikipedia.org/wiki/Sharqia_Governorate#"},</v>
      </c>
      <c r="HH3" s="48" t="str">
        <f>IF(P3&lt;&gt;"",CHAR(34)&amp;"\n"&amp;P3&amp;CHAR(34),CHAR(34)&amp;CHAR(34))</f>
        <v>"\nGreen field background with white silhouette of a jumping horse in center"</v>
      </c>
      <c r="HI3" s="48" t="str">
        <f>IF(J3=0,CHAR(34)&amp;CHAR(34),HH3)</f>
        <v>"\nGreen field background with white silhouette of a jumping horse in center"</v>
      </c>
      <c r="HJ3" s="48" t="str">
        <f>CHAR(34)&amp;O3&amp;CHAR(34)</f>
        <v>"???"</v>
      </c>
      <c r="HL3" s="48" t="str">
        <f>CHAR(34)&amp;I3&amp;CHAR(34)</f>
        <v>"https://en.m.wikipedia.org/wiki/Sharqia_Governorate#"</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{"couname":"[EGY] Sharqia Governorate","year":"???","region":"rgn_Africa","Colors":["cl_GRE","cl_WHI"],"Items":["2Color","words2","exact2","lets18","startS","with_q","with_v","with_y","GREWHI","NoBand","Animal","Center","NO_BLU","NO_RED","NO_YEL","NO_BLA","BLRENO","myrGRE","NoStar"],"Flag":"https://upload.wikimedia.org/wikipedia/commons/thumb/b/bd/Flag_Of_Sharkia_Governorate.svg/640px-Flag_Of_Sharkia_Governorate.svg.png","HDFlag":"https://upload.wikimedia.org/wikipedia/commons/thumb/b/bd/Flag_Of_Sharkia_Governorate.svg/2560px-Flag_Of_Sharkia_Governorate.svg.png","type":"Governorate", "describe": "\nGreen field background with white silhouette of a jumping horse in center", "isnew": ".", "links": "https://en.m.wikipedia.org/wiki/Sharqia_Governorate#"},</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{"couname":"[EGY] Sharqia Governorate","year":"???","region":"rgn_Africa","Colors":["cl_GRE","cl_WHI"],"Items":["2Color","words2","exact2","lets18","startS","with_q","with_v","with_y","GREWHI","NoBand","Animal","Center","NO_BLU","NO_RED","NO_YEL","NO_BLA","BLRENO","myrGRE","NoStar"],"Flag":"https://upload.wikimedia.org/wikipedia/commons/thumb/b/bd/Flag_Of_Sharkia_Governorate.svg/640px-Flag_Of_Sharkia_Governorate.svg.png","HDFlag":"https://upload.wikimedia.org/wikipedia/commons/thumb/b/bd/Flag_Of_Sharkia_Governorate.svg/2560px-Flag_Of_Sharkia_Governorate.svg.png","type":"Governorate", "describe": "\nGreen field background with white silhouette of a jumping horse in center", "isnew": ".", "links": "https://en.m.wikipedia.org/wiki/Sharqia_Governorate#"},</v>
      </c>
      <c r="HO3" s="75">
        <v>45583</v>
      </c>
      <c r="HP3" s="48" t="str" cm="1">
        <f t="array" ref="HP3">IF(_xlfn.TEXTJOIN(", ", TRUE, IF(ISNUMBER(SEARCH("BLA", BL3:BT3)), COLUMN(BL3:BT3) - COLUMN(BL3) + 1, ""))&lt;&gt;"","BLA","")</f>
        <v/>
      </c>
      <c r="HQ3" s="48" t="str" cm="1">
        <f t="array" ref="HQ3">IF(_xlfn.TEXTJOIN(", ", TRUE, IF(ISNUMBER(SEARCH("BLU", BL3:BT3)), COLUMN(BL3:BT3) - COLUMN(BL3) + 1, ""))&lt;&gt;"","BLU","")</f>
        <v/>
      </c>
      <c r="HR3" s="48" t="str" cm="1">
        <f t="array" ref="HR3">IF(_xlfn.TEXTJOIN(", ", TRUE, IF(ISNUMBER(SEARCH("GRE", BL3:BT3)), COLUMN(BL3:BT3) - COLUMN(BL3) + 1, ""))&lt;&gt;"","GRE","")</f>
        <v>GRE</v>
      </c>
      <c r="HS3" s="48" t="str" cm="1">
        <f t="array" ref="HS3">IF(_xlfn.TEXTJOIN(", ", TRUE, IF(ISNUMBER(SEARCH("RED", BL3:BT3)), COLUMN(BL3:BT3) - COLUMN(BL3) + 1, ""))&lt;&gt;"","RED","")</f>
        <v/>
      </c>
      <c r="HT3" s="48" t="str" cm="1">
        <f t="array" ref="HT3">IF(_xlfn.TEXTJOIN(", ", TRUE, IF(ISNUMBER(SEARCH("YEL", BL3:BT3)), COLUMN(BL3:BT3) - COLUMN(BL3) + 1, ""))&lt;&gt;"","YEL","")</f>
        <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L3" s="48">
        <f>SUM(IC3:IK3)</f>
        <v>0</v>
      </c>
      <c r="IM3" s="45">
        <f>COUNTIF(IC3:IK3,"&gt;0")-CG3</f>
        <v>-2</v>
      </c>
      <c r="IN3" s="78" t="str">
        <f>"http://mkweb.bcgsc.ca/color-summarizer/?url="&amp;D3&amp;"&amp;precision=low&amp;num_clusters="&amp;CG3&amp;"&amp;text=1"</f>
        <v>http://mkweb.bcgsc.ca/color-summarizer/?url=https://upload.wikimedia.org/wikipedia/commons/thumb/b/bd/Flag_Of_Sharkia_Governorate.svg/640px-Flag_Of_Sharkia_Governorate.svg.png&amp;precision=low&amp;num_clusters=2&amp;text=1</v>
      </c>
      <c r="IO3" s="48" t="str">
        <f>IF(HP3&lt;&gt;"",CHAR(34)&amp;"black"&amp;CHAR(34),"")</f>
        <v/>
      </c>
      <c r="IP3" s="48" t="str">
        <f>IF(HQ3&lt;&gt;"",CHAR(34)&amp;"blue"&amp;CHAR(34),"")</f>
        <v/>
      </c>
      <c r="IQ3" s="48" t="str">
        <f>IF(HR3&lt;&gt;"",CHAR(34)&amp;"green"&amp;CHAR(34),"")</f>
        <v>"green"</v>
      </c>
      <c r="IR3" s="48" t="str">
        <f>IF(HS3&lt;&gt;"",CHAR(34)&amp;"red"&amp;CHAR(34),"")</f>
        <v/>
      </c>
      <c r="IS3" s="48" t="str">
        <f>IF(HT3&lt;&gt;"",CHAR(34)&amp;"yellow"&amp;CHAR(34),"")</f>
        <v/>
      </c>
      <c r="IT3" s="48" t="str">
        <f>IF(HU3&lt;&gt;"",CHAR(34)&amp;"orange"&amp;CHAR(34),"")</f>
        <v/>
      </c>
      <c r="IU3" s="48" t="str">
        <f>IF(HV3&lt;&gt;"",CHAR(34)&amp;"brown"&amp;CHAR(34),"")</f>
        <v/>
      </c>
      <c r="IV3" s="48" t="str">
        <f>IF(HW3&lt;&gt;"",CHAR(34)&amp;"purple"&amp;CHAR(34),"")</f>
        <v/>
      </c>
      <c r="IW3" s="48" t="str">
        <f>IF(HX3&lt;&gt;"",CHAR(34)&amp;"white"&amp;CHAR(34),"")</f>
        <v>"white"</v>
      </c>
      <c r="IX3" s="48" t="str">
        <f>"{"&amp;CHAR(34)&amp;"url"&amp;CHAR(34)&amp;":"&amp;CHAR(34)&amp;IN3&amp;CHAR(34)&amp;","&amp;CHAR(34)&amp;"name"&amp;CHAR(34)&amp;":"&amp;CHAR(34)&amp;A3&amp;CHAR(34)&amp;"},"</f>
        <v>{"url":"http://mkweb.bcgsc.ca/color-summarizer/?url=https://upload.wikimedia.org/wikipedia/commons/thumb/b/bd/Flag_Of_Sharkia_Governorate.svg/640px-Flag_Of_Sharkia_Governorate.svg.png&amp;precision=low&amp;num_clusters=2&amp;text=1","name":"[EGY] Sharqia Governorate"},</v>
      </c>
      <c r="IY3" s="48">
        <v>393</v>
      </c>
    </row>
    <row r="4" spans="1:259" s="48" customFormat="1" ht="38.4" customHeight="1" thickBot="1" x14ac:dyDescent="0.35">
      <c r="A4" s="80" t="s">
        <v>657</v>
      </c>
      <c r="B4" s="40" t="e" vm="36">
        <v>#VALUE!</v>
      </c>
      <c r="C4" s="41" t="s">
        <v>173</v>
      </c>
      <c r="D4" s="42" t="s">
        <v>658</v>
      </c>
      <c r="E4" s="43" t="s">
        <v>659</v>
      </c>
      <c r="F4" s="44" t="s">
        <v>163</v>
      </c>
      <c r="G4" s="45">
        <f>COUNTIF($A$1:$A$8374,A4)</f>
        <v>1</v>
      </c>
      <c r="H4" s="46" t="s">
        <v>668</v>
      </c>
      <c r="I4" s="47" t="s">
        <v>660</v>
      </c>
      <c r="J4" s="48" t="str">
        <f>""</f>
        <v/>
      </c>
      <c r="K4" s="49"/>
      <c r="L4" s="50"/>
      <c r="M4" s="50"/>
      <c r="N4" s="51" t="s">
        <v>180</v>
      </c>
      <c r="O4" s="52">
        <v>1923</v>
      </c>
      <c r="P4" s="53" t="s">
        <v>661</v>
      </c>
      <c r="Q4" s="54">
        <v>3</v>
      </c>
      <c r="R4" s="55" t="s">
        <v>180</v>
      </c>
      <c r="S4" s="56">
        <v>0</v>
      </c>
      <c r="T4" s="57" t="s">
        <v>164</v>
      </c>
      <c r="U4" s="58" t="s">
        <v>164</v>
      </c>
      <c r="V4" s="58" t="s">
        <v>164</v>
      </c>
      <c r="W4" s="58" t="s">
        <v>164</v>
      </c>
      <c r="X4" s="58" t="s">
        <v>164</v>
      </c>
      <c r="Y4" s="58" t="s">
        <v>164</v>
      </c>
      <c r="Z4" s="58" t="s">
        <v>164</v>
      </c>
      <c r="AA4" s="58" t="s">
        <v>164</v>
      </c>
      <c r="AB4" s="58" t="s">
        <v>164</v>
      </c>
      <c r="AC4" s="58" t="s">
        <v>164</v>
      </c>
      <c r="AD4" s="58" t="s">
        <v>164</v>
      </c>
      <c r="AE4" s="58" t="s">
        <v>167</v>
      </c>
      <c r="AF4" s="59" t="s">
        <v>164</v>
      </c>
      <c r="AG4" s="59" t="s">
        <v>164</v>
      </c>
      <c r="AH4" s="59" t="s">
        <v>167</v>
      </c>
      <c r="AI4" s="59" t="s">
        <v>164</v>
      </c>
      <c r="AJ4" s="59" t="s">
        <v>164</v>
      </c>
      <c r="AK4" s="59" t="s">
        <v>164</v>
      </c>
      <c r="AL4" s="59" t="s">
        <v>164</v>
      </c>
      <c r="AM4" s="59" t="s">
        <v>164</v>
      </c>
      <c r="AN4" s="59" t="s">
        <v>164</v>
      </c>
      <c r="AO4" s="59" t="s">
        <v>164</v>
      </c>
      <c r="AP4" s="59" t="s">
        <v>164</v>
      </c>
      <c r="AQ4" s="59" t="s">
        <v>164</v>
      </c>
      <c r="AR4" s="59" t="s">
        <v>164</v>
      </c>
      <c r="AS4" s="59" t="s">
        <v>164</v>
      </c>
      <c r="AT4" s="60">
        <v>3</v>
      </c>
      <c r="AU4" s="59" t="s">
        <v>174</v>
      </c>
      <c r="AV4" s="59" t="str">
        <f>IF(LEFT(A4,1)="[",LEFT(A4,5)&amp;AU4&amp;A4,"")</f>
        <v>[EGY]Historical[EGY] Kingdom of Egypt (1922-1952)</v>
      </c>
      <c r="AW4" s="59" t="str">
        <f>C4&amp;H4&amp;A4</f>
        <v>3b[EGY] Other[EGY] Kingdom of Egypt (1922-1952)</v>
      </c>
      <c r="AX4" s="61"/>
      <c r="AY4" s="61"/>
      <c r="AZ4" s="62" t="s">
        <v>159</v>
      </c>
      <c r="BA4" s="62" t="s">
        <v>172</v>
      </c>
      <c r="BB4" s="62"/>
      <c r="BC4" s="63"/>
      <c r="BD4" s="64" t="s">
        <v>153</v>
      </c>
      <c r="BE4" s="47"/>
      <c r="BF4" s="64" t="s">
        <v>172</v>
      </c>
      <c r="BG4" s="64" t="s">
        <v>172</v>
      </c>
      <c r="BH4" s="64" t="s">
        <v>172</v>
      </c>
      <c r="BI4" s="64"/>
      <c r="BJ4" s="64"/>
      <c r="BK4" s="47"/>
      <c r="BL4" s="64" t="s">
        <v>172</v>
      </c>
      <c r="BM4" s="64" t="s">
        <v>172</v>
      </c>
      <c r="BN4" s="64" t="s">
        <v>153</v>
      </c>
      <c r="BO4" s="64" t="s">
        <v>172</v>
      </c>
      <c r="BP4" s="64" t="s">
        <v>172</v>
      </c>
      <c r="BQ4" s="64" t="s">
        <v>172</v>
      </c>
      <c r="BR4" s="64" t="s">
        <v>172</v>
      </c>
      <c r="BS4" s="64" t="s">
        <v>172</v>
      </c>
      <c r="BT4" s="64" t="s">
        <v>159</v>
      </c>
      <c r="BU4" s="65"/>
      <c r="BV4" s="66"/>
      <c r="BW4" s="66">
        <v>0</v>
      </c>
      <c r="BX4" s="47"/>
      <c r="CB4" s="6"/>
      <c r="CC4" s="6"/>
      <c r="CD4" s="67">
        <v>0</v>
      </c>
      <c r="CE4" s="67">
        <v>0</v>
      </c>
      <c r="CF4" s="67" t="e">
        <v>#REF!</v>
      </c>
      <c r="CG4" s="68" cm="1">
        <f t="array" ref="CG4">SUMPRODUCT(--(LEN(TRIM(BL4:BT4))&gt;0))</f>
        <v>2</v>
      </c>
      <c r="CH4" s="59" t="str">
        <f>IF(CG4=2,"y","n")</f>
        <v>y</v>
      </c>
      <c r="CI4" s="59" t="str">
        <f>IF(CG4=3,"y","n")</f>
        <v>n</v>
      </c>
      <c r="CJ4" s="59" t="str">
        <f>IF(CG4=4,"y","n")</f>
        <v>n</v>
      </c>
      <c r="CK4" s="59" t="str">
        <f>IF(CG4&gt;4,"y","n")</f>
        <v>n</v>
      </c>
      <c r="CL4" s="59" t="str">
        <f>IF(S4=0,"y","n")</f>
        <v>y</v>
      </c>
      <c r="CM4" s="59" t="str">
        <f>IF(S4=2,"y","n")</f>
        <v>n</v>
      </c>
      <c r="CN4" s="59" t="str">
        <f>IF(S4=3,"y","n")</f>
        <v>n</v>
      </c>
      <c r="CO4" s="59" t="str">
        <f>IF(S4&gt;=4,"y","n")</f>
        <v>n</v>
      </c>
      <c r="CP4" s="59" t="str">
        <f>IF(AT4=0,"y","n")</f>
        <v>n</v>
      </c>
      <c r="CQ4" s="59" t="str">
        <f>IF(AT4=1,"y","n")</f>
        <v>n</v>
      </c>
      <c r="CR4" s="59" t="str">
        <f>IF(AT4=2,"y","n")</f>
        <v>n</v>
      </c>
      <c r="CS4" s="59" t="str">
        <f>IF(AT4&gt;=3,"y","n")</f>
        <v>y</v>
      </c>
      <c r="CT4" s="69" t="str">
        <f>CHAR(34)&amp;A4&amp;CHAR(34)</f>
        <v>"[EGY] Kingdom of Egypt (1922-1952)"</v>
      </c>
      <c r="CU4" s="70" t="str">
        <f>CHAR(34)&amp;"rgn_"&amp;R4&amp;CHAR(34)</f>
        <v>"rgn_Africa"</v>
      </c>
      <c r="CV4" s="48" t="str">
        <f>CHAR(34)&amp;D4&amp;CHAR(34)</f>
        <v>"https://upload.wikimedia.org/wikipedia/commons/thumb/3/38/Flag_of_Egypt_%281922-1958%29.svg/640px-Flag_of_Egypt_%281922-1958%29.svg.png"</v>
      </c>
      <c r="CW4" s="48" t="str">
        <f>IF(CH4="y",CHAR(34)&amp;CH$1&amp;CHAR(34)&amp;",","")</f>
        <v>"2Color",</v>
      </c>
      <c r="CX4" s="48" t="str">
        <f>IF(CI4="y",CHAR(34)&amp;CI$1&amp;CHAR(34)&amp;",","")</f>
        <v/>
      </c>
      <c r="CY4" s="48" t="str">
        <f>IF(CJ4="y",CHAR(34)&amp;CJ$1&amp;CHAR(34)&amp;",","")</f>
        <v/>
      </c>
      <c r="CZ4" s="48" t="str">
        <f>IF(CK4="y",CHAR(34)&amp;CK$1&amp;CHAR(34)&amp;",","")</f>
        <v/>
      </c>
      <c r="DA4" s="48" t="str">
        <f>IF(Q4&gt;1,CHAR(34)&amp;"words2"&amp;CHAR(34)&amp;",","")</f>
        <v>"words2",</v>
      </c>
      <c r="DB4" s="48" t="str">
        <f>IF(Q4&gt;2,CHAR(34)&amp;"words3"&amp;CHAR(34)&amp;",","")</f>
        <v>"words3",</v>
      </c>
      <c r="DD4" s="48" t="str">
        <f>IF(LEN(CHAR(34)&amp;"lets"&amp;LEN(SUBSTITUTE(SUBSTITUTE(IFERROR(TRIM(SUBSTITUTE(A4,MID(A4,FIND("[",A4),FIND("]",A4)-FIND("[",A4)+1),"")),A4)," ",""),"-",""))&amp;CHAR(34)&amp;",")=9,CHAR(34)&amp;"lets"&amp;LEN(SUBSTITUTE(SUBSTITUTE(IFERROR(TRIM(SUBSTITUTE(A4,MID(A4,FIND("[",A4),FIND("]",A4)-FIND("[",A4)+1),"")),A4)," ",""),"-",""))&amp;CHAR(34)&amp;",",CHAR(34)&amp;"lets0"&amp;LEN(SUBSTITUTE(SUBSTITUTE(IFERROR(TRIM(SUBSTITUTE(A4,MID(A4,FIND("[",A4),FIND("]",A4)-FIND("[",A4)+1),"")),A4)," ",""),"-",""))&amp;CHAR(34)&amp;",")</f>
        <v>"lets24",</v>
      </c>
      <c r="DE4" s="48" t="str">
        <f>CHAR(34)&amp;"start"&amp;IFERROR(LEFT(SUBSTITUTE(A4,"["&amp;MID(A4,FIND("[",A4)+1,FIND("]",A4)-FIND("[",A4)-1)&amp;"] ",""),1),LEFT(A4,1))&amp;CHAR(34)&amp;","</f>
        <v>"startK",</v>
      </c>
      <c r="DF4" s="48" t="str">
        <f>IFERROR(IF(SEARCH("tan",A4)&gt;0,CHAR(34)&amp;"withtn"&amp;CHAR(34)&amp;",",""),"")</f>
        <v/>
      </c>
      <c r="DG4" s="48" t="str">
        <f>IFERROR(IF(SEARCH("q",A4)&gt;0,CHAR(34)&amp;"with_q"&amp;CHAR(34)&amp;",",""),"")</f>
        <v/>
      </c>
      <c r="DH4" s="48" t="str">
        <f>IFERROR(IF(SEARCH("v",A4)&gt;0,CHAR(34)&amp;"with_v"&amp;CHAR(34)&amp;",",""),"")</f>
        <v/>
      </c>
      <c r="DI4" s="48" t="str">
        <f>IFERROR(IF(SEARCH("w",A4)&gt;0,CHAR(34)&amp;"with_w"&amp;CHAR(34)&amp;",",""),"")</f>
        <v/>
      </c>
      <c r="DJ4" s="48" t="str">
        <f>IFERROR(IF(SEARCH("y",A4)&gt;0,CHAR(34)&amp;"with_y"&amp;CHAR(34)&amp;",",""),"")</f>
        <v>"with_y",</v>
      </c>
      <c r="DK4" s="48" t="str">
        <f>IFERROR(IF(SEARCH("z",A4)&gt;0,CHAR(34)&amp;"with_z"&amp;CHAR(34)&amp;",",""),"")</f>
        <v/>
      </c>
      <c r="DL4" s="48" t="str">
        <f>IF(CG4=2, CHAR(34) &amp; _xlfn.TEXTJOIN("", TRUE, _xlfn._xlws.SORT(HP4:HX4)) &amp; CHAR(34) &amp; ",", "")</f>
        <v>"GREWHI",</v>
      </c>
      <c r="DM4" s="48" t="str" cm="1">
        <f t="array" ref="DM4">IF(CG4=3,CHAR(34) &amp; _xlfn.TEXTJOIN("", TRUE, RIGHT(HP4:HX4, 2)) &amp; CHAR(34) &amp; ",", "")</f>
        <v/>
      </c>
      <c r="DN4" s="48" t="str">
        <f>IF(AND(ISNUMBER(SEARCH("18", O4)), ISERROR(SEARCH("1918", O4)), ISERROR(SEARCH("2018", O4))), CHAR(34) &amp; "year18" &amp; CHAR(34) &amp; ",", "")</f>
        <v/>
      </c>
      <c r="DO4" s="48" t="str">
        <f>IF(AND(ISNUMBER(SEARCH("19", O4)), ISERROR(SEARCH("1819", O4)),  ISERROR(SEARCH("1219", O4)),ISERROR(SEARCH("1119", O4)),ISERROR(SEARCH("1190", O4)),ISERROR(SEARCH("2019", O4))), CHAR(34) &amp; "year19" &amp; CHAR(34) &amp; ",", "")</f>
        <v>"year19",</v>
      </c>
      <c r="DP4" s="6" t="str">
        <f>IF(AND(ISNUMBER(SEARCH("20", O4)), ISERROR(SEARCH("1920", O4))), CHAR(34)&amp;"year00"&amp;CHAR(34)&amp;",", "")</f>
        <v/>
      </c>
      <c r="DQ4" s="6" t="str">
        <f>IF(CC4="y",CHAR(34)&amp;"soviet"&amp;CHAR(34)&amp;",","")</f>
        <v/>
      </c>
      <c r="DR4" s="6" t="str">
        <f>IF(BY4="y",CHAR(34)&amp;"dgband"&amp;CHAR(34)&amp;",","")</f>
        <v/>
      </c>
      <c r="DS4" s="6" t="str">
        <f>IF(W4="y",IF(AND(V4="n",BY4&lt;&gt;"y"),CHAR(34)&amp;"allver"&amp;CHAR(34)&amp;",",""),"")</f>
        <v/>
      </c>
      <c r="DT4" s="6" t="str">
        <f>IF(V4="y",IF(AND(W4="n",BY4&lt;&gt;"y"),CHAR(34)&amp;"allhor"&amp;CHAR(34)&amp;",",""),"")</f>
        <v/>
      </c>
      <c r="DU4" s="6" t="str">
        <f>IF(BY4="y",IF(AND(W4="n",V4="n"),CHAR(34)&amp;"alldia"&amp;CHAR(34)&amp;",",""),"")</f>
        <v/>
      </c>
      <c r="DW4" s="48" t="str">
        <f>IF(CL4="y",CHAR(34)&amp;CL$1&amp;CHAR(34)&amp;",","")</f>
        <v>"NoBand",</v>
      </c>
      <c r="DX4" s="48" t="str">
        <f>IF(CM4="y",CHAR(34)&amp;CM$1&amp;CHAR(34)&amp;",","")</f>
        <v/>
      </c>
      <c r="DY4" s="48" t="str">
        <f>IF(CN4="y",CHAR(34)&amp;CN$1&amp;CHAR(34)&amp;",","")</f>
        <v/>
      </c>
      <c r="DZ4" s="48" t="str">
        <f>IF(CO4="y",CHAR(34)&amp;CO$1&amp;CHAR(34)&amp;",","")</f>
        <v/>
      </c>
      <c r="EA4" s="48" t="str">
        <f>IF(T4="y",CHAR(34)&amp;T$1&amp;CHAR(34)&amp;",","")</f>
        <v/>
      </c>
      <c r="EB4" s="48" t="str">
        <f>IF(U4="y",CHAR(34)&amp;U$1&amp;CHAR(34)&amp;",","")</f>
        <v/>
      </c>
      <c r="EC4" s="48" t="str">
        <f>IF(V4="y",CHAR(34)&amp;V$1&amp;CHAR(34)&amp;",","")</f>
        <v/>
      </c>
      <c r="ED4" s="48" t="str">
        <f>IF(W4="y",CHAR(34)&amp;W$1&amp;CHAR(34)&amp;",","")</f>
        <v/>
      </c>
      <c r="EE4" s="48" t="str">
        <f>IF(X4="y",CHAR(34)&amp;X$1&amp;CHAR(34)&amp;",","")</f>
        <v/>
      </c>
      <c r="EF4" s="48" t="str">
        <f>IF(AND(Y4&lt;&gt;"n",Y4&lt;&gt;""),CHAR(34)&amp;Y$1&amp;CHAR(34)&amp;",","")</f>
        <v/>
      </c>
      <c r="EG4" s="48" t="str">
        <f>IF(Z4="y",CHAR(34)&amp;Z$1&amp;CHAR(34)&amp;",","")</f>
        <v/>
      </c>
      <c r="EH4" s="48" t="str">
        <f>IF(AA4="y",CHAR(34)&amp;AA$1&amp;CHAR(34)&amp;",","")</f>
        <v/>
      </c>
      <c r="EI4" s="48" t="str">
        <f>IF(AB4="y",CHAR(34)&amp;AB$1&amp;CHAR(34)&amp;",","")</f>
        <v/>
      </c>
      <c r="EJ4" s="48" t="str">
        <f>IF(AC4="y",CHAR(34)&amp;AC$1&amp;CHAR(34)&amp;",","")</f>
        <v/>
      </c>
      <c r="EK4" s="48" t="str">
        <f>IF(AD4="y",CHAR(34)&amp;AD$1&amp;CHAR(34)&amp;",","")</f>
        <v/>
      </c>
      <c r="EL4" s="48" t="str">
        <f>IF(AE4="y",CHAR(34)&amp;AE$1&amp;CHAR(34)&amp;",","")</f>
        <v>"IsMoon",</v>
      </c>
      <c r="EM4" s="48" t="str">
        <f>IF(AF4="y",CHAR(34)&amp;AF$1&amp;CHAR(34)&amp;",","")</f>
        <v/>
      </c>
      <c r="EN4" s="48" t="str">
        <f>IF(AG4="y",CHAR(34)&amp;AG$1&amp;CHAR(34)&amp;",","")</f>
        <v/>
      </c>
      <c r="EO4" s="48" t="str">
        <f>IF(AH4="y",CHAR(34)&amp;AH$1&amp;CHAR(34)&amp;",","")</f>
        <v>"Center",</v>
      </c>
      <c r="EP4" s="48" t="str">
        <f>IF(AI4="y",CHAR(34)&amp;AI$1&amp;CHAR(34)&amp;",","")</f>
        <v/>
      </c>
      <c r="EQ4" s="48" t="str">
        <f>IF(AJ4="y",CHAR(34)&amp;AJ$1&amp;CHAR(34)&amp;",","")</f>
        <v/>
      </c>
      <c r="ER4" s="48" t="str">
        <f>IF(AK4="y",CHAR(34)&amp;AK$1&amp;CHAR(34)&amp;",","")</f>
        <v/>
      </c>
      <c r="ES4" s="48" t="str">
        <f>IF(AL4="y",CHAR(34)&amp;AL$1&amp;CHAR(34)&amp;",","")</f>
        <v/>
      </c>
      <c r="ET4" s="48" t="str">
        <f>IF(AM4="y",CHAR(34)&amp;AM$1&amp;CHAR(34)&amp;",","")</f>
        <v/>
      </c>
      <c r="EU4" s="48" t="str">
        <f>IF(AN4="y",CHAR(34)&amp;AN$1&amp;CHAR(34)&amp;",","")</f>
        <v/>
      </c>
      <c r="EV4" s="48" t="str">
        <f>IF(AO4="y",CHAR(34)&amp;AO$1&amp;CHAR(34)&amp;",","")</f>
        <v/>
      </c>
      <c r="EW4" s="48" t="str">
        <f>IF(AP4="y",CHAR(34)&amp;AP$1&amp;CHAR(34)&amp;",","")</f>
        <v/>
      </c>
      <c r="EX4" s="48" t="str">
        <f>IF(AQ4="y",CHAR(34)&amp;AQ$1&amp;CHAR(34)&amp;",","")</f>
        <v/>
      </c>
      <c r="EY4" s="48" t="str">
        <f>IF(AR4="y",CHAR(34)&amp;AR$1&amp;CHAR(34)&amp;",","")</f>
        <v/>
      </c>
      <c r="EZ4" s="48" t="str">
        <f>IF(AS4="y",CHAR(34)&amp;AS$1&amp;CHAR(34)&amp;",","")</f>
        <v/>
      </c>
      <c r="FA4" s="48" t="str">
        <f>IF(AT4&gt;0,CHAR(34)&amp;"sta"&amp;AZ4&amp;CHAR(34)&amp;",","")</f>
        <v>"staWHI",</v>
      </c>
      <c r="FB4" s="48" t="str">
        <f>IF(AND(AT4&gt;0,BA4&lt;&gt;""),CHAR(34)&amp;"sta"&amp;BA4&amp;CHAR(34)&amp;",","")</f>
        <v/>
      </c>
      <c r="FD4" s="48" t="str">
        <f>IF(BV4="n",CHAR(34)&amp;"tcWHYE"&amp;CHAR(34)&amp;",",IF(BV4="y",CHAR(34)&amp;FD$1&amp;CHAR(34)&amp;",",""))</f>
        <v/>
      </c>
      <c r="FE4" s="48" t="str">
        <f>IF(COUNTIF(BL4:BT4,"BLU")=0,CHAR(34)&amp;"NO_BLU"&amp;CHAR(34)&amp;",", "")</f>
        <v>"NO_BLU",</v>
      </c>
      <c r="FF4" s="48" t="str">
        <f>IF(COUNTIF(BL4:BT4,"WHI")=0,CHAR(34)&amp;"NO_WHI"&amp;CHAR(34)&amp;",", "")</f>
        <v/>
      </c>
      <c r="FG4" s="48" t="str">
        <f>IF(COUNTIF(BL4:BT4,"RED")=0,CHAR(34)&amp;"NO_RED"&amp;CHAR(34)&amp;",", "")</f>
        <v>"NO_RED",</v>
      </c>
      <c r="FH4" s="48" t="str">
        <f>IF(COUNTIF(BL4:BS4,"GRE")=0,CHAR(34)&amp;"NO_GRE"&amp;CHAR(34)&amp;",", "")</f>
        <v/>
      </c>
      <c r="FI4" s="48" t="str">
        <f>IF(COUNTIF(BL4:BT4,"YEL")=0,CHAR(34)&amp;"NO_YEL"&amp;CHAR(34)&amp;",", "")</f>
        <v>"NO_YEL",</v>
      </c>
      <c r="FJ4" s="48" t="str">
        <f>IF(COUNTIF(BL4:BT4,"BLA")=0,CHAR(34)&amp;"NO_BLA"&amp;CHAR(34)&amp;",", "")</f>
        <v>"NO_BLA",</v>
      </c>
      <c r="FK4" s="48" t="str">
        <f>IF(AND(FH4&lt;&gt;"",FF4&lt;&gt;""),CHAR(34)&amp;"WHGRNO"&amp;CHAR(34)&amp;",","")</f>
        <v/>
      </c>
      <c r="FL4" s="48" t="str">
        <f>IF(AND(FI4&lt;&gt;"",FF4&lt;&gt;""),CHAR(34)&amp;"WHYENO"&amp;CHAR(34)&amp;",","")</f>
        <v/>
      </c>
      <c r="FM4" s="48" t="str">
        <f>IF(AND(FJ4&lt;&gt;"",FF4&lt;&gt;""),CHAR(34)&amp;"BAWHNO"&amp;CHAR(34)&amp;",","")</f>
        <v/>
      </c>
      <c r="FN4" s="48" t="str">
        <f>IF(AND(FE4&lt;&gt;"",FF4&lt;&gt;""),CHAR(34)&amp;"BLWHNO"&amp;CHAR(34)&amp;",","")</f>
        <v/>
      </c>
      <c r="FO4" s="48" t="str">
        <f>IF(AND(FE4&lt;&gt;"",FG4&lt;&gt;""),CHAR(34)&amp;"BLRENO"&amp;CHAR(34)&amp;",","")</f>
        <v>"BLRENO",</v>
      </c>
      <c r="FP4" s="48" t="str">
        <f>IF(AND(FF4&lt;&gt;"",FF4&lt;&gt;""),CHAR(34)&amp;"WHRENO"&amp;CHAR(34)&amp;",","")</f>
        <v/>
      </c>
      <c r="FQ4" s="48" t="str">
        <f>IF(LEN(BF4)=3,CHAR(34)&amp;"001"&amp;BF4&amp;CHAR(34)&amp;",","")</f>
        <v/>
      </c>
      <c r="FR4" s="48" t="str">
        <f>IF(LEN(BG4)=3,CHAR(34)&amp;"002"&amp;BG4&amp;CHAR(34)&amp;",","")</f>
        <v/>
      </c>
      <c r="FS4" s="48" t="str">
        <f>IF(LEN(BH4)=3,CHAR(34)&amp;"003"&amp;BH4&amp;CHAR(34)&amp;",","")</f>
        <v/>
      </c>
      <c r="FT4" s="48" t="str">
        <f>CHAR(34)&amp;"myr"&amp;BD4&amp;CHAR(34)&amp;","</f>
        <v>"myrGRE",</v>
      </c>
      <c r="FU4" s="48" t="str">
        <f>IF(AY4="y",CHAR(34)&amp;"island"&amp;CHAR(34)&amp;",","")</f>
        <v/>
      </c>
      <c r="FV4" s="48" t="str">
        <f>IF(BZ4="y",CHAR(34)&amp;"landlo"&amp;CHAR(34)&amp;",","")</f>
        <v/>
      </c>
      <c r="FW4" s="48" t="str">
        <f>IF(CA4="y",CHAR(34)&amp;"eunion"&amp;CHAR(34)&amp;",","")</f>
        <v/>
      </c>
      <c r="FY4" s="48" t="str">
        <f>IFERROR(IF(SEARCH("Arabic",CB4)&gt;0,CHAR(34)&amp;"arabic"&amp;CHAR(34)&amp;",",""),"")</f>
        <v/>
      </c>
      <c r="FZ4" s="48" t="str">
        <f>IFERROR(IF(SEARCH("English",CB4)&gt;0,CHAR(34)&amp;"englis"&amp;CHAR(34)&amp;",",""),"")</f>
        <v/>
      </c>
      <c r="GA4" s="48" t="str">
        <f>IFERROR(IF(SEARCH("French",CB4)&gt;0,CHAR(34)&amp;"french"&amp;CHAR(34)&amp;",",""),"")</f>
        <v/>
      </c>
      <c r="GB4" s="48" t="str">
        <f>IFERROR(IF(SEARCH("Spanish",CB4)&gt;0,CHAR(34)&amp;"spanis"&amp;CHAR(34)&amp;",",""),"")</f>
        <v/>
      </c>
      <c r="GE4" s="48" t="str">
        <f>IFERROR(IF(SEARCH("Dutch",CB4)&gt;0,CHAR(34)&amp;"dutchs"&amp;CHAR(34)&amp;",",""),"")</f>
        <v/>
      </c>
      <c r="GF4" s="48" t="str">
        <f>IFERROR(IF(SEARCH("Historical",AU4)&gt;0,CHAR(34)&amp;"histor"&amp;CHAR(34)&amp;",",""),"")</f>
        <v>"histor",</v>
      </c>
      <c r="GG4" s="48" t="str">
        <f>IF(BU4="y",CHAR(34)&amp;"unjack"&amp;CHAR(34)&amp;",","")</f>
        <v/>
      </c>
      <c r="GH4" s="48" t="str">
        <f>IF(CD4=1,CHAR(34)&amp;"southc"&amp;CHAR(34)&amp;",","")</f>
        <v/>
      </c>
      <c r="GI4" s="48" t="str">
        <f>IF(CE4=1,CHAR(34)&amp;"hasmap"&amp;CHAR(34)&amp;",","")</f>
        <v/>
      </c>
      <c r="GJ4" s="48" t="str">
        <f>IF(CP4="y",CHAR(34)&amp;CP$1&amp;CHAR(34)&amp;",","")</f>
        <v/>
      </c>
      <c r="GK4" s="48" t="str">
        <f>IF(GJ4="",CHAR(34)&amp;"HasSta"&amp;CHAR(34)&amp;",","")</f>
        <v>"HasSta",</v>
      </c>
      <c r="GL4" s="48" t="str">
        <f>IF(CQ4="y",CHAR(34)&amp;CQ$1&amp;CHAR(34)&amp;",","")</f>
        <v/>
      </c>
      <c r="GM4" s="48" t="str">
        <f>IF(CR4="y",CHAR(34)&amp;CR$1&amp;CHAR(34)&amp;",","")</f>
        <v/>
      </c>
      <c r="GN4" s="48" t="str">
        <f>IF(CS4="y",CHAR(34)&amp;CS$1&amp;CHAR(34)&amp;",","")</f>
        <v>"3+Star",</v>
      </c>
      <c r="GP4" s="48" t="str">
        <f>CHAR(34)&amp;AU4&amp;CHAR(34)</f>
        <v>"Historical"</v>
      </c>
      <c r="GS4" s="48" t="str">
        <f>SUBSTITUTE("["&amp;_xlfn.CONCAT(CW4:GN4)&amp;"]",",]","]")</f>
        <v>["2Color","words2","words3","lets24","startK","with_y","GREWHI","year19","NoBand","IsMoon","Center","staWHI","NO_BLU","NO_RED","NO_YEL","NO_BLA","BLRENO","myrGRE","histor","HasSta","3+Star"]</v>
      </c>
      <c r="GT4" s="48" t="str">
        <f>IF(BL4&lt;&gt;"",CHAR(34)&amp;"cl_"&amp;BL4&amp;CHAR(34)&amp;",","")</f>
        <v/>
      </c>
      <c r="GU4" s="48" t="str">
        <f>IF(BM4&lt;&gt;"",CHAR(34)&amp;"cl_"&amp;BM4&amp;CHAR(34)&amp;",","")</f>
        <v/>
      </c>
      <c r="GV4" s="48" t="str">
        <f>IF(BN4&lt;&gt;"",CHAR(34)&amp;"cl_"&amp;BN4&amp;CHAR(34)&amp;",","")</f>
        <v>"cl_GRE",</v>
      </c>
      <c r="GW4" s="48" t="str">
        <f>IF(BO4&lt;&gt;"",CHAR(34)&amp;"cl_"&amp;BO4&amp;CHAR(34)&amp;",","")</f>
        <v/>
      </c>
      <c r="GX4" s="48" t="str">
        <f>IF(BP4&lt;&gt;"",CHAR(34)&amp;"cl_"&amp;BP4&amp;CHAR(34)&amp;",","")</f>
        <v/>
      </c>
      <c r="GY4" s="48" t="str">
        <f>IF(BQ4&lt;&gt;"",CHAR(34)&amp;"cl_"&amp;BQ4&amp;CHAR(34)&amp;",","")</f>
        <v/>
      </c>
      <c r="GZ4" s="48" t="str">
        <f>IF(BR4&lt;&gt;"",CHAR(34)&amp;"cl_"&amp;BR4&amp;CHAR(34)&amp;",","")</f>
        <v/>
      </c>
      <c r="HA4" s="48" t="str">
        <f>IF(BS4&lt;&gt;"",CHAR(34)&amp;"cl_"&amp;BS4&amp;CHAR(34)&amp;",","")</f>
        <v/>
      </c>
      <c r="HB4" s="48" t="str">
        <f>IF(BT4&lt;&gt;"",CHAR(34)&amp;"cl_"&amp;BT4&amp;CHAR(34)&amp;",","")</f>
        <v>"cl_WHI",</v>
      </c>
      <c r="HC4" s="48" t="str">
        <f>SUBSTITUTE("["&amp;_xlfn.CONCAT(GT4:HB4)&amp;"]",",]","]")</f>
        <v>["cl_GRE","cl_WHI"]</v>
      </c>
      <c r="HE4" s="71"/>
      <c r="HF4" s="72" t="str">
        <f>"{couname:"&amp;CT4&amp;(IF(HK4&lt;&gt;"",",subtype:"&amp;CHAR(34)&amp;HK4&amp;CHAR(34),""))&amp;",year:"&amp;HJ4&amp;",region:"&amp;CU4&amp;",Colors:"&amp;HC4&amp;",Items:"&amp;GS4&amp;",Flag:"&amp;CV4&amp;",HDFlag:"&amp;CHAR(34)&amp;E4&amp;CHAR(34)&amp;",type:"&amp;GP4&amp;", describe: "&amp;HH4&amp;", isnew:"&amp;CHAR(34)&amp;F4&amp;CHAR(34)&amp;", links: "&amp;HL4&amp;"},"</f>
        <v>{couname:"[EGY] Kingdom of Egypt (1922-1952)",year:"1923",region:"rgn_Africa",Colors:["cl_GRE","cl_WHI"],Items:["2Color","words2","words3","lets24","startK","with_y","GREWHI","year19","NoBand","IsMoon","Center","staWHI","NO_BLU","NO_RED","NO_YEL","NO_BLA","BLRENO","myrGRE","histor","HasSta","3+Star"],Flag:"https://upload.wikimedia.org/wikipedia/commons/thumb/3/38/Flag_of_Egypt_%281922-1958%29.svg/640px-Flag_of_Egypt_%281922-1958%29.svg.png",HDFlag:"https://upload.wikimedia.org/wikipedia/commons/thumb/3/38/Flag_of_Egypt_%281922-1958%29.svg/2560px-Flag_of_Egypt_%281922-1958%29.svg.png",type:"Historical", describe: "\nThe flag consists of a green background with a white crescent containing three five-pointed white stars. The three stars symbolised the three component territories of the Kingdom, namely Egypt, Nubia, and Sudan, while the green signifies the agricultural nature of the country, other sources suggest that it symbolised the predominant religion of the country, Islam.", isnew:".", links: "https://en.wikipedia.org/wiki/Kingdom_of_Egypt"},</v>
      </c>
      <c r="HG4" s="73" t="str">
        <f>"{couname:"&amp;CT4&amp;(IF(HK4&lt;&gt;"",",subtype:"&amp;CHAR(34)&amp;HK4&amp;CHAR(34),""))&amp;",year:"&amp;HJ4&amp;",region:"&amp;CU4&amp;",Colors:"&amp;HC4&amp;",Items:"&amp;GS4&amp;",Flag:"&amp;CV4&amp;",HDFlag:"&amp;CHAR(34)&amp;E4&amp;CHAR(34)&amp;",type:"&amp;GP4&amp;", describe: "&amp;HI4&amp;", links: "&amp;HL4&amp;"},"</f>
        <v>{couname:"[EGY] Kingdom of Egypt (1922-1952)",year:"1923",region:"rgn_Africa",Colors:["cl_GRE","cl_WHI"],Items:["2Color","words2","words3","lets24","startK","with_y","GREWHI","year19","NoBand","IsMoon","Center","staWHI","NO_BLU","NO_RED","NO_YEL","NO_BLA","BLRENO","myrGRE","histor","HasSta","3+Star"],Flag:"https://upload.wikimedia.org/wikipedia/commons/thumb/3/38/Flag_of_Egypt_%281922-1958%29.svg/640px-Flag_of_Egypt_%281922-1958%29.svg.png",HDFlag:"https://upload.wikimedia.org/wikipedia/commons/thumb/3/38/Flag_of_Egypt_%281922-1958%29.svg/2560px-Flag_of_Egypt_%281922-1958%29.svg.png",type:"Historical", describe: "\nThe flag consists of a green background with a white crescent containing three five-pointed white stars. The three stars symbolised the three component territories of the Kingdom, namely Egypt, Nubia, and Sudan, while the green signifies the agricultural nature of the country, other sources suggest that it symbolised the predominant religion of the country, Islam.", links: "https://en.wikipedia.org/wiki/Kingdom_of_Egypt"},</v>
      </c>
      <c r="HH4" s="48" t="str">
        <f>IF(P4&lt;&gt;"",CHAR(34)&amp;"\n"&amp;P4&amp;CHAR(34),CHAR(34)&amp;CHAR(34))</f>
        <v>"\nThe flag consists of a green background with a white crescent containing three five-pointed white stars. The three stars symbolised the three component territories of the Kingdom, namely Egypt, Nubia, and Sudan, while the green signifies the agricultural nature of the country, other sources suggest that it symbolised the predominant religion of the country, Islam."</v>
      </c>
      <c r="HI4" s="48" t="str">
        <f>IF(J4=0,CHAR(34)&amp;CHAR(34),HH4)</f>
        <v>"\nThe flag consists of a green background with a white crescent containing three five-pointed white stars. The three stars symbolised the three component territories of the Kingdom, namely Egypt, Nubia, and Sudan, while the green signifies the agricultural nature of the country, other sources suggest that it symbolised the predominant religion of the country, Islam."</v>
      </c>
      <c r="HJ4" s="48" t="str">
        <f>CHAR(34)&amp;O4&amp;CHAR(34)</f>
        <v>"1923"</v>
      </c>
      <c r="HL4" s="48" t="str">
        <f>CHAR(34)&amp;I4&amp;CHAR(34)</f>
        <v>"https://en.wikipedia.org/wiki/Kingdom_of_Egypt"</v>
      </c>
      <c r="HM4" s="72"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"&amp;HH4&amp;", "&amp;CHAR(34)&amp;"isnew"&amp;CHAR(34)&amp;": "&amp;CHAR(34)&amp;F4&amp;CHAR(34)&amp;", "&amp;CHAR(34)&amp;"links"&amp;CHAR(34)&amp;": "&amp;HL4&amp;"},"</f>
        <v>{"couname":"[EGY] Kingdom of Egypt (1922-1952)","subtype":"[EGY] Other","year":"1923","region":"rgn_Africa","Colors":["cl_GRE","cl_WHI"],"Items":["2Color","words2","words3","lets24","startK","with_y","GREWHI","year19","NoBand","IsMoon","Center","staWHI","NO_BLU","NO_RED","NO_YEL","NO_BLA","BLRENO","myrGRE","histor","HasSta","3+Star"],"Flag":"https://upload.wikimedia.org/wikipedia/commons/thumb/3/38/Flag_of_Egypt_%281922-1958%29.svg/640px-Flag_of_Egypt_%281922-1958%29.svg.png","HDFlag":"https://upload.wikimedia.org/wikipedia/commons/thumb/3/38/Flag_of_Egypt_%281922-1958%29.svg/2560px-Flag_of_Egypt_%281922-1958%29.svg.png","type":"Historical", "describe": "\nThe flag consists of a green background with a white crescent containing three five-pointed white stars. The three stars symbolised the three component territories of the Kingdom, namely Egypt, Nubia, and Sudan, while the green signifies the agricultural nature of the country, other sources suggest that it symbolised the predominant religion of the country, Islam.", "isnew": ".", "links": "https://en.wikipedia.org/wiki/Kingdom_of_Egypt"},</v>
      </c>
      <c r="HN4" s="74"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"&amp;HI4&amp;", "&amp;CHAR(34)&amp;"isnew"&amp;CHAR(34)&amp;": "&amp;CHAR(34)&amp;F4&amp;CHAR(34)&amp;", "&amp;CHAR(34)&amp;"links"&amp;CHAR(34)&amp;": "&amp;HL4&amp;"},"</f>
        <v>{"couname":"[EGY] Kingdom of Egypt (1922-1952)","subtype":"[EGY] Other","year":"1923","region":"rgn_Africa","Colors":["cl_GRE","cl_WHI"],"Items":["2Color","words2","words3","lets24","startK","with_y","GREWHI","year19","NoBand","IsMoon","Center","staWHI","NO_BLU","NO_RED","NO_YEL","NO_BLA","BLRENO","myrGRE","histor","HasSta","3+Star"],"Flag":"https://upload.wikimedia.org/wikipedia/commons/thumb/3/38/Flag_of_Egypt_%281922-1958%29.svg/640px-Flag_of_Egypt_%281922-1958%29.svg.png","HDFlag":"https://upload.wikimedia.org/wikipedia/commons/thumb/3/38/Flag_of_Egypt_%281922-1958%29.svg/2560px-Flag_of_Egypt_%281922-1958%29.svg.png","type":"Historical", "describe": "\nThe flag consists of a green background with a white crescent containing three five-pointed white stars. The three stars symbolised the three component territories of the Kingdom, namely Egypt, Nubia, and Sudan, while the green signifies the agricultural nature of the country, other sources suggest that it symbolised the predominant religion of the country, Islam.", "isnew": ".", "links": "https://en.wikipedia.org/wiki/Kingdom_of_Egypt"},</v>
      </c>
      <c r="HO4" s="75">
        <v>45610</v>
      </c>
      <c r="HP4" s="48" t="str" cm="1">
        <f t="array" ref="HP4">IF(_xlfn.TEXTJOIN(", ", TRUE, IF(ISNUMBER(SEARCH("BLA", BL4:BT4)), COLUMN(BL4:BT4) - COLUMN(BL4) + 1, ""))&lt;&gt;"","BLA","")</f>
        <v/>
      </c>
      <c r="HQ4" s="48" t="str" cm="1">
        <f t="array" ref="HQ4">IF(_xlfn.TEXTJOIN(", ", TRUE, IF(ISNUMBER(SEARCH("BLU", BL4:BT4)), COLUMN(BL4:BT4) - COLUMN(BL4) + 1, ""))&lt;&gt;"","BLU","")</f>
        <v/>
      </c>
      <c r="HR4" s="48" t="str" cm="1">
        <f t="array" ref="HR4">IF(_xlfn.TEXTJOIN(", ", TRUE, IF(ISNUMBER(SEARCH("GRE", BL4:BT4)), COLUMN(BL4:BT4) - COLUMN(BL4) + 1, ""))&lt;&gt;"","GRE","")</f>
        <v>GRE</v>
      </c>
      <c r="HS4" s="48" t="str" cm="1">
        <f t="array" ref="HS4">IF(_xlfn.TEXTJOIN(", ", TRUE, IF(ISNUMBER(SEARCH("RED", BL4:BT4)), COLUMN(BL4:BT4) - COLUMN(BL4) + 1, ""))&lt;&gt;"","RED","")</f>
        <v/>
      </c>
      <c r="HT4" s="48" t="str" cm="1">
        <f t="array" ref="HT4">IF(_xlfn.TEXTJOIN(", ", TRUE, IF(ISNUMBER(SEARCH("YEL", BL4:BT4)), COLUMN(BL4:BT4) - COLUMN(BL4) + 1, ""))&lt;&gt;"","YEL","")</f>
        <v/>
      </c>
      <c r="HU4" s="48" t="str" cm="1">
        <f t="array" ref="HU4">IF(_xlfn.TEXTJOIN(", ", TRUE, IF(ISNUMBER(SEARCH("ORA", BL4:BT4)), COLUMN(BL4:BT4) - COLUMN(BL4) + 1, ""))&lt;&gt;"","ORA","")</f>
        <v/>
      </c>
      <c r="HV4" s="48" t="str" cm="1">
        <f t="array" ref="HV4">IF(_xlfn.TEXTJOIN(", ", TRUE, IF(ISNUMBER(SEARCH("BRO", BL4:BT4)), COLUMN(BL4:BT4) - COLUMN(BL4) + 1, ""))&lt;&gt;"","BRO","")</f>
        <v/>
      </c>
      <c r="HW4" s="48" t="str" cm="1">
        <f t="array" ref="HW4">IF(_xlfn.TEXTJOIN(", ", TRUE, IF(ISNUMBER(SEARCH("PUR", BL4:BT4)), COLUMN(BL4:BT4) - COLUMN(BL4) + 1, ""))&lt;&gt;"","PUR","")</f>
        <v/>
      </c>
      <c r="HX4" s="48" t="str" cm="1">
        <f t="array" ref="HX4">IF(_xlfn.TEXTJOIN(", ", TRUE, IF(ISNUMBER(SEARCH("WHI", BL4:BT4)), COLUMN(BL4:BT4) - COLUMN(BL4) + 1, ""))&lt;&gt;"","WHI","")</f>
        <v>WHI</v>
      </c>
      <c r="HY4" s="76"/>
      <c r="HZ4" s="76"/>
      <c r="IA4" s="6"/>
      <c r="IB4" s="6"/>
      <c r="IC4" s="77"/>
      <c r="ID4" s="77"/>
      <c r="IE4" s="77"/>
      <c r="IF4" s="77"/>
      <c r="IG4" s="77"/>
      <c r="IH4" s="77"/>
      <c r="II4" s="77"/>
      <c r="IJ4" s="77"/>
      <c r="IK4" s="77"/>
      <c r="IM4" s="45">
        <f>COUNTIF(IC4:IK4,"&gt;0")-CG4</f>
        <v>-2</v>
      </c>
      <c r="IN4" s="78" t="str">
        <f>"http://mkweb.bcgsc.ca/color-summarizer/?url="&amp;D4&amp;"&amp;precision=low&amp;num_clusters="&amp;CG4&amp;"&amp;text=1"</f>
        <v>http://mkweb.bcgsc.ca/color-summarizer/?url=https://upload.wikimedia.org/wikipedia/commons/thumb/3/38/Flag_of_Egypt_%281922-1958%29.svg/640px-Flag_of_Egypt_%281922-1958%29.svg.png&amp;precision=low&amp;num_clusters=2&amp;text=1</v>
      </c>
      <c r="IO4" s="48" t="str">
        <f>IF(HP4&lt;&gt;"",CHAR(34)&amp;"black"&amp;CHAR(34),"")</f>
        <v/>
      </c>
      <c r="IP4" s="48" t="str">
        <f>IF(HQ4&lt;&gt;"",CHAR(34)&amp;"blue"&amp;CHAR(34),"")</f>
        <v/>
      </c>
      <c r="IQ4" s="48" t="str">
        <f>IF(HR4&lt;&gt;"",CHAR(34)&amp;"green"&amp;CHAR(34),"")</f>
        <v>"green"</v>
      </c>
      <c r="IR4" s="48" t="str">
        <f>IF(HS4&lt;&gt;"",CHAR(34)&amp;"red"&amp;CHAR(34),"")</f>
        <v/>
      </c>
      <c r="IS4" s="48" t="str">
        <f>IF(HT4&lt;&gt;"",CHAR(34)&amp;"yellow"&amp;CHAR(34),"")</f>
        <v/>
      </c>
      <c r="IT4" s="48" t="str">
        <f>IF(HU4&lt;&gt;"",CHAR(34)&amp;"orange"&amp;CHAR(34),"")</f>
        <v/>
      </c>
      <c r="IU4" s="48" t="str">
        <f>IF(HV4&lt;&gt;"",CHAR(34)&amp;"brown"&amp;CHAR(34),"")</f>
        <v/>
      </c>
      <c r="IV4" s="48" t="str">
        <f>IF(HW4&lt;&gt;"",CHAR(34)&amp;"purple"&amp;CHAR(34),"")</f>
        <v/>
      </c>
      <c r="IW4" s="48" t="str">
        <f>IF(HX4&lt;&gt;"",CHAR(34)&amp;"white"&amp;CHAR(34),"")</f>
        <v>"white"</v>
      </c>
      <c r="IX4" s="48" t="str">
        <f>"{"&amp;CHAR(34)&amp;"url"&amp;CHAR(34)&amp;":"&amp;CHAR(34)&amp;IN4&amp;CHAR(34)&amp;","&amp;CHAR(34)&amp;"name"&amp;CHAR(34)&amp;":"&amp;CHAR(34)&amp;A4&amp;CHAR(34)&amp;"},"</f>
        <v>{"url":"http://mkweb.bcgsc.ca/color-summarizer/?url=https://upload.wikimedia.org/wikipedia/commons/thumb/3/38/Flag_of_Egypt_%281922-1958%29.svg/640px-Flag_of_Egypt_%281922-1958%29.svg.png&amp;precision=low&amp;num_clusters=2&amp;text=1","name":"[EGY] Kingdom of Egypt (1922-1952)"},</v>
      </c>
      <c r="IY4" s="48">
        <v>1271</v>
      </c>
    </row>
    <row r="5" spans="1:259" ht="38.4" customHeight="1" x14ac:dyDescent="0.3">
      <c r="F5" s="82"/>
      <c r="G5" s="82"/>
      <c r="H5" s="82"/>
      <c r="I5" s="82"/>
      <c r="J5" s="82"/>
      <c r="K5" s="82"/>
    </row>
    <row r="6" spans="1:259" ht="38.4" customHeight="1" x14ac:dyDescent="0.3">
      <c r="F6" s="82"/>
      <c r="G6" s="82"/>
      <c r="H6" s="82"/>
      <c r="I6" s="82"/>
      <c r="J6" s="82"/>
      <c r="K6" s="82"/>
    </row>
  </sheetData>
  <autoFilter ref="A1:IY1" xr:uid="{A1051193-A95B-4CFB-A73C-F0184620C81F}">
    <sortState xmlns:xlrd2="http://schemas.microsoft.com/office/spreadsheetml/2017/richdata2" ref="A2:IY4">
      <sortCondition ref="AW1"/>
    </sortState>
  </autoFilter>
  <conditionalFormatting sqref="H1 CW1:GS1 IA1:IB1">
    <cfRule type="cellIs" dxfId="4977" priority="118" operator="greaterThan">
      <formula>0</formula>
    </cfRule>
  </conditionalFormatting>
  <conditionalFormatting sqref="H1 H7:H1048576">
    <cfRule type="cellIs" dxfId="4976" priority="84" stopIfTrue="1" operator="notEqual">
      <formula>""</formula>
    </cfRule>
  </conditionalFormatting>
  <conditionalFormatting sqref="T1:BK1">
    <cfRule type="cellIs" dxfId="4975" priority="121" operator="greaterThan">
      <formula>0</formula>
    </cfRule>
  </conditionalFormatting>
  <conditionalFormatting sqref="BV1:BW1 BV5:BW1048576">
    <cfRule type="cellIs" dxfId="4974" priority="120" operator="equal">
      <formula>"nc"</formula>
    </cfRule>
  </conditionalFormatting>
  <conditionalFormatting sqref="HF1:HG1">
    <cfRule type="cellIs" dxfId="4973" priority="122" operator="greaterThan">
      <formula>0</formula>
    </cfRule>
  </conditionalFormatting>
  <conditionalFormatting sqref="HK1">
    <cfRule type="cellIs" dxfId="4972" priority="119" operator="greaterThan">
      <formula>0</formula>
    </cfRule>
  </conditionalFormatting>
  <conditionalFormatting sqref="HP1:HX1">
    <cfRule type="cellIs" dxfId="4971" priority="96" operator="equal">
      <formula>"PIN"</formula>
    </cfRule>
    <cfRule type="cellIs" dxfId="4970" priority="97" operator="equal">
      <formula>"ORA"</formula>
    </cfRule>
    <cfRule type="cellIs" dxfId="4969" priority="98" operator="equal">
      <formula>"GRA"</formula>
    </cfRule>
    <cfRule type="cellIs" dxfId="4968" priority="99" operator="equal">
      <formula>"PUR"</formula>
    </cfRule>
    <cfRule type="cellIs" dxfId="4967" priority="100" operator="equal">
      <formula>"BRO"</formula>
    </cfRule>
    <cfRule type="cellIs" dxfId="4966" priority="101" operator="equal">
      <formula>"YEL"</formula>
    </cfRule>
    <cfRule type="cellIs" dxfId="4965" priority="102" operator="equal">
      <formula>"BLU"</formula>
    </cfRule>
    <cfRule type="cellIs" dxfId="4964" priority="103" operator="equal">
      <formula>"WHI"</formula>
    </cfRule>
    <cfRule type="cellIs" dxfId="4963" priority="104" operator="equal">
      <formula>"GRE"</formula>
    </cfRule>
    <cfRule type="cellIs" dxfId="4962" priority="105" operator="equal">
      <formula>"RED"</formula>
    </cfRule>
    <cfRule type="cellIs" dxfId="4961" priority="106" operator="equal">
      <formula>"BLA"</formula>
    </cfRule>
  </conditionalFormatting>
  <conditionalFormatting sqref="IC1:IK1">
    <cfRule type="cellIs" dxfId="4960" priority="107" operator="equal">
      <formula>"PIN"</formula>
    </cfRule>
    <cfRule type="cellIs" dxfId="4959" priority="108" operator="equal">
      <formula>"ORA"</formula>
    </cfRule>
    <cfRule type="cellIs" dxfId="4958" priority="109" operator="equal">
      <formula>"GRA"</formula>
    </cfRule>
    <cfRule type="cellIs" dxfId="4957" priority="110" operator="equal">
      <formula>"PUR"</formula>
    </cfRule>
    <cfRule type="cellIs" dxfId="4956" priority="111" operator="equal">
      <formula>"BRO"</formula>
    </cfRule>
    <cfRule type="cellIs" dxfId="4955" priority="112" operator="equal">
      <formula>"YEL"</formula>
    </cfRule>
    <cfRule type="cellIs" dxfId="4954" priority="113" operator="equal">
      <formula>"BLU"</formula>
    </cfRule>
    <cfRule type="cellIs" dxfId="4953" priority="114" operator="equal">
      <formula>"WHI"</formula>
    </cfRule>
    <cfRule type="cellIs" dxfId="4952" priority="115" operator="equal">
      <formula>"GRE"</formula>
    </cfRule>
    <cfRule type="cellIs" dxfId="4951" priority="116" operator="equal">
      <formula>"RED"</formula>
    </cfRule>
    <cfRule type="cellIs" dxfId="4950" priority="117" operator="equal">
      <formula>"BLA"</formula>
    </cfRule>
  </conditionalFormatting>
  <conditionalFormatting sqref="IO1:IW1">
    <cfRule type="cellIs" dxfId="4949" priority="85" operator="equal">
      <formula>"PIN"</formula>
    </cfRule>
    <cfRule type="cellIs" dxfId="4948" priority="86" operator="equal">
      <formula>"ORA"</formula>
    </cfRule>
    <cfRule type="cellIs" dxfId="4947" priority="87" operator="equal">
      <formula>"GRA"</formula>
    </cfRule>
    <cfRule type="cellIs" dxfId="4946" priority="88" operator="equal">
      <formula>"PUR"</formula>
    </cfRule>
    <cfRule type="cellIs" dxfId="4945" priority="89" operator="equal">
      <formula>"BRO"</formula>
    </cfRule>
    <cfRule type="cellIs" dxfId="4944" priority="90" operator="equal">
      <formula>"YEL"</formula>
    </cfRule>
    <cfRule type="cellIs" dxfId="4943" priority="91" operator="equal">
      <formula>"BLU"</formula>
    </cfRule>
    <cfRule type="cellIs" dxfId="4942" priority="92" operator="equal">
      <formula>"WHI"</formula>
    </cfRule>
    <cfRule type="cellIs" dxfId="4941" priority="93" operator="equal">
      <formula>"GRE"</formula>
    </cfRule>
    <cfRule type="cellIs" dxfId="4940" priority="94" operator="equal">
      <formula>"RED"</formula>
    </cfRule>
    <cfRule type="cellIs" dxfId="4939" priority="95" operator="equal">
      <formula>"BLA"</formula>
    </cfRule>
  </conditionalFormatting>
  <conditionalFormatting sqref="H2">
    <cfRule type="cellIs" dxfId="4938" priority="77" stopIfTrue="1" operator="notEqual">
      <formula>""</formula>
    </cfRule>
  </conditionalFormatting>
  <conditionalFormatting sqref="R2 CU2">
    <cfRule type="cellIs" dxfId="4937" priority="79" operator="greaterThan">
      <formula>0</formula>
    </cfRule>
  </conditionalFormatting>
  <conditionalFormatting sqref="T2:AS2 CH2:CS2">
    <cfRule type="cellIs" dxfId="4936" priority="74" stopIfTrue="1" operator="equal">
      <formula>"n"</formula>
    </cfRule>
    <cfRule type="cellIs" dxfId="4935" priority="75" stopIfTrue="1" operator="equal">
      <formula>"y"</formula>
    </cfRule>
    <cfRule type="cellIs" dxfId="4934" priority="76" operator="greaterThan">
      <formula>0</formula>
    </cfRule>
  </conditionalFormatting>
  <conditionalFormatting sqref="AZ2:BB2">
    <cfRule type="expression" dxfId="4933" priority="61">
      <formula>$AT2=0</formula>
    </cfRule>
  </conditionalFormatting>
  <conditionalFormatting sqref="AZ2:BU2">
    <cfRule type="cellIs" dxfId="4932" priority="62" operator="equal">
      <formula>"PIN"</formula>
    </cfRule>
    <cfRule type="cellIs" dxfId="4931" priority="63" operator="equal">
      <formula>"ORA"</formula>
    </cfRule>
    <cfRule type="cellIs" dxfId="4930" priority="64" operator="equal">
      <formula>"GRA"</formula>
    </cfRule>
    <cfRule type="cellIs" dxfId="4929" priority="65" operator="equal">
      <formula>"PUR"</formula>
    </cfRule>
    <cfRule type="cellIs" dxfId="4928" priority="66" operator="equal">
      <formula>"BRO"</formula>
    </cfRule>
    <cfRule type="cellIs" dxfId="4927" priority="67" operator="equal">
      <formula>"YEL"</formula>
    </cfRule>
    <cfRule type="cellIs" dxfId="4926" priority="68" operator="equal">
      <formula>"BLU"</formula>
    </cfRule>
    <cfRule type="cellIs" dxfId="4925" priority="69" operator="equal">
      <formula>"WHI"</formula>
    </cfRule>
    <cfRule type="cellIs" dxfId="4924" priority="70" operator="equal">
      <formula>"GRE"</formula>
    </cfRule>
    <cfRule type="cellIs" dxfId="4923" priority="71" operator="equal">
      <formula>"RED"</formula>
    </cfRule>
    <cfRule type="cellIs" dxfId="4922" priority="72" operator="equal">
      <formula>"BLA"</formula>
    </cfRule>
  </conditionalFormatting>
  <conditionalFormatting sqref="BV2">
    <cfRule type="cellIs" dxfId="4921" priority="78" operator="equal">
      <formula>"nc"</formula>
    </cfRule>
  </conditionalFormatting>
  <conditionalFormatting sqref="CD2:CF2 BZ2:CA2">
    <cfRule type="cellIs" dxfId="4920" priority="73" operator="greaterThan">
      <formula>0</formula>
    </cfRule>
  </conditionalFormatting>
  <conditionalFormatting sqref="IC2:IK2">
    <cfRule type="expression" dxfId="4919" priority="60">
      <formula>$IL2&gt;0</formula>
    </cfRule>
  </conditionalFormatting>
  <conditionalFormatting sqref="BX2:CA2 CD2:CF2">
    <cfRule type="cellIs" dxfId="4918" priority="48" operator="equal">
      <formula>"y"</formula>
    </cfRule>
    <cfRule type="cellIs" dxfId="4917" priority="49" operator="equal">
      <formula>"PIN"</formula>
    </cfRule>
    <cfRule type="cellIs" dxfId="4916" priority="50" operator="equal">
      <formula>"ORA"</formula>
    </cfRule>
    <cfRule type="cellIs" dxfId="4915" priority="51" operator="equal">
      <formula>"GRA"</formula>
    </cfRule>
    <cfRule type="cellIs" dxfId="4914" priority="52" operator="equal">
      <formula>"PUR"</formula>
    </cfRule>
    <cfRule type="cellIs" dxfId="4913" priority="53" operator="equal">
      <formula>"BRO"</formula>
    </cfRule>
    <cfRule type="cellIs" dxfId="4912" priority="54" operator="equal">
      <formula>"YEL"</formula>
    </cfRule>
    <cfRule type="cellIs" dxfId="4911" priority="55" operator="equal">
      <formula>"BLU"</formula>
    </cfRule>
    <cfRule type="cellIs" dxfId="4910" priority="56" operator="equal">
      <formula>"WHI"</formula>
    </cfRule>
    <cfRule type="cellIs" dxfId="4909" priority="57" operator="equal">
      <formula>"GRE"</formula>
    </cfRule>
    <cfRule type="cellIs" dxfId="4908" priority="58" operator="equal">
      <formula>"RED"</formula>
    </cfRule>
    <cfRule type="cellIs" dxfId="4907" priority="59" operator="equal">
      <formula>"BLA"</formula>
    </cfRule>
  </conditionalFormatting>
  <conditionalFormatting sqref="J2">
    <cfRule type="colorScale" priority="80">
      <colorScale>
        <cfvo type="min"/>
        <cfvo type="percentile" val="50"/>
        <cfvo type="max"/>
        <color rgb="FFF8696B"/>
        <color rgb="FFFFEB84"/>
        <color rgb="FF63BE7B"/>
      </colorScale>
    </cfRule>
  </conditionalFormatting>
  <conditionalFormatting sqref="S2">
    <cfRule type="colorScale" priority="81">
      <colorScale>
        <cfvo type="min"/>
        <cfvo type="max"/>
        <color rgb="FFFCFCFF"/>
        <color rgb="FF754BFB"/>
      </colorScale>
    </cfRule>
  </conditionalFormatting>
  <conditionalFormatting sqref="AT2">
    <cfRule type="colorScale" priority="82">
      <colorScale>
        <cfvo type="min"/>
        <cfvo type="max"/>
        <color rgb="FFFCFCFF"/>
        <color theme="8" tint="0.39997558519241921"/>
      </colorScale>
    </cfRule>
  </conditionalFormatting>
  <conditionalFormatting sqref="CG2">
    <cfRule type="colorScale" priority="83">
      <colorScale>
        <cfvo type="min"/>
        <cfvo type="max"/>
        <color rgb="FFFCFCFF"/>
        <color rgb="FF63BE7B"/>
      </colorScale>
    </cfRule>
  </conditionalFormatting>
  <conditionalFormatting sqref="H3:H4">
    <cfRule type="cellIs" dxfId="4906" priority="40" stopIfTrue="1" operator="notEqual">
      <formula>""</formula>
    </cfRule>
  </conditionalFormatting>
  <conditionalFormatting sqref="R3:R4 CU3:CU4">
    <cfRule type="cellIs" dxfId="4905" priority="43" operator="greaterThan">
      <formula>0</formula>
    </cfRule>
  </conditionalFormatting>
  <conditionalFormatting sqref="T3:AS4 CH3:CS4">
    <cfRule type="cellIs" dxfId="4904" priority="37" stopIfTrue="1" operator="equal">
      <formula>"n"</formula>
    </cfRule>
    <cfRule type="cellIs" dxfId="4903" priority="38" stopIfTrue="1" operator="equal">
      <formula>"y"</formula>
    </cfRule>
    <cfRule type="cellIs" dxfId="4902" priority="39" operator="greaterThan">
      <formula>0</formula>
    </cfRule>
  </conditionalFormatting>
  <conditionalFormatting sqref="AZ3:BB4">
    <cfRule type="expression" dxfId="4901" priority="24">
      <formula>$AT3=0</formula>
    </cfRule>
  </conditionalFormatting>
  <conditionalFormatting sqref="CD3:CF4 BX3:CA4 AZ3:BU4">
    <cfRule type="cellIs" dxfId="4900" priority="25" operator="equal">
      <formula>"PIN"</formula>
    </cfRule>
    <cfRule type="cellIs" dxfId="4899" priority="26" operator="equal">
      <formula>"ORA"</formula>
    </cfRule>
    <cfRule type="cellIs" dxfId="4898" priority="27" operator="equal">
      <formula>"GRA"</formula>
    </cfRule>
    <cfRule type="cellIs" dxfId="4897" priority="28" operator="equal">
      <formula>"PUR"</formula>
    </cfRule>
    <cfRule type="cellIs" dxfId="4896" priority="29" operator="equal">
      <formula>"BRO"</formula>
    </cfRule>
    <cfRule type="cellIs" dxfId="4895" priority="30" operator="equal">
      <formula>"YEL"</formula>
    </cfRule>
    <cfRule type="cellIs" dxfId="4894" priority="31" operator="equal">
      <formula>"BLU"</formula>
    </cfRule>
    <cfRule type="cellIs" dxfId="4893" priority="32" operator="equal">
      <formula>"WHI"</formula>
    </cfRule>
    <cfRule type="cellIs" dxfId="4892" priority="33" operator="equal">
      <formula>"GRE"</formula>
    </cfRule>
    <cfRule type="cellIs" dxfId="4891" priority="34" operator="equal">
      <formula>"RED"</formula>
    </cfRule>
    <cfRule type="cellIs" dxfId="4890" priority="35" operator="equal">
      <formula>"BLA"</formula>
    </cfRule>
  </conditionalFormatting>
  <conditionalFormatting sqref="BV3:BV4">
    <cfRule type="cellIs" dxfId="4889" priority="42" operator="equal">
      <formula>"nc"</formula>
    </cfRule>
  </conditionalFormatting>
  <conditionalFormatting sqref="CD3:CF4 BX3:CA4">
    <cfRule type="cellIs" dxfId="4888" priority="41" operator="equal">
      <formula>"y"</formula>
    </cfRule>
  </conditionalFormatting>
  <conditionalFormatting sqref="CD3:CF4 BZ3:CA4">
    <cfRule type="cellIs" dxfId="4887" priority="36" operator="greaterThan">
      <formula>0</formula>
    </cfRule>
  </conditionalFormatting>
  <conditionalFormatting sqref="IC3:IK4">
    <cfRule type="expression" dxfId="4886" priority="23">
      <formula>$IL3&gt;0</formula>
    </cfRule>
  </conditionalFormatting>
  <conditionalFormatting sqref="IC3:IC4">
    <cfRule type="cellIs" dxfId="4885" priority="17" stopIfTrue="1" operator="greaterThan">
      <formula>0</formula>
    </cfRule>
  </conditionalFormatting>
  <conditionalFormatting sqref="ID3:ID4">
    <cfRule type="cellIs" dxfId="4884" priority="15" stopIfTrue="1" operator="greaterThan">
      <formula>0</formula>
    </cfRule>
  </conditionalFormatting>
  <conditionalFormatting sqref="II3:II4 IE3:IF4">
    <cfRule type="cellIs" dxfId="4883" priority="22" operator="greaterThan">
      <formula>0</formula>
    </cfRule>
  </conditionalFormatting>
  <conditionalFormatting sqref="II3:II4 IF3:IF4">
    <cfRule type="cellIs" dxfId="4882" priority="16" stopIfTrue="1" operator="greaterThan">
      <formula>0</formula>
    </cfRule>
  </conditionalFormatting>
  <conditionalFormatting sqref="IG3:IG4">
    <cfRule type="cellIs" dxfId="4881" priority="21" operator="greaterThan">
      <formula>0</formula>
    </cfRule>
  </conditionalFormatting>
  <conditionalFormatting sqref="IH3:II4">
    <cfRule type="cellIs" dxfId="4880" priority="20" operator="greaterThan">
      <formula>0</formula>
    </cfRule>
  </conditionalFormatting>
  <conditionalFormatting sqref="IJ3:IJ4">
    <cfRule type="cellIs" dxfId="4879" priority="19" operator="greaterThan">
      <formula>0</formula>
    </cfRule>
  </conditionalFormatting>
  <conditionalFormatting sqref="IK3:IK4">
    <cfRule type="cellIs" dxfId="4878" priority="18" operator="greaterThan">
      <formula>0</formula>
    </cfRule>
  </conditionalFormatting>
  <conditionalFormatting sqref="IF3:IF4">
    <cfRule type="cellIs" dxfId="4877" priority="14" stopIfTrue="1" operator="greaterThan">
      <formula>0</formula>
    </cfRule>
  </conditionalFormatting>
  <conditionalFormatting sqref="IM3:IM4">
    <cfRule type="cellIs" dxfId="4876" priority="13" operator="equal">
      <formula>0</formula>
    </cfRule>
  </conditionalFormatting>
  <conditionalFormatting sqref="BX3:CA4 CD3:CF4">
    <cfRule type="cellIs" dxfId="4875" priority="1" operator="equal">
      <formula>"y"</formula>
    </cfRule>
    <cfRule type="cellIs" dxfId="4874" priority="2" operator="equal">
      <formula>"PIN"</formula>
    </cfRule>
    <cfRule type="cellIs" dxfId="4873" priority="3" operator="equal">
      <formula>"ORA"</formula>
    </cfRule>
    <cfRule type="cellIs" dxfId="4872" priority="4" operator="equal">
      <formula>"GRA"</formula>
    </cfRule>
    <cfRule type="cellIs" dxfId="4871" priority="5" operator="equal">
      <formula>"PUR"</formula>
    </cfRule>
    <cfRule type="cellIs" dxfId="4870" priority="6" operator="equal">
      <formula>"BRO"</formula>
    </cfRule>
    <cfRule type="cellIs" dxfId="4869" priority="7" operator="equal">
      <formula>"YEL"</formula>
    </cfRule>
    <cfRule type="cellIs" dxfId="4868" priority="8" operator="equal">
      <formula>"BLU"</formula>
    </cfRule>
    <cfRule type="cellIs" dxfId="4867" priority="9" operator="equal">
      <formula>"WHI"</formula>
    </cfRule>
    <cfRule type="cellIs" dxfId="4866" priority="10" operator="equal">
      <formula>"GRE"</formula>
    </cfRule>
    <cfRule type="cellIs" dxfId="4865" priority="11" operator="equal">
      <formula>"RED"</formula>
    </cfRule>
    <cfRule type="cellIs" dxfId="4864" priority="12" operator="equal">
      <formula>"BLA"</formula>
    </cfRule>
  </conditionalFormatting>
  <conditionalFormatting sqref="AT3:AT4">
    <cfRule type="colorScale" priority="44">
      <colorScale>
        <cfvo type="min"/>
        <cfvo type="max"/>
        <color rgb="FFFCFCFF"/>
        <color theme="8" tint="0.39997558519241921"/>
      </colorScale>
    </cfRule>
  </conditionalFormatting>
  <conditionalFormatting sqref="S3:S4">
    <cfRule type="colorScale" priority="45">
      <colorScale>
        <cfvo type="min"/>
        <cfvo type="max"/>
        <color rgb="FFFCFCFF"/>
        <color rgb="FF754BFB"/>
      </colorScale>
    </cfRule>
  </conditionalFormatting>
  <conditionalFormatting sqref="J3:J4">
    <cfRule type="colorScale" priority="46">
      <colorScale>
        <cfvo type="min"/>
        <cfvo type="percentile" val="50"/>
        <cfvo type="max"/>
        <color rgb="FFF8696B"/>
        <color rgb="FFFFEB84"/>
        <color rgb="FF63BE7B"/>
      </colorScale>
    </cfRule>
  </conditionalFormatting>
  <conditionalFormatting sqref="CG3:CG4">
    <cfRule type="colorScale" priority="47">
      <colorScale>
        <cfvo type="min"/>
        <cfvo type="max"/>
        <color rgb="FFFCFCFF"/>
        <color rgb="FF63BE7B"/>
      </colorScale>
    </cfRule>
  </conditionalFormatting>
  <hyperlinks>
    <hyperlink ref="A2" r:id="rId1" display="https://fbref.com/en/country/EGY/Egypt-Football" xr:uid="{FF9B4D3F-683D-4D96-8F46-16538985A6DE}"/>
    <hyperlink ref="E2" r:id="rId2" xr:uid="{87764F10-2CDC-40AB-9665-BC67245C27F8}"/>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41985" r:id="rId6"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41986" r:id="rId7"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41987" r:id="rId8"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12A425-B552-4A2F-B0E0-8BE5D2EF8C2F}">
  <sheetPr codeName="Sheet52"/>
  <dimension ref="A1:IY6"/>
  <sheetViews>
    <sheetView zoomScale="70" zoomScaleNormal="70" workbookViewId="0">
      <pane xSplit="5" ySplit="1" topLeftCell="F2" activePane="bottomRight" state="frozen"/>
      <selection pane="topRight" activeCell="F1" sqref="F1"/>
      <selection pane="bottomLeft" activeCell="A2" sqref="A2"/>
      <selection pane="bottomRight" activeCell="M3" sqref="M3"/>
    </sheetView>
  </sheetViews>
  <sheetFormatPr defaultRowHeight="38.4" customHeight="1" x14ac:dyDescent="0.3"/>
  <cols>
    <col min="1" max="1" width="52.44140625" style="81" bestFit="1" customWidth="1"/>
    <col min="2" max="2" width="10.109375" style="81" customWidth="1"/>
    <col min="3" max="3" width="7.44140625" style="82" customWidth="1"/>
    <col min="4" max="4" width="4.77734375" style="83" customWidth="1"/>
    <col min="5" max="5" width="4.5546875" style="83" customWidth="1"/>
    <col min="6" max="6" width="5.77734375" style="83" customWidth="1"/>
    <col min="7" max="7" width="7.44140625" style="81" customWidth="1"/>
    <col min="8" max="8" width="11.44140625" style="81" customWidth="1"/>
    <col min="9" max="9" width="10" style="81" customWidth="1"/>
    <col min="10" max="10" width="4.21875" style="81" customWidth="1"/>
    <col min="11" max="11" width="5.6640625" style="83" customWidth="1"/>
    <col min="12" max="12" width="2.88671875" style="83" customWidth="1"/>
    <col min="13" max="13" width="6.44140625" style="83" customWidth="1"/>
    <col min="14" max="14" width="4.5546875" style="83" customWidth="1"/>
    <col min="15" max="15" width="10.5546875" style="84" customWidth="1"/>
    <col min="16" max="16" width="6.88671875" style="83" customWidth="1"/>
    <col min="17" max="17" width="4.77734375" style="83" customWidth="1"/>
    <col min="18" max="18" width="13.109375" style="82" customWidth="1"/>
    <col min="19" max="19" width="6.77734375" style="82" customWidth="1"/>
    <col min="20" max="46" width="8.44140625" style="81" customWidth="1"/>
    <col min="47" max="47" width="24.5546875" style="81" customWidth="1"/>
    <col min="48" max="51" width="16.6640625" style="81" customWidth="1"/>
    <col min="52" max="52" width="6.5546875" style="81" customWidth="1"/>
    <col min="53" max="54" width="5.88671875" style="81" customWidth="1"/>
    <col min="55" max="55" width="1.33203125" style="81" customWidth="1"/>
    <col min="56" max="56" width="7.44140625" style="81" customWidth="1"/>
    <col min="57" max="57" width="2.33203125" style="81" customWidth="1"/>
    <col min="58" max="62" width="6.109375" style="81" customWidth="1"/>
    <col min="63" max="63" width="2.33203125" style="81" customWidth="1"/>
    <col min="64" max="64" width="7" style="81" bestFit="1" customWidth="1"/>
    <col min="65" max="65" width="6.44140625" style="81" bestFit="1" customWidth="1"/>
    <col min="66" max="66" width="7.109375" style="81" bestFit="1" customWidth="1"/>
    <col min="67" max="71" width="6.44140625" style="81" bestFit="1" customWidth="1"/>
    <col min="72" max="73" width="6.44140625" style="81" customWidth="1"/>
    <col min="74" max="75" width="13.44140625" style="81" customWidth="1"/>
    <col min="76" max="84" width="14.6640625" style="81" customWidth="1"/>
    <col min="85" max="85" width="6.44140625" style="81" customWidth="1"/>
    <col min="86" max="87" width="11.6640625" style="81" bestFit="1" customWidth="1"/>
    <col min="88" max="88" width="11.6640625" style="81" customWidth="1"/>
    <col min="89" max="89" width="12.77734375" style="81" bestFit="1" customWidth="1"/>
    <col min="90" max="90" width="16.44140625" style="82" bestFit="1" customWidth="1"/>
    <col min="91" max="92" width="14.88671875" style="82" bestFit="1" customWidth="1"/>
    <col min="93" max="93" width="16" style="82" bestFit="1" customWidth="1"/>
    <col min="94" max="97" width="7.77734375" style="81" customWidth="1"/>
    <col min="98" max="98" width="33.21875" style="81" customWidth="1"/>
    <col min="99" max="99" width="18" style="81" customWidth="1"/>
    <col min="100" max="100" width="75.6640625" style="81" customWidth="1"/>
    <col min="101" max="125" width="33" style="81" customWidth="1"/>
    <col min="126" max="126" width="8.88671875" style="81"/>
    <col min="127" max="128" width="9.44140625" style="81" bestFit="1" customWidth="1"/>
    <col min="129" max="129" width="10.77734375" style="81" bestFit="1" customWidth="1"/>
    <col min="130" max="134" width="10.77734375" style="81" customWidth="1"/>
    <col min="135" max="135" width="10.109375" style="81" bestFit="1" customWidth="1"/>
    <col min="136" max="136" width="7.77734375" style="81" bestFit="1" customWidth="1"/>
    <col min="137" max="137" width="7.77734375" style="81" customWidth="1"/>
    <col min="138" max="138" width="9" style="81" bestFit="1" customWidth="1"/>
    <col min="139" max="139" width="11.33203125" style="81" bestFit="1" customWidth="1"/>
    <col min="140" max="140" width="9.109375" style="81" bestFit="1" customWidth="1"/>
    <col min="141" max="141" width="9" style="81" bestFit="1" customWidth="1"/>
    <col min="142" max="142" width="12" style="81" bestFit="1" customWidth="1"/>
    <col min="143" max="166" width="12" style="81" customWidth="1"/>
    <col min="167" max="167" width="17.21875" style="81" customWidth="1"/>
    <col min="168" max="191" width="12" style="81" customWidth="1"/>
    <col min="192" max="192" width="8.5546875" style="81" bestFit="1" customWidth="1"/>
    <col min="193" max="193" width="8.5546875" style="81" customWidth="1"/>
    <col min="194" max="194" width="7.109375" style="81" bestFit="1" customWidth="1"/>
    <col min="195" max="195" width="7.5546875" style="81" bestFit="1" customWidth="1"/>
    <col min="196" max="196" width="8.5546875" style="81" bestFit="1" customWidth="1"/>
    <col min="197" max="200" width="8.5546875" style="81" customWidth="1"/>
    <col min="201" max="201" width="188.88671875" style="81" customWidth="1"/>
    <col min="202" max="202" width="9.5546875" style="81" bestFit="1" customWidth="1"/>
    <col min="203" max="203" width="10.44140625" style="81" bestFit="1" customWidth="1"/>
    <col min="204" max="204" width="11.109375" style="81" bestFit="1" customWidth="1"/>
    <col min="205" max="205" width="10.44140625" style="81" bestFit="1" customWidth="1"/>
    <col min="206" max="210" width="10.44140625" style="81" customWidth="1"/>
    <col min="211" max="211" width="45.44140625" style="81" customWidth="1"/>
    <col min="212" max="212" width="47.5546875" style="81" bestFit="1" customWidth="1"/>
    <col min="213" max="213" width="9.33203125" style="85" customWidth="1"/>
    <col min="214" max="214" width="119.5546875" style="81" customWidth="1"/>
    <col min="215" max="215" width="69.6640625" style="81" customWidth="1"/>
    <col min="216" max="218" width="8.88671875" style="81"/>
    <col min="219" max="219" width="37.109375" style="81" customWidth="1"/>
    <col min="220" max="220" width="16.33203125" style="81" customWidth="1"/>
    <col min="221" max="222" width="8.88671875" style="81"/>
    <col min="223" max="223" width="10.109375" style="81" bestFit="1" customWidth="1"/>
    <col min="224" max="232" width="10.88671875" style="81" customWidth="1"/>
    <col min="233" max="234" width="30.77734375" style="81" customWidth="1"/>
    <col min="235" max="235" width="5.109375" style="81" customWidth="1"/>
    <col min="236" max="236" width="3" style="81" customWidth="1"/>
    <col min="237" max="245" width="6.77734375" style="86" customWidth="1"/>
    <col min="246" max="247" width="8.88671875" style="81"/>
    <col min="248" max="248" width="61.5546875" style="81" customWidth="1"/>
    <col min="249" max="253" width="8.88671875" style="81"/>
    <col min="254" max="254" width="9" style="81" customWidth="1"/>
    <col min="255" max="16384" width="8.88671875" style="8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644</v>
      </c>
      <c r="B2" s="40" t="e" vm="37">
        <v>#VALUE!</v>
      </c>
      <c r="C2" s="41">
        <v>1</v>
      </c>
      <c r="D2" s="42" t="s">
        <v>645</v>
      </c>
      <c r="E2" s="43" t="s">
        <v>646</v>
      </c>
      <c r="F2" s="44" t="s">
        <v>163</v>
      </c>
      <c r="G2" s="45">
        <f>COUNTIF($A$1:$A$8365,A2)</f>
        <v>1</v>
      </c>
      <c r="H2" s="46"/>
      <c r="I2" s="47" t="s">
        <v>647</v>
      </c>
      <c r="J2" s="48" t="str">
        <f>""</f>
        <v/>
      </c>
      <c r="K2" s="49">
        <v>1714000</v>
      </c>
      <c r="L2" s="50">
        <v>14000</v>
      </c>
      <c r="M2" s="50" t="s">
        <v>651</v>
      </c>
      <c r="N2" s="51" t="s">
        <v>180</v>
      </c>
      <c r="O2" s="52" t="s">
        <v>648</v>
      </c>
      <c r="P2" s="53" t="s">
        <v>649</v>
      </c>
      <c r="Q2" s="54">
        <v>2</v>
      </c>
      <c r="R2" s="55" t="s">
        <v>180</v>
      </c>
      <c r="S2" s="56">
        <v>3</v>
      </c>
      <c r="T2" s="57" t="s">
        <v>167</v>
      </c>
      <c r="U2" s="58" t="s">
        <v>164</v>
      </c>
      <c r="V2" s="58" t="s">
        <v>167</v>
      </c>
      <c r="W2" s="58" t="s">
        <v>164</v>
      </c>
      <c r="X2" s="58" t="s">
        <v>164</v>
      </c>
      <c r="Y2" s="58" t="s">
        <v>164</v>
      </c>
      <c r="Z2" s="58" t="s">
        <v>164</v>
      </c>
      <c r="AA2" s="58" t="s">
        <v>167</v>
      </c>
      <c r="AB2" s="58" t="s">
        <v>167</v>
      </c>
      <c r="AC2" s="58" t="s">
        <v>164</v>
      </c>
      <c r="AD2" s="58" t="s">
        <v>164</v>
      </c>
      <c r="AE2" s="58" t="s">
        <v>164</v>
      </c>
      <c r="AF2" s="59" t="s">
        <v>167</v>
      </c>
      <c r="AG2" s="59" t="s">
        <v>164</v>
      </c>
      <c r="AH2" s="59" t="s">
        <v>167</v>
      </c>
      <c r="AI2" s="59" t="s">
        <v>164</v>
      </c>
      <c r="AJ2" s="59" t="s">
        <v>164</v>
      </c>
      <c r="AK2" s="59" t="s">
        <v>164</v>
      </c>
      <c r="AL2" s="59" t="s">
        <v>164</v>
      </c>
      <c r="AM2" s="59" t="s">
        <v>164</v>
      </c>
      <c r="AN2" s="59" t="s">
        <v>164</v>
      </c>
      <c r="AO2" s="59" t="s">
        <v>164</v>
      </c>
      <c r="AP2" s="59" t="s">
        <v>164</v>
      </c>
      <c r="AQ2" s="59" t="s">
        <v>164</v>
      </c>
      <c r="AR2" s="59" t="s">
        <v>164</v>
      </c>
      <c r="AS2" s="59" t="s">
        <v>164</v>
      </c>
      <c r="AT2" s="60">
        <v>6</v>
      </c>
      <c r="AU2" s="59"/>
      <c r="AV2" s="59" t="str">
        <f>IF(LEFT(A2,1)="[",LEFT(A2,5)&amp;AU2&amp;A2,"")</f>
        <v/>
      </c>
      <c r="AW2" s="59" t="str">
        <f t="shared" ref="AW2" si="0">C2&amp;H2&amp;A2</f>
        <v>1Equatorial Guinea</v>
      </c>
      <c r="AX2" s="61" t="str">
        <f>_xlfn.TEXTJOIN(";",TRUE,AU2:AW2)</f>
        <v>1Equatorial Guinea</v>
      </c>
      <c r="AY2" s="61"/>
      <c r="AZ2" s="62" t="s">
        <v>155</v>
      </c>
      <c r="BA2" s="62"/>
      <c r="BB2" s="62"/>
      <c r="BC2" s="63"/>
      <c r="BD2" s="64" t="s">
        <v>153</v>
      </c>
      <c r="BE2" s="47"/>
      <c r="BF2" s="64" t="s">
        <v>153</v>
      </c>
      <c r="BG2" s="64" t="s">
        <v>159</v>
      </c>
      <c r="BH2" s="64" t="s">
        <v>154</v>
      </c>
      <c r="BI2" s="64"/>
      <c r="BJ2" s="64"/>
      <c r="BK2" s="47"/>
      <c r="BL2" s="64" t="s">
        <v>154</v>
      </c>
      <c r="BM2" s="64" t="s">
        <v>153</v>
      </c>
      <c r="BN2" s="64" t="s">
        <v>152</v>
      </c>
      <c r="BO2" s="64" t="s">
        <v>159</v>
      </c>
      <c r="BP2" s="64" t="s">
        <v>155</v>
      </c>
      <c r="BQ2" s="64" t="s">
        <v>151</v>
      </c>
      <c r="BR2" s="64" t="s">
        <v>157</v>
      </c>
      <c r="BS2" s="64"/>
      <c r="BT2" s="64"/>
      <c r="BU2" s="65"/>
      <c r="BV2" s="66" t="s">
        <v>167</v>
      </c>
      <c r="BW2" s="66" t="s">
        <v>166</v>
      </c>
      <c r="BX2" s="47"/>
      <c r="BY2" s="48" t="s">
        <v>164</v>
      </c>
      <c r="CB2" s="6" t="s">
        <v>650</v>
      </c>
      <c r="CC2" s="6"/>
      <c r="CD2" s="67">
        <v>0</v>
      </c>
      <c r="CE2" s="67">
        <v>0</v>
      </c>
      <c r="CF2" s="67" t="e">
        <v>#REF!</v>
      </c>
      <c r="CG2" s="68" cm="1">
        <f t="array" ref="CG2">SUMPRODUCT(--(LEN(TRIM(BL2:BT2))&gt;0))</f>
        <v>7</v>
      </c>
      <c r="CH2" s="59" t="str">
        <f>IF(CG2=2,"y","n")</f>
        <v>n</v>
      </c>
      <c r="CI2" s="59" t="str">
        <f>IF(CG2=3,"y","n")</f>
        <v>n</v>
      </c>
      <c r="CJ2" s="59" t="str">
        <f>IF(CG2=4,"y","n")</f>
        <v>n</v>
      </c>
      <c r="CK2" s="59" t="str">
        <f>IF(CG2&gt;4,"y","n")</f>
        <v>y</v>
      </c>
      <c r="CL2" s="59" t="str">
        <f>IF(S2=0,"y","n")</f>
        <v>n</v>
      </c>
      <c r="CM2" s="59" t="str">
        <f>IF(S2=2,"y","n")</f>
        <v>n</v>
      </c>
      <c r="CN2" s="59" t="str">
        <f>IF(S2=3,"y","n")</f>
        <v>y</v>
      </c>
      <c r="CO2" s="59" t="str">
        <f>IF(S2&gt;=4,"y","n")</f>
        <v>n</v>
      </c>
      <c r="CP2" s="59" t="str">
        <f>IF(AT2=0,"y","n")</f>
        <v>n</v>
      </c>
      <c r="CQ2" s="59" t="str">
        <f>IF(AT2=1,"y","n")</f>
        <v>n</v>
      </c>
      <c r="CR2" s="59" t="str">
        <f>IF(AT2=2,"y","n")</f>
        <v>n</v>
      </c>
      <c r="CS2" s="59" t="str">
        <f>IF(AT2&gt;=3,"y","n")</f>
        <v>y</v>
      </c>
      <c r="CT2" s="69" t="str">
        <f>CHAR(34)&amp;A2&amp;CHAR(34)</f>
        <v>"Equatorial Guinea"</v>
      </c>
      <c r="CU2" s="70" t="str">
        <f>CHAR(34)&amp;"rgn_"&amp;R2&amp;CHAR(34)</f>
        <v>"rgn_Africa"</v>
      </c>
      <c r="CV2" s="48" t="str">
        <f>CHAR(34)&amp;D2&amp;CHAR(34)</f>
        <v>"https://i.ibb.co/jH6h4M3/Equatorial-Guinea-Flag.png"</v>
      </c>
      <c r="CW2" s="48" t="str">
        <f>IF(CH2="y",CHAR(34)&amp;CH$1&amp;CHAR(34)&amp;",","")</f>
        <v/>
      </c>
      <c r="CX2" s="48" t="str">
        <f>IF(CI2="y",CHAR(34)&amp;CI$1&amp;CHAR(34)&amp;",","")</f>
        <v/>
      </c>
      <c r="CY2" s="48" t="str">
        <f>IF(CJ2="y",CHAR(34)&amp;CJ$1&amp;CHAR(34)&amp;",","")</f>
        <v/>
      </c>
      <c r="CZ2" s="48" t="str">
        <f>IF(CK2="y",CHAR(34)&amp;CK$1&amp;CHAR(34)&amp;",","")</f>
        <v>"5+Colo",</v>
      </c>
      <c r="DA2" s="48" t="str">
        <f>IF(Q2&gt;1,CHAR(34)&amp;"words2"&amp;CHAR(34)&amp;",","")</f>
        <v>"words2",</v>
      </c>
      <c r="DB2" s="48" t="str">
        <f>IF(Q2&gt;2,CHAR(34)&amp;"words3"&amp;CHAR(34)&amp;",","")</f>
        <v/>
      </c>
      <c r="DC2" s="48" t="str">
        <f>IF(Q2=2,CHAR(34)&amp;"exact2"&amp;CHAR(34)&amp;",","")</f>
        <v>"exact2",</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"lets16",</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"startE",</v>
      </c>
      <c r="DF2" s="48" t="str">
        <f>IFERROR(IF(SEARCH("tan",A2)&gt;0,CHAR(34)&amp;"withtn"&amp;CHAR(34)&amp;",",""),"")</f>
        <v/>
      </c>
      <c r="DG2" s="48" t="str">
        <f>IFERROR(IF(SEARCH("q",A2)&gt;0,CHAR(34)&amp;"with_q"&amp;CHAR(34)&amp;",",""),"")</f>
        <v>"with_q",</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
      </c>
      <c r="DS2" s="6" t="str">
        <f>IF(W2="y",IF(AND(V2="n",BY2&lt;&gt;"y"),CHAR(34)&amp;"allver"&amp;CHAR(34)&amp;",",""),"")</f>
        <v/>
      </c>
      <c r="DT2" s="6" t="str">
        <f>IF(V2="y",IF(AND(W2="n",BY2&lt;&gt;"y"),CHAR(34)&amp;"allhor"&amp;CHAR(34)&amp;",",""),"")</f>
        <v>"allhor",</v>
      </c>
      <c r="DU2" s="6" t="str">
        <f>IF(BY2="y",IF(AND(W2="n",V2="n"),CHAR(34)&amp;"alldia"&amp;CHAR(34)&amp;",",""),"")</f>
        <v/>
      </c>
      <c r="DV2" s="48" t="str">
        <f>IF(IA2&lt;&gt;"",(IF(IA2="y",CHAR(34)&amp;"largec"&amp;CHAR(34)&amp;",",CHAR(34)&amp;"smallc"&amp;CHAR(34)&amp;",")),"")</f>
        <v/>
      </c>
      <c r="DW2" s="48" t="str">
        <f>IF(CL2="y",CHAR(34)&amp;CL$1&amp;CHAR(34)&amp;",","")</f>
        <v/>
      </c>
      <c r="DX2" s="48" t="str">
        <f>IF(CM2="y",CHAR(34)&amp;CM$1&amp;CHAR(34)&amp;",","")</f>
        <v/>
      </c>
      <c r="DY2" s="48" t="str">
        <f>IF(CN2="y",CHAR(34)&amp;CN$1&amp;CHAR(34)&amp;",","")</f>
        <v>"3Bands",</v>
      </c>
      <c r="DZ2" s="48" t="str">
        <f>IF(CO2="y",CHAR(34)&amp;CO$1&amp;CHAR(34)&amp;",","")</f>
        <v/>
      </c>
      <c r="EA2" s="48" t="str">
        <f>IF(T2="y",CHAR(34)&amp;T$1&amp;CHAR(34)&amp;",","")</f>
        <v>"Diagon",</v>
      </c>
      <c r="EB2" s="48" t="str">
        <f>IF(U2="y",CHAR(34)&amp;U$1&amp;CHAR(34)&amp;",","")</f>
        <v/>
      </c>
      <c r="EC2" s="48" t="str">
        <f>IF(V2="y",CHAR(34)&amp;V$1&amp;CHAR(34)&amp;",","")</f>
        <v>"Horizo",</v>
      </c>
      <c r="ED2" s="48" t="str">
        <f>IF(W2="y",CHAR(34)&amp;W$1&amp;CHAR(34)&amp;",","")</f>
        <v/>
      </c>
      <c r="EE2" s="48" t="str">
        <f>IF(X2="y",CHAR(34)&amp;X$1&amp;CHAR(34)&amp;",","")</f>
        <v/>
      </c>
      <c r="EF2" s="48" t="str">
        <f>IF(AND(Y2&lt;&gt;"n",Y2&lt;&gt;""),CHAR(34)&amp;Y$1&amp;CHAR(34)&amp;",","")</f>
        <v/>
      </c>
      <c r="EG2" s="48" t="str">
        <f>IF(Z2="y",CHAR(34)&amp;Z$1&amp;CHAR(34)&amp;",","")</f>
        <v/>
      </c>
      <c r="EH2" s="48" t="str">
        <f>IF(AA2="y",CHAR(34)&amp;AA$1&amp;CHAR(34)&amp;",","")</f>
        <v>"Plants",</v>
      </c>
      <c r="EI2" s="48" t="str">
        <f>IF(AB2="y",CHAR(34)&amp;AB$1&amp;CHAR(34)&amp;",","")</f>
        <v>"Texted",</v>
      </c>
      <c r="EJ2" s="48" t="str">
        <f>IF(AC2="y",CHAR(34)&amp;AC$1&amp;CHAR(34)&amp;",","")</f>
        <v/>
      </c>
      <c r="EK2" s="48" t="str">
        <f>IF(AD2="y",CHAR(34)&amp;AD$1&amp;CHAR(34)&amp;",","")</f>
        <v/>
      </c>
      <c r="EL2" s="48" t="str">
        <f>IF(AE2="y",CHAR(34)&amp;AE$1&amp;CHAR(34)&amp;",","")</f>
        <v/>
      </c>
      <c r="EM2" s="48" t="str">
        <f>IF(AF2="y",CHAR(34)&amp;AF$1&amp;CHAR(34)&amp;",","")</f>
        <v>"Trside",</v>
      </c>
      <c r="EN2" s="48" t="str">
        <f>IF(AG2="y",CHAR(34)&amp;AG$1&amp;CHAR(34)&amp;",","")</f>
        <v/>
      </c>
      <c r="EO2" s="48" t="str">
        <f>IF(AH2="y",CHAR(34)&amp;AH$1&amp;CHAR(34)&amp;",","")</f>
        <v>"Center",</v>
      </c>
      <c r="EP2" s="48" t="str">
        <f>IF(AI2="y",CHAR(34)&amp;AI$1&amp;CHAR(34)&amp;",","")</f>
        <v/>
      </c>
      <c r="EQ2" s="48" t="str">
        <f>IF(AJ2="y",CHAR(34)&amp;AJ$1&amp;CHAR(34)&amp;",","")</f>
        <v/>
      </c>
      <c r="ER2" s="48" t="str">
        <f>IF(AK2="y",CHAR(34)&amp;AK$1&amp;CHAR(34)&amp;",","")</f>
        <v/>
      </c>
      <c r="ES2" s="48" t="str">
        <f>IF(AL2="y",CHAR(34)&amp;AL$1&amp;CHAR(34)&amp;",","")</f>
        <v/>
      </c>
      <c r="ET2" s="48" t="str">
        <f>IF(AM2="y",CHAR(34)&amp;AM$1&amp;CHAR(34)&amp;",","")</f>
        <v/>
      </c>
      <c r="EU2" s="48" t="str">
        <f>IF(AN2="y",CHAR(34)&amp;AN$1&amp;CHAR(34)&amp;",","")</f>
        <v/>
      </c>
      <c r="EV2" s="48" t="str">
        <f>IF(AO2="y",CHAR(34)&amp;AO$1&amp;CHAR(34)&amp;",","")</f>
        <v/>
      </c>
      <c r="EW2" s="48" t="str">
        <f>IF(AP2="y",CHAR(34)&amp;AP$1&amp;CHAR(34)&amp;",","")</f>
        <v/>
      </c>
      <c r="EX2" s="48" t="str">
        <f>IF(AQ2="y",CHAR(34)&amp;AQ$1&amp;CHAR(34)&amp;",","")</f>
        <v/>
      </c>
      <c r="EY2" s="48" t="str">
        <f>IF(AR2="y",CHAR(34)&amp;AR$1&amp;CHAR(34)&amp;",","")</f>
        <v/>
      </c>
      <c r="EZ2" s="48" t="str">
        <f>IF(AS2="y",CHAR(34)&amp;AS$1&amp;CHAR(34)&amp;",","")</f>
        <v/>
      </c>
      <c r="FA2" s="48" t="str">
        <f>IF(AT2&gt;0,CHAR(34)&amp;"sta"&amp;AZ2&amp;CHAR(34)&amp;",","")</f>
        <v>"staYEL",</v>
      </c>
      <c r="FB2" s="48" t="str">
        <f>IF(AND(AT2&gt;0,BA2&lt;&gt;""),CHAR(34)&amp;"sta"&amp;BA2&amp;CHAR(34)&amp;",","")</f>
        <v/>
      </c>
      <c r="FC2" s="48" t="str">
        <f>IF(AND(AT2&gt;0,BB2&lt;&gt;""),CHAR(34)&amp;"sta"&amp;BB2&amp;CHAR(34)&amp;",","")</f>
        <v/>
      </c>
      <c r="FD2" s="48" t="str">
        <f>IF(BV2="n",CHAR(34)&amp;"tcWHYE"&amp;CHAR(34)&amp;",",IF(BV2="y",CHAR(34)&amp;FD$1&amp;CHAR(34)&amp;",",""))</f>
        <v>"ntWHYE",</v>
      </c>
      <c r="FE2" s="48" t="str">
        <f>IF(COUNTIF(BL2:BT2,"BLU")=0,CHAR(34)&amp;"NO_BLU"&amp;CHAR(34)&amp;",", "")</f>
        <v/>
      </c>
      <c r="FF2" s="48" t="str">
        <f>IF(COUNTIF(BL2:BT2,"WHI")=0,CHAR(34)&amp;"NO_WHI"&amp;CHAR(34)&amp;",", "")</f>
        <v/>
      </c>
      <c r="FG2" s="48" t="str">
        <f>IF(COUNTIF(BL2:BT2,"RED")=0,CHAR(34)&amp;"NO_RED"&amp;CHAR(34)&amp;",", "")</f>
        <v/>
      </c>
      <c r="FH2" s="48" t="str">
        <f>IF(COUNTIF(BL2:BS2,"GRE")=0,CHAR(34)&amp;"NO_GRE"&amp;CHAR(34)&amp;",", "")</f>
        <v/>
      </c>
      <c r="FI2" s="48" t="str">
        <f>IF(COUNTIF(BL2:BT2,"YEL")=0,CHAR(34)&amp;"NO_YEL"&amp;CHAR(34)&amp;",", "")</f>
        <v/>
      </c>
      <c r="FJ2" s="48" t="str">
        <f>IF(COUNTIF(BL2:BT2,"BLA")=0,CHAR(34)&amp;"NO_BLA"&amp;CHAR(34)&amp;",", "")</f>
        <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
      </c>
      <c r="FP2" s="48" t="str">
        <f>IF(AND(FF2&lt;&gt;"",FF2&lt;&gt;""),CHAR(34)&amp;"WHRENO"&amp;CHAR(34)&amp;",","")</f>
        <v/>
      </c>
      <c r="FQ2" s="48" t="str">
        <f>IF(LEN(BF2)=3,CHAR(34)&amp;"001"&amp;BF2&amp;CHAR(34)&amp;",","")</f>
        <v>"001GRE",</v>
      </c>
      <c r="FR2" s="48" t="str">
        <f>IF(LEN(BG2)=3,CHAR(34)&amp;"002"&amp;BG2&amp;CHAR(34)&amp;",","")</f>
        <v>"002WHI",</v>
      </c>
      <c r="FS2" s="48" t="str">
        <f>IF(LEN(BH2)=3,CHAR(34)&amp;"003"&amp;BH2&amp;CHAR(34)&amp;",","")</f>
        <v>"003RED",</v>
      </c>
      <c r="FT2" s="48" t="str">
        <f>CHAR(34)&amp;"myr"&amp;BD2&amp;CHAR(34)&amp;","</f>
        <v>"myrGRE",</v>
      </c>
      <c r="FU2" s="48" t="str">
        <f>IF(AY2="y",CHAR(34)&amp;"island"&amp;CHAR(34)&amp;",","")</f>
        <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
      </c>
      <c r="GA2" s="48" t="str">
        <f>IFERROR(IF(SEARCH("French",CB2)&gt;0,CHAR(34)&amp;"french"&amp;CHAR(34)&amp;",",""),"")</f>
        <v>"french",</v>
      </c>
      <c r="GB2" s="48" t="str">
        <f>IFERROR(IF(SEARCH("Spanish",CB2)&gt;0,CHAR(34)&amp;"spanis"&amp;CHAR(34)&amp;",",""),"")</f>
        <v>"spanis",</v>
      </c>
      <c r="GC2" s="48" t="str">
        <f>IFERROR(IF(SEARCH("Portuguese",CB2)&gt;0,CHAR(34)&amp;"portug"&amp;CHAR(34)&amp;",",""),"")</f>
        <v>"portug",</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
      </c>
      <c r="GK2" s="48" t="str">
        <f>IF(GJ2="",CHAR(34)&amp;"HasSta"&amp;CHAR(34)&amp;",","")</f>
        <v>"HasSta",</v>
      </c>
      <c r="GL2" s="48" t="str">
        <f>IF(CQ2="y",CHAR(34)&amp;CQ$1&amp;CHAR(34)&amp;",","")</f>
        <v/>
      </c>
      <c r="GM2" s="48" t="str">
        <f>IF(CR2="y",CHAR(34)&amp;CR$1&amp;CHAR(34)&amp;",","")</f>
        <v/>
      </c>
      <c r="GN2" s="48" t="str">
        <f>IF(CS2="y",CHAR(34)&amp;CS$1&amp;CHAR(34)&amp;",","")</f>
        <v>"3+Star",</v>
      </c>
      <c r="GP2" s="48" t="str">
        <f>CHAR(34)&amp;AU2&amp;CHAR(34)</f>
        <v>""</v>
      </c>
      <c r="GS2" s="48" t="str">
        <f>SUBSTITUTE("["&amp;_xlfn.CONCAT(CW2:GN2)&amp;"]",",]","]")</f>
        <v>["5+Colo","words2","exact2","lets16","startE","with_q","year19","allhor","3Bands","Diagon","Horizo","Plants","Texted","Trside","Center","staYEL","ntWHYE","001GRE","002WHI","003RED","myrGRE","french","spanis","portug","HasSta","3+Star"]</v>
      </c>
      <c r="GT2" s="48" t="str">
        <f>IF(BL2&lt;&gt;"",CHAR(34)&amp;"cl_"&amp;BL2&amp;CHAR(34)&amp;",","")</f>
        <v>"cl_RED",</v>
      </c>
      <c r="GU2" s="48" t="str">
        <f>IF(BM2&lt;&gt;"",CHAR(34)&amp;"cl_"&amp;BM2&amp;CHAR(34)&amp;",","")</f>
        <v>"cl_GRE",</v>
      </c>
      <c r="GV2" s="48" t="str">
        <f>IF(BN2&lt;&gt;"",CHAR(34)&amp;"cl_"&amp;BN2&amp;CHAR(34)&amp;",","")</f>
        <v>"cl_BLU",</v>
      </c>
      <c r="GW2" s="48" t="str">
        <f>IF(BO2&lt;&gt;"",CHAR(34)&amp;"cl_"&amp;BO2&amp;CHAR(34)&amp;",","")</f>
        <v>"cl_WHI",</v>
      </c>
      <c r="GX2" s="48" t="str">
        <f>IF(BP2&lt;&gt;"",CHAR(34)&amp;"cl_"&amp;BP2&amp;CHAR(34)&amp;",","")</f>
        <v>"cl_YEL",</v>
      </c>
      <c r="GY2" s="48" t="str">
        <f>IF(BQ2&lt;&gt;"",CHAR(34)&amp;"cl_"&amp;BQ2&amp;CHAR(34)&amp;",","")</f>
        <v>"cl_BLA",</v>
      </c>
      <c r="GZ2" s="48" t="str">
        <f>IF(BR2&lt;&gt;"",CHAR(34)&amp;"cl_"&amp;BR2&amp;CHAR(34)&amp;",","")</f>
        <v>"cl_BRO",</v>
      </c>
      <c r="HA2" s="48" t="str">
        <f>IF(BS2&lt;&gt;"",CHAR(34)&amp;"cl_"&amp;BS2&amp;CHAR(34)&amp;",","")</f>
        <v/>
      </c>
      <c r="HB2" s="48" t="str">
        <f>IF(BT2&lt;&gt;"",CHAR(34)&amp;"cl_"&amp;BT2&amp;CHAR(34)&amp;",","")</f>
        <v/>
      </c>
      <c r="HC2" s="48" t="str">
        <f>SUBSTITUTE("["&amp;_xlfn.CONCAT(GT2:HB2)&amp;"]",",]","]")</f>
        <v>["cl_RED","cl_GRE","cl_BLU","cl_WHI","cl_YEL","cl_BLA","cl_BRO"]</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{couname:"Equatorial Guinea",year:"1979 ",region:"rgn_Africa",Colors:["cl_RED","cl_GRE","cl_BLU","cl_WHI","cl_YEL","cl_BLA","cl_BRO"],Items:["5+Colo","words2","exact2","lets16","startE","with_q","year19","allhor","3Bands","Diagon","Horizo","Plants","Texted","Trside","Center","staYEL","ntWHYE","001GRE","002WHI","003RED","myrGRE","french","spanis","portug","HasSta","3+Star"],Flag:"https://i.ibb.co/jH6h4M3/Equatorial-Guinea-Flag.png",HDFlag:"https://upload.wikimedia.org/wikipedia/commons/thumb/3/31/Flag_of_Equatorial_Guinea.svg/2560px-Flag_of_Equatorial_Guinea.svg.png",type:"", describe: "\nGreen symbolizes the natural resources, agriculture and jungles of the country. Blue symbolizes the sea, which connects the mainland with the islands. White symbolizes peace. Red symbolizes the bloodshed by the fighters for independence. \n\nThe arms consists of a silver shield with a silk-cotton tree, or Ceiba in the local language, which was derived from the arms of Rio Muni. Above the shield is an arc of 6 six-pointed yellow stars, that represent Rio Muni and the offshore islands. Beneath the shield is a silver scroll with the national motto, Unidad, Paz, Justicia (Unity, Peace, Justice). It is considered that under a silk-cotton tree a treaty was signed between Spain and a local ruler that marked the beginning of the colonial rule.", isnew:".", links: "https://en.wikipedia.org/wiki/Flag_of_Equatorial_Guinea"},</v>
      </c>
      <c r="HG2" s="73" t="str">
        <f>"{couname:"&amp;CT2&amp;(IF(HK2&lt;&gt;"",",subtype:"&amp;CHAR(34)&amp;HK2&amp;CHAR(34),""))&amp;",year:"&amp;HJ2&amp;",region:"&amp;CU2&amp;",Colors:"&amp;HC2&amp;",Items:"&amp;GS2&amp;",Flag:"&amp;CV2&amp;",HDFlag:"&amp;CHAR(34)&amp;E2&amp;CHAR(34)&amp;",type:"&amp;GP2&amp;", describe: "&amp;HI2&amp;", links: "&amp;HL2&amp;"},"</f>
        <v>{couname:"Equatorial Guinea",year:"1979 ",region:"rgn_Africa",Colors:["cl_RED","cl_GRE","cl_BLU","cl_WHI","cl_YEL","cl_BLA","cl_BRO"],Items:["5+Colo","words2","exact2","lets16","startE","with_q","year19","allhor","3Bands","Diagon","Horizo","Plants","Texted","Trside","Center","staYEL","ntWHYE","001GRE","002WHI","003RED","myrGRE","french","spanis","portug","HasSta","3+Star"],Flag:"https://i.ibb.co/jH6h4M3/Equatorial-Guinea-Flag.png",HDFlag:"https://upload.wikimedia.org/wikipedia/commons/thumb/3/31/Flag_of_Equatorial_Guinea.svg/2560px-Flag_of_Equatorial_Guinea.svg.png",type:"", describe: "\nGreen symbolizes the natural resources, agriculture and jungles of the country. Blue symbolizes the sea, which connects the mainland with the islands. White symbolizes peace. Red symbolizes the bloodshed by the fighters for independence. \n\nThe arms consists of a silver shield with a silk-cotton tree, or Ceiba in the local language, which was derived from the arms of Rio Muni. Above the shield is an arc of 6 six-pointed yellow stars, that represent Rio Muni and the offshore islands. Beneath the shield is a silver scroll with the national motto, Unidad, Paz, Justicia (Unity, Peace, Justice). It is considered that under a silk-cotton tree a treaty was signed between Spain and a local ruler that marked the beginning of the colonial rule.", links: "https://en.wikipedia.org/wiki/Flag_of_Equatorial_Guinea"},</v>
      </c>
      <c r="HH2" s="48" t="str">
        <f>IF(P2&lt;&gt;"",CHAR(34)&amp;"\n"&amp;P2&amp;CHAR(34),CHAR(34)&amp;CHAR(34))</f>
        <v>"\nGreen symbolizes the natural resources, agriculture and jungles of the country. Blue symbolizes the sea, which connects the mainland with the islands. White symbolizes peace. Red symbolizes the bloodshed by the fighters for independence. \n\nThe arms consists of a silver shield with a silk-cotton tree, or Ceiba in the local language, which was derived from the arms of Rio Muni. Above the shield is an arc of 6 six-pointed yellow stars, that represent Rio Muni and the offshore islands. Beneath the shield is a silver scroll with the national motto, Unidad, Paz, Justicia (Unity, Peace, Justice). It is considered that under a silk-cotton tree a treaty was signed between Spain and a local ruler that marked the beginning of the colonial rule."</v>
      </c>
      <c r="HI2" s="48" t="str">
        <f>IF(J2=0,CHAR(34)&amp;CHAR(34),HH2)</f>
        <v>"\nGreen symbolizes the natural resources, agriculture and jungles of the country. Blue symbolizes the sea, which connects the mainland with the islands. White symbolizes peace. Red symbolizes the bloodshed by the fighters for independence. \n\nThe arms consists of a silver shield with a silk-cotton tree, or Ceiba in the local language, which was derived from the arms of Rio Muni. Above the shield is an arc of 6 six-pointed yellow stars, that represent Rio Muni and the offshore islands. Beneath the shield is a silver scroll with the national motto, Unidad, Paz, Justicia (Unity, Peace, Justice). It is considered that under a silk-cotton tree a treaty was signed between Spain and a local ruler that marked the beginning of the colonial rule."</v>
      </c>
      <c r="HJ2" s="48" t="str">
        <f>CHAR(34)&amp;O2&amp;CHAR(34)</f>
        <v>"1979 "</v>
      </c>
      <c r="HL2" s="48" t="str">
        <f>CHAR(34)&amp;I2&amp;CHAR(34)</f>
        <v>"https://en.wikipedia.org/wiki/Flag_of_Equatorial_Guinea"</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{"couname":"Equatorial Guinea","year":"1979 ","region":"rgn_Africa","Colors":["cl_RED","cl_GRE","cl_BLU","cl_WHI","cl_YEL","cl_BLA","cl_BRO"],"Items":["5+Colo","words2","exact2","lets16","startE","with_q","year19","allhor","3Bands","Diagon","Horizo","Plants","Texted","Trside","Center","staYEL","ntWHYE","001GRE","002WHI","003RED","myrGRE","french","spanis","portug","HasSta","3+Star"],"Flag":"https://i.ibb.co/jH6h4M3/Equatorial-Guinea-Flag.png","HDFlag":"https://upload.wikimedia.org/wikipedia/commons/thumb/3/31/Flag_of_Equatorial_Guinea.svg/2560px-Flag_of_Equatorial_Guinea.svg.png","type":"", "describe": "\nGreen symbolizes the natural resources, agriculture and jungles of the country. Blue symbolizes the sea, which connects the mainland with the islands. White symbolizes peace. Red symbolizes the bloodshed by the fighters for independence. \n\nThe arms consists of a silver shield with a silk-cotton tree, or Ceiba in the local language, which was derived from the arms of Rio Muni. Above the shield is an arc of 6 six-pointed yellow stars, that represent Rio Muni and the offshore islands. Beneath the shield is a silver scroll with the national motto, Unidad, Paz, Justicia (Unity, Peace, Justice). It is considered that under a silk-cotton tree a treaty was signed between Spain and a local ruler that marked the beginning of the colonial rule.", "isnew": ".", "links": "https://en.wikipedia.org/wiki/Flag_of_Equatorial_Guinea"},</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{"couname":"Equatorial Guinea","year":"1979 ","region":"rgn_Africa","Colors":["cl_RED","cl_GRE","cl_BLU","cl_WHI","cl_YEL","cl_BLA","cl_BRO"],"Items":["5+Colo","words2","exact2","lets16","startE","with_q","year19","allhor","3Bands","Diagon","Horizo","Plants","Texted","Trside","Center","staYEL","ntWHYE","001GRE","002WHI","003RED","myrGRE","french","spanis","portug","HasSta","3+Star"],"Flag":"https://i.ibb.co/jH6h4M3/Equatorial-Guinea-Flag.png","HDFlag":"https://upload.wikimedia.org/wikipedia/commons/thumb/3/31/Flag_of_Equatorial_Guinea.svg/2560px-Flag_of_Equatorial_Guinea.svg.png","type":"", "describe": "\nGreen symbolizes the natural resources, agriculture and jungles of the country. Blue symbolizes the sea, which connects the mainland with the islands. White symbolizes peace. Red symbolizes the bloodshed by the fighters for independence. \n\nThe arms consists of a silver shield with a silk-cotton tree, or Ceiba in the local language, which was derived from the arms of Rio Muni. Above the shield is an arc of 6 six-pointed yellow stars, that represent Rio Muni and the offshore islands. Beneath the shield is a silver scroll with the national motto, Unidad, Paz, Justicia (Unity, Peace, Justice). It is considered that under a silk-cotton tree a treaty was signed between Spain and a local ruler that marked the beginning of the colonial rule.", "isnew": ".", "links": "https://en.wikipedia.org/wiki/Flag_of_Equatorial_Guinea"},</v>
      </c>
      <c r="HO2" s="75"/>
      <c r="HP2" s="48" t="str" cm="1">
        <f t="array" ref="HP2">IF(_xlfn.TEXTJOIN(", ", TRUE, IF(ISNUMBER(SEARCH("BLA", BL2:BT2)), COLUMN(BL2:BT2) - COLUMN(BL2) + 1, ""))&lt;&gt;"","BLA","")</f>
        <v>BLA</v>
      </c>
      <c r="HQ2" s="48" t="str" cm="1">
        <f t="array" ref="HQ2">IF(_xlfn.TEXTJOIN(", ", TRUE, IF(ISNUMBER(SEARCH("BLU", BL2:BT2)), COLUMN(BL2:BT2) - COLUMN(BL2) + 1, ""))&lt;&gt;"","BLU","")</f>
        <v>BLU</v>
      </c>
      <c r="HR2" s="48" t="str" cm="1">
        <f t="array" ref="HR2">IF(_xlfn.TEXTJOIN(", ", TRUE, IF(ISNUMBER(SEARCH("GRE", BL2:BT2)), COLUMN(BL2:BT2) - COLUMN(BL2) + 1, ""))&lt;&gt;"","GRE","")</f>
        <v>GRE</v>
      </c>
      <c r="HS2" s="48" t="str" cm="1">
        <f t="array" ref="HS2">IF(_xlfn.TEXTJOIN(", ", TRUE, IF(ISNUMBER(SEARCH("RED", BL2:BT2)), COLUMN(BL2:BT2) - COLUMN(BL2) + 1, ""))&lt;&gt;"","RED","")</f>
        <v>RED</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BRO</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c r="IB2" s="6"/>
      <c r="IC2" s="77"/>
      <c r="ID2" s="77"/>
      <c r="IE2" s="77"/>
      <c r="IF2" s="77"/>
      <c r="IG2" s="77"/>
      <c r="IH2" s="77"/>
      <c r="II2" s="77"/>
      <c r="IJ2" s="77"/>
      <c r="IK2" s="77"/>
      <c r="IL2" s="48">
        <f>SUM(IC2:IK2)</f>
        <v>0</v>
      </c>
      <c r="IM2" s="45">
        <f>COUNTIF(IC2:IK2,"&gt;0")-CG2</f>
        <v>-7</v>
      </c>
      <c r="IN2" s="78" t="str">
        <f>"http://mkweb.bcgsc.ca/color-summarizer/?url="&amp;D2&amp;"&amp;precision=low&amp;num_clusters="&amp;CG2&amp;"&amp;text=1"</f>
        <v>http://mkweb.bcgsc.ca/color-summarizer/?url=https://i.ibb.co/jH6h4M3/Equatorial-Guinea-Flag.png&amp;precision=low&amp;num_clusters=7&amp;text=1</v>
      </c>
      <c r="IO2" s="48" t="str">
        <f>IF(HP2&lt;&gt;"",CHAR(34)&amp;"black"&amp;CHAR(34),"")</f>
        <v>"black"</v>
      </c>
      <c r="IP2" s="48" t="str">
        <f>IF(HQ2&lt;&gt;"",CHAR(34)&amp;"blue"&amp;CHAR(34),"")</f>
        <v>"blue"</v>
      </c>
      <c r="IQ2" s="48" t="str">
        <f>IF(HR2&lt;&gt;"",CHAR(34)&amp;"green"&amp;CHAR(34),"")</f>
        <v>"green"</v>
      </c>
      <c r="IR2" s="48" t="str">
        <f>IF(HS2&lt;&gt;"",CHAR(34)&amp;"red"&amp;CHAR(34),"")</f>
        <v>"red"</v>
      </c>
      <c r="IS2" s="48" t="str">
        <f>IF(HT2&lt;&gt;"",CHAR(34)&amp;"yellow"&amp;CHAR(34),"")</f>
        <v>"yellow"</v>
      </c>
      <c r="IT2" s="48" t="str">
        <f>IF(HU2&lt;&gt;"",CHAR(34)&amp;"orange"&amp;CHAR(34),"")</f>
        <v/>
      </c>
      <c r="IU2" s="48" t="str">
        <f>IF(HV2&lt;&gt;"",CHAR(34)&amp;"brown"&amp;CHAR(34),"")</f>
        <v>"brown"</v>
      </c>
      <c r="IV2" s="48" t="str">
        <f>IF(HW2&lt;&gt;"",CHAR(34)&amp;"purple"&amp;CHAR(34),"")</f>
        <v/>
      </c>
      <c r="IW2" s="48" t="str">
        <f>IF(HX2&lt;&gt;"",CHAR(34)&amp;"white"&amp;CHAR(34),"")</f>
        <v>"white"</v>
      </c>
      <c r="IX2" s="48" t="str">
        <f>"{"&amp;CHAR(34)&amp;"url"&amp;CHAR(34)&amp;":"&amp;CHAR(34)&amp;IN2&amp;CHAR(34)&amp;","&amp;CHAR(34)&amp;"name"&amp;CHAR(34)&amp;":"&amp;CHAR(34)&amp;A2&amp;CHAR(34)&amp;"},"</f>
        <v>{"url":"http://mkweb.bcgsc.ca/color-summarizer/?url=https://i.ibb.co/jH6h4M3/Equatorial-Guinea-Flag.png&amp;precision=low&amp;num_clusters=7&amp;text=1","name":"Equatorial Guinea"},</v>
      </c>
      <c r="IY2" s="48">
        <v>68</v>
      </c>
    </row>
    <row r="3" spans="1:259" s="48" customFormat="1" ht="38.4" customHeight="1" thickBot="1" x14ac:dyDescent="0.35">
      <c r="A3" s="79" t="s">
        <v>636</v>
      </c>
      <c r="B3" s="40" t="e" vm="38">
        <v>#VALUE!</v>
      </c>
      <c r="C3" s="41">
        <v>2</v>
      </c>
      <c r="D3" s="42" t="s">
        <v>637</v>
      </c>
      <c r="E3" s="43" t="s">
        <v>637</v>
      </c>
      <c r="F3" s="44" t="s">
        <v>404</v>
      </c>
      <c r="G3" s="45">
        <f>COUNTIF($A$1:$A$8376,A3)</f>
        <v>1</v>
      </c>
      <c r="H3" s="46"/>
      <c r="I3" s="47" t="s">
        <v>638</v>
      </c>
      <c r="J3" s="48" t="str">
        <f>""</f>
        <v/>
      </c>
      <c r="K3" s="49"/>
      <c r="L3" s="50"/>
      <c r="M3" s="50"/>
      <c r="N3" s="51" t="s">
        <v>180</v>
      </c>
      <c r="O3" s="52" t="s">
        <v>170</v>
      </c>
      <c r="P3" s="53" t="s">
        <v>520</v>
      </c>
      <c r="Q3" s="54">
        <v>2</v>
      </c>
      <c r="R3" s="55" t="s">
        <v>180</v>
      </c>
      <c r="S3" s="56">
        <v>3</v>
      </c>
      <c r="T3" s="57" t="s">
        <v>164</v>
      </c>
      <c r="U3" s="58" t="s">
        <v>164</v>
      </c>
      <c r="V3" s="58" t="s">
        <v>164</v>
      </c>
      <c r="W3" s="58" t="s">
        <v>167</v>
      </c>
      <c r="X3" s="58" t="s">
        <v>164</v>
      </c>
      <c r="Y3" s="58" t="s">
        <v>167</v>
      </c>
      <c r="Z3" s="58" t="s">
        <v>164</v>
      </c>
      <c r="AA3" s="58" t="s">
        <v>164</v>
      </c>
      <c r="AB3" s="58" t="s">
        <v>164</v>
      </c>
      <c r="AC3" s="58" t="s">
        <v>164</v>
      </c>
      <c r="AD3" s="58" t="s">
        <v>164</v>
      </c>
      <c r="AE3" s="58" t="s">
        <v>164</v>
      </c>
      <c r="AF3" s="59" t="s">
        <v>164</v>
      </c>
      <c r="AG3" s="59" t="s">
        <v>164</v>
      </c>
      <c r="AH3" s="59" t="s">
        <v>167</v>
      </c>
      <c r="AI3" s="59" t="s">
        <v>164</v>
      </c>
      <c r="AJ3" s="59" t="s">
        <v>164</v>
      </c>
      <c r="AK3" s="59" t="s">
        <v>164</v>
      </c>
      <c r="AL3" s="59" t="s">
        <v>164</v>
      </c>
      <c r="AM3" s="59" t="s">
        <v>164</v>
      </c>
      <c r="AN3" s="59" t="s">
        <v>164</v>
      </c>
      <c r="AO3" s="59" t="s">
        <v>164</v>
      </c>
      <c r="AP3" s="59" t="s">
        <v>164</v>
      </c>
      <c r="AQ3" s="59" t="s">
        <v>164</v>
      </c>
      <c r="AR3" s="59" t="s">
        <v>164</v>
      </c>
      <c r="AS3" s="59" t="s">
        <v>164</v>
      </c>
      <c r="AT3" s="60">
        <v>0</v>
      </c>
      <c r="AU3" s="59" t="s">
        <v>168</v>
      </c>
      <c r="AV3" s="59" t="str">
        <f>IF(LEFT(A3,1)="[",LEFT(A3,5)&amp;AU3&amp;A3,"")</f>
        <v>[EQG]Province[EQG] Centro Sur</v>
      </c>
      <c r="AW3" s="59" t="str">
        <f t="shared" ref="AW3:AW4" si="1">C3&amp;H3&amp;A3</f>
        <v>2[EQG] Centro Sur</v>
      </c>
      <c r="AX3" s="61"/>
      <c r="AY3" s="61"/>
      <c r="AZ3" s="62"/>
      <c r="BA3" s="62"/>
      <c r="BB3" s="62"/>
      <c r="BC3" s="63"/>
      <c r="BD3" s="64" t="s">
        <v>169</v>
      </c>
      <c r="BE3" s="47"/>
      <c r="BF3" s="64" t="s">
        <v>152</v>
      </c>
      <c r="BG3" s="64" t="s">
        <v>159</v>
      </c>
      <c r="BH3" s="64" t="s">
        <v>153</v>
      </c>
      <c r="BI3" s="64"/>
      <c r="BJ3" s="64"/>
      <c r="BK3" s="47"/>
      <c r="BL3" s="64" t="s">
        <v>152</v>
      </c>
      <c r="BM3" s="64" t="s">
        <v>159</v>
      </c>
      <c r="BN3" s="64" t="s">
        <v>153</v>
      </c>
      <c r="BO3" s="64" t="s">
        <v>542</v>
      </c>
      <c r="BP3" s="64"/>
      <c r="BQ3" s="64"/>
      <c r="BR3" s="64"/>
      <c r="BS3" s="64"/>
      <c r="BT3" s="64"/>
      <c r="BU3" s="65"/>
      <c r="BV3" s="66"/>
      <c r="BW3" s="66">
        <v>0</v>
      </c>
      <c r="BX3" s="47"/>
      <c r="CB3" s="6"/>
      <c r="CC3" s="6"/>
      <c r="CD3" s="67">
        <v>0</v>
      </c>
      <c r="CE3" s="67">
        <v>0</v>
      </c>
      <c r="CF3" s="67" t="e">
        <v>#REF!</v>
      </c>
      <c r="CG3" s="68" cm="1">
        <f t="array" ref="CG3">SUMPRODUCT(--(LEN(TRIM(BL3:BT3))&gt;0))</f>
        <v>4</v>
      </c>
      <c r="CH3" s="59" t="str">
        <f>IF(CG3=2,"y","n")</f>
        <v>n</v>
      </c>
      <c r="CI3" s="59" t="str">
        <f>IF(CG3=3,"y","n")</f>
        <v>n</v>
      </c>
      <c r="CJ3" s="59" t="str">
        <f>IF(CG3=4,"y","n")</f>
        <v>y</v>
      </c>
      <c r="CK3" s="59" t="str">
        <f>IF(CG3&gt;4,"y","n")</f>
        <v>n</v>
      </c>
      <c r="CL3" s="59" t="str">
        <f>IF(S3=0,"y","n")</f>
        <v>n</v>
      </c>
      <c r="CM3" s="59" t="str">
        <f>IF(S3=2,"y","n")</f>
        <v>n</v>
      </c>
      <c r="CN3" s="59" t="str">
        <f>IF(S3=3,"y","n")</f>
        <v>y</v>
      </c>
      <c r="CO3" s="59" t="str">
        <f>IF(S3&gt;=4,"y","n")</f>
        <v>n</v>
      </c>
      <c r="CP3" s="59" t="str">
        <f>IF(AT3=0,"y","n")</f>
        <v>y</v>
      </c>
      <c r="CQ3" s="59" t="str">
        <f>IF(AT3=1,"y","n")</f>
        <v>n</v>
      </c>
      <c r="CR3" s="59" t="str">
        <f>IF(AT3=2,"y","n")</f>
        <v>n</v>
      </c>
      <c r="CS3" s="59" t="str">
        <f>IF(AT3&gt;=3,"y","n")</f>
        <v>n</v>
      </c>
      <c r="CT3" s="69" t="str">
        <f>CHAR(34)&amp;A3&amp;CHAR(34)</f>
        <v>"[EQG] Centro Sur"</v>
      </c>
      <c r="CU3" s="70" t="str">
        <f>CHAR(34)&amp;"rgn_"&amp;R3&amp;CHAR(34)</f>
        <v>"rgn_Africa"</v>
      </c>
      <c r="CV3" s="48" t="str">
        <f>CHAR(34)&amp;D3&amp;CHAR(34)</f>
        <v>"https://www.crwflags.com/fotw/images/g/gq-cs.gif"</v>
      </c>
      <c r="CW3" s="48" t="str">
        <f>IF(CH3="y",CHAR(34)&amp;CH$1&amp;CHAR(34)&amp;",","")</f>
        <v/>
      </c>
      <c r="CX3" s="48" t="str">
        <f>IF(CI3="y",CHAR(34)&amp;CI$1&amp;CHAR(34)&amp;",","")</f>
        <v/>
      </c>
      <c r="CY3" s="48" t="str">
        <f>IF(CJ3="y",CHAR(34)&amp;CJ$1&amp;CHAR(34)&amp;",","")</f>
        <v>"4Color",</v>
      </c>
      <c r="CZ3" s="48" t="str">
        <f>IF(CK3="y",CHAR(34)&amp;CK$1&amp;CHAR(34)&amp;",","")</f>
        <v/>
      </c>
      <c r="DA3" s="48" t="str">
        <f>IF(Q3&gt;1,CHAR(34)&amp;"words2"&amp;CHAR(34)&amp;",","")</f>
        <v>"words2",</v>
      </c>
      <c r="DB3" s="48" t="str">
        <f>IF(Q3&gt;2,CHAR(34)&amp;"words3"&amp;CHAR(34)&amp;",","")</f>
        <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"lets09",</v>
      </c>
      <c r="DE3" s="48" t="str">
        <f>CHAR(34)&amp;"start"&amp;IFERROR(LEFT(SUBSTITUTE(A3,"["&amp;MID(A3,FIND("[",A3)+1,FIND("]",A3)-FIND("[",A3)-1)&amp;"] ",""),1),LEFT(A3,1))&amp;CHAR(34)&amp;","</f>
        <v>"startC",</v>
      </c>
      <c r="DF3" s="48" t="str">
        <f>IFERROR(IF(SEARCH("tan",A3)&gt;0,CHAR(34)&amp;"withtn"&amp;CHAR(34)&amp;",",""),"")</f>
        <v/>
      </c>
      <c r="DG3" s="48" t="str">
        <f>IFERROR(IF(SEARCH("q",A3)&gt;0,CHAR(34)&amp;"with_q"&amp;CHAR(34)&amp;",",""),"")</f>
        <v>"with_q",</v>
      </c>
      <c r="DH3" s="48" t="str">
        <f>IFERROR(IF(SEARCH("v",A3)&gt;0,CHAR(34)&amp;"with_v"&amp;CHAR(34)&amp;",",""),"")</f>
        <v/>
      </c>
      <c r="DI3" s="48" t="str">
        <f>IFERROR(IF(SEARCH("w",A3)&gt;0,CHAR(34)&amp;"with_w"&amp;CHAR(34)&amp;",",""),"")</f>
        <v/>
      </c>
      <c r="DJ3" s="48" t="str">
        <f>IFERROR(IF(SEARCH("y",A3)&gt;0,CHAR(34)&amp;"with_y"&amp;CHAR(34)&amp;",",""),"")</f>
        <v/>
      </c>
      <c r="DK3" s="48" t="str">
        <f>IFERROR(IF(SEARCH("z",A3)&gt;0,CHAR(34)&amp;"with_z"&amp;CHAR(34)&amp;",",""),"")</f>
        <v/>
      </c>
      <c r="DL3" s="48" t="str">
        <f>IF(CG3=2, CHAR(34) &amp; _xlfn.TEXTJOIN("", TRUE, _xlfn._xlws.SORT(HP3:HX3)) &amp; CHAR(34) &amp; ",", "")</f>
        <v/>
      </c>
      <c r="DM3" s="48" t="str" cm="1">
        <f t="array" ref="DM3">IF(CG3=3,CHAR(34) &amp; _xlfn.TEXTJOIN("", TRUE, RIGHT(HP3:HX3, 2)) &amp; CHAR(34) &amp; ",", "")</f>
        <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
      </c>
      <c r="DP3" s="6" t="str">
        <f>IF(AND(ISNUMBER(SEARCH("20", O3)), ISERROR(SEARCH("1920", O3))), CHAR(34)&amp;"year00"&amp;CHAR(34)&amp;",", "")</f>
        <v/>
      </c>
      <c r="DQ3" s="6" t="str">
        <f>IF(CC3="y",CHAR(34)&amp;"soviet"&amp;CHAR(34)&amp;",","")</f>
        <v/>
      </c>
      <c r="DR3" s="6" t="str">
        <f>IF(BY3="y",CHAR(34)&amp;"dgband"&amp;CHAR(34)&amp;",","")</f>
        <v/>
      </c>
      <c r="DS3" s="6" t="str">
        <f>IF(W3="y",IF(AND(V3="n",BY3&lt;&gt;"y"),CHAR(34)&amp;"allver"&amp;CHAR(34)&amp;",",""),"")</f>
        <v>"allver",</v>
      </c>
      <c r="DT3" s="6" t="str">
        <f>IF(V3="y",IF(AND(W3="n",BY3&lt;&gt;"y"),CHAR(34)&amp;"allhor"&amp;CHAR(34)&amp;",",""),"")</f>
        <v/>
      </c>
      <c r="DU3" s="6" t="str">
        <f>IF(BY3="y",IF(AND(W3="n",V3="n"),CHAR(34)&amp;"alldia"&amp;CHAR(34)&amp;",",""),"")</f>
        <v/>
      </c>
      <c r="DW3" s="48" t="str">
        <f>IF(CL3="y",CHAR(34)&amp;CL$1&amp;CHAR(34)&amp;",","")</f>
        <v/>
      </c>
      <c r="DX3" s="48" t="str">
        <f>IF(CM3="y",CHAR(34)&amp;CM$1&amp;CHAR(34)&amp;",","")</f>
        <v/>
      </c>
      <c r="DY3" s="48" t="str">
        <f>IF(CN3="y",CHAR(34)&amp;CN$1&amp;CHAR(34)&amp;",","")</f>
        <v>"3Bands",</v>
      </c>
      <c r="DZ3" s="48" t="str">
        <f>IF(CO3="y",CHAR(34)&amp;CO$1&amp;CHAR(34)&amp;",","")</f>
        <v/>
      </c>
      <c r="EA3" s="48" t="str">
        <f>IF(T3="y",CHAR(34)&amp;T$1&amp;CHAR(34)&amp;",","")</f>
        <v/>
      </c>
      <c r="EB3" s="48" t="str">
        <f>IF(U3="y",CHAR(34)&amp;U$1&amp;CHAR(34)&amp;",","")</f>
        <v/>
      </c>
      <c r="EC3" s="48" t="str">
        <f>IF(V3="y",CHAR(34)&amp;V$1&amp;CHAR(34)&amp;",","")</f>
        <v/>
      </c>
      <c r="ED3" s="48" t="str">
        <f>IF(W3="y",CHAR(34)&amp;W$1&amp;CHAR(34)&amp;",","")</f>
        <v>"Vertic",</v>
      </c>
      <c r="EE3" s="48" t="str">
        <f>IF(X3="y",CHAR(34)&amp;X$1&amp;CHAR(34)&amp;",","")</f>
        <v/>
      </c>
      <c r="EF3" s="48" t="str">
        <f>IF(AND(Y3&lt;&gt;"n",Y3&lt;&gt;""),CHAR(34)&amp;Y$1&amp;CHAR(34)&amp;",","")</f>
        <v>"Animal",</v>
      </c>
      <c r="EG3" s="48" t="str">
        <f>IF(Z3="y",CHAR(34)&amp;Z$1&amp;CHAR(34)&amp;",","")</f>
        <v/>
      </c>
      <c r="EH3" s="48" t="str">
        <f>IF(AA3="y",CHAR(34)&amp;AA$1&amp;CHAR(34)&amp;",","")</f>
        <v/>
      </c>
      <c r="EI3" s="48" t="str">
        <f>IF(AB3="y",CHAR(34)&amp;AB$1&amp;CHAR(34)&amp;",","")</f>
        <v/>
      </c>
      <c r="EJ3" s="48" t="str">
        <f>IF(AC3="y",CHAR(34)&amp;AC$1&amp;CHAR(34)&amp;",","")</f>
        <v/>
      </c>
      <c r="EK3" s="48" t="str">
        <f>IF(AD3="y",CHAR(34)&amp;AD$1&amp;CHAR(34)&amp;",","")</f>
        <v/>
      </c>
      <c r="EL3" s="48" t="str">
        <f>IF(AE3="y",CHAR(34)&amp;AE$1&amp;CHAR(34)&amp;",","")</f>
        <v/>
      </c>
      <c r="EM3" s="48" t="str">
        <f>IF(AF3="y",CHAR(34)&amp;AF$1&amp;CHAR(34)&amp;",","")</f>
        <v/>
      </c>
      <c r="EN3" s="48" t="str">
        <f>IF(AG3="y",CHAR(34)&amp;AG$1&amp;CHAR(34)&amp;",","")</f>
        <v/>
      </c>
      <c r="EO3" s="48" t="str">
        <f>IF(AH3="y",CHAR(34)&amp;AH$1&amp;CHAR(34)&amp;",","")</f>
        <v>"Center",</v>
      </c>
      <c r="EP3" s="48" t="str">
        <f>IF(AI3="y",CHAR(34)&amp;AI$1&amp;CHAR(34)&amp;",","")</f>
        <v/>
      </c>
      <c r="EQ3" s="48" t="str">
        <f>IF(AJ3="y",CHAR(34)&amp;AJ$1&amp;CHAR(34)&amp;",","")</f>
        <v/>
      </c>
      <c r="ER3" s="48" t="str">
        <f>IF(AK3="y",CHAR(34)&amp;AK$1&amp;CHAR(34)&amp;",","")</f>
        <v/>
      </c>
      <c r="ES3" s="48" t="str">
        <f>IF(AL3="y",CHAR(34)&amp;AL$1&amp;CHAR(34)&amp;",","")</f>
        <v/>
      </c>
      <c r="ET3" s="48" t="str">
        <f>IF(AM3="y",CHAR(34)&amp;AM$1&amp;CHAR(34)&amp;",","")</f>
        <v/>
      </c>
      <c r="EU3" s="48" t="str">
        <f>IF(AN3="y",CHAR(34)&amp;AN$1&amp;CHAR(34)&amp;",","")</f>
        <v/>
      </c>
      <c r="EV3" s="48" t="str">
        <f>IF(AO3="y",CHAR(34)&amp;AO$1&amp;CHAR(34)&amp;",","")</f>
        <v/>
      </c>
      <c r="EW3" s="48" t="str">
        <f>IF(AP3="y",CHAR(34)&amp;AP$1&amp;CHAR(34)&amp;",","")</f>
        <v/>
      </c>
      <c r="EX3" s="48" t="str">
        <f>IF(AQ3="y",CHAR(34)&amp;AQ$1&amp;CHAR(34)&amp;",","")</f>
        <v/>
      </c>
      <c r="EY3" s="48" t="str">
        <f>IF(AR3="y",CHAR(34)&amp;AR$1&amp;CHAR(34)&amp;",","")</f>
        <v/>
      </c>
      <c r="EZ3" s="48" t="str">
        <f>IF(AS3="y",CHAR(34)&amp;AS$1&amp;CHAR(34)&amp;",","")</f>
        <v/>
      </c>
      <c r="FA3" s="48" t="str">
        <f>IF(AT3&gt;0,CHAR(34)&amp;"sta"&amp;AZ3&amp;CHAR(34)&amp;",","")</f>
        <v/>
      </c>
      <c r="FB3" s="48" t="str">
        <f>IF(AND(AT3&gt;0,BA3&lt;&gt;""),CHAR(34)&amp;"sta"&amp;BA3&amp;CHAR(34)&amp;",","")</f>
        <v/>
      </c>
      <c r="FD3" s="48" t="str">
        <f>IF(BV3="n",CHAR(34)&amp;"tcWHYE"&amp;CHAR(34)&amp;",",IF(BV3="y",CHAR(34)&amp;FD$1&amp;CHAR(34)&amp;",",""))</f>
        <v/>
      </c>
      <c r="FE3" s="48" t="str">
        <f>IF(COUNTIF(BL3:BT3,"BLU")=0,CHAR(34)&amp;"NO_BLU"&amp;CHAR(34)&amp;",", "")</f>
        <v/>
      </c>
      <c r="FF3" s="48" t="str">
        <f>IF(COUNTIF(BL3:BT3,"WHI")=0,CHAR(34)&amp;"NO_WHI"&amp;CHAR(34)&amp;",", "")</f>
        <v/>
      </c>
      <c r="FG3" s="48" t="str">
        <f>IF(COUNTIF(BL3:BT3,"RED")=0,CHAR(34)&amp;"NO_RED"&amp;CHAR(34)&amp;",", "")</f>
        <v>"NO_RED",</v>
      </c>
      <c r="FH3" s="48" t="str">
        <f>IF(COUNTIF(BL3:BS3,"GRE")=0,CHAR(34)&amp;"NO_GRE"&amp;CHAR(34)&amp;",", "")</f>
        <v/>
      </c>
      <c r="FI3" s="48" t="str">
        <f>IF(COUNTIF(BL3:BT3,"YEL")=0,CHAR(34)&amp;"NO_YEL"&amp;CHAR(34)&amp;",", "")</f>
        <v>"NO_YEL",</v>
      </c>
      <c r="FJ3" s="48" t="str">
        <f>IF(COUNTIF(BL3:BT3,"BLA")=0,CHAR(34)&amp;"NO_BLA"&amp;CHAR(34)&amp;",", "")</f>
        <v>"NO_BLA",</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
      </c>
      <c r="FQ3" s="48" t="str">
        <f>IF(LEN(BF3)=3,CHAR(34)&amp;"001"&amp;BF3&amp;CHAR(34)&amp;",","")</f>
        <v>"001BLU",</v>
      </c>
      <c r="FR3" s="48" t="str">
        <f>IF(LEN(BG3)=3,CHAR(34)&amp;"002"&amp;BG3&amp;CHAR(34)&amp;",","")</f>
        <v>"002WHI",</v>
      </c>
      <c r="FS3" s="48" t="str">
        <f>IF(LEN(BH3)=3,CHAR(34)&amp;"003"&amp;BH3&amp;CHAR(34)&amp;",","")</f>
        <v>"003GRE",</v>
      </c>
      <c r="FT3" s="48" t="str">
        <f>CHAR(34)&amp;"myr"&amp;BD3&amp;CHAR(34)&amp;","</f>
        <v>"myrEQ",</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
      </c>
      <c r="GG3" s="48" t="str">
        <f>IF(BU3="y",CHAR(34)&amp;"unjack"&amp;CHAR(34)&amp;",","")</f>
        <v/>
      </c>
      <c r="GH3" s="48" t="str">
        <f>IF(CD3=1,CHAR(34)&amp;"southc"&amp;CHAR(34)&amp;",","")</f>
        <v/>
      </c>
      <c r="GI3" s="48" t="str">
        <f>IF(CE3=1,CHAR(34)&amp;"hasmap"&amp;CHAR(34)&amp;",","")</f>
        <v/>
      </c>
      <c r="GJ3" s="48" t="str">
        <f>IF(CP3="y",CHAR(34)&amp;CP$1&amp;CHAR(34)&amp;",","")</f>
        <v>"NoStar",</v>
      </c>
      <c r="GK3" s="48" t="str">
        <f>IF(GJ3="",CHAR(34)&amp;"HasSta"&amp;CHAR(34)&amp;",","")</f>
        <v/>
      </c>
      <c r="GL3" s="48" t="str">
        <f>IF(CQ3="y",CHAR(34)&amp;CQ$1&amp;CHAR(34)&amp;",","")</f>
        <v/>
      </c>
      <c r="GM3" s="48" t="str">
        <f>IF(CR3="y",CHAR(34)&amp;CR$1&amp;CHAR(34)&amp;",","")</f>
        <v/>
      </c>
      <c r="GN3" s="48" t="str">
        <f>IF(CS3="y",CHAR(34)&amp;CS$1&amp;CHAR(34)&amp;",","")</f>
        <v/>
      </c>
      <c r="GP3" s="48" t="str">
        <f>CHAR(34)&amp;AU3&amp;CHAR(34)</f>
        <v>"Province"</v>
      </c>
      <c r="GS3" s="48" t="str">
        <f>SUBSTITUTE("["&amp;_xlfn.CONCAT(CW3:GN3)&amp;"]",",]","]")</f>
        <v>["4Color","words2","lets09","startC","with_q","allver","3Bands","Vertic","Animal","Center","NO_RED","NO_YEL","NO_BLA","001BLU","002WHI","003GRE","myrEQ","NoStar"]</v>
      </c>
      <c r="GT3" s="48" t="str">
        <f>IF(BL3&lt;&gt;"",CHAR(34)&amp;"cl_"&amp;BL3&amp;CHAR(34)&amp;",","")</f>
        <v>"cl_BLU",</v>
      </c>
      <c r="GU3" s="48" t="str">
        <f>IF(BM3&lt;&gt;"",CHAR(34)&amp;"cl_"&amp;BM3&amp;CHAR(34)&amp;",","")</f>
        <v>"cl_WHI",</v>
      </c>
      <c r="GV3" s="48" t="str">
        <f>IF(BN3&lt;&gt;"",CHAR(34)&amp;"cl_"&amp;BN3&amp;CHAR(34)&amp;",","")</f>
        <v>"cl_GRE",</v>
      </c>
      <c r="GW3" s="48" t="str">
        <f>IF(BO3&lt;&gt;"",CHAR(34)&amp;"cl_"&amp;BO3&amp;CHAR(34)&amp;",","")</f>
        <v>"cl_GRA",</v>
      </c>
      <c r="GX3" s="48" t="str">
        <f>IF(BP3&lt;&gt;"",CHAR(34)&amp;"cl_"&amp;BP3&amp;CHAR(34)&amp;",","")</f>
        <v/>
      </c>
      <c r="GY3" s="48" t="str">
        <f>IF(BQ3&lt;&gt;"",CHAR(34)&amp;"cl_"&amp;BQ3&amp;CHAR(34)&amp;",","")</f>
        <v/>
      </c>
      <c r="GZ3" s="48" t="str">
        <f>IF(BR3&lt;&gt;"",CHAR(34)&amp;"cl_"&amp;BR3&amp;CHAR(34)&amp;",","")</f>
        <v/>
      </c>
      <c r="HA3" s="48" t="str">
        <f>IF(BS3&lt;&gt;"",CHAR(34)&amp;"cl_"&amp;BS3&amp;CHAR(34)&amp;",","")</f>
        <v/>
      </c>
      <c r="HB3" s="48" t="str">
        <f>IF(BT3&lt;&gt;"",CHAR(34)&amp;"cl_"&amp;BT3&amp;CHAR(34)&amp;",","")</f>
        <v/>
      </c>
      <c r="HC3" s="48" t="str">
        <f>SUBSTITUTE("["&amp;_xlfn.CONCAT(GT3:HB3)&amp;"]",",]","]")</f>
        <v>["cl_BLU","cl_WHI","cl_GRE","cl_GRA"]</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{couname:"[EQG] Centro Sur",year:"???",region:"rgn_Africa",Colors:["cl_BLU","cl_WHI","cl_GRE","cl_GRA"],Items:["4Color","words2","lets09","startC","with_q","allver","3Bands","Vertic","Animal","Center","NO_RED","NO_YEL","NO_BLA","001BLU","002WHI","003GRE","myrEQ","NoStar"],Flag:"https://www.crwflags.com/fotw/images/g/gq-cs.gif",HDFlag:"https://www.crwflags.com/fotw/images/g/gq-cs.gif",type:"Province", describe: "\nN/A", isnew:"www", links: "https://www.crwflags.com/fotw/flags/gq-prov.html"},</v>
      </c>
      <c r="HG3" s="73" t="str">
        <f>"{couname:"&amp;CT3&amp;(IF(HK3&lt;&gt;"",",subtype:"&amp;CHAR(34)&amp;HK3&amp;CHAR(34),""))&amp;",year:"&amp;HJ3&amp;",region:"&amp;CU3&amp;",Colors:"&amp;HC3&amp;",Items:"&amp;GS3&amp;",Flag:"&amp;CV3&amp;",HDFlag:"&amp;CHAR(34)&amp;E3&amp;CHAR(34)&amp;",type:"&amp;GP3&amp;", describe: "&amp;HI3&amp;", links: "&amp;HL3&amp;"},"</f>
        <v>{couname:"[EQG] Centro Sur",year:"???",region:"rgn_Africa",Colors:["cl_BLU","cl_WHI","cl_GRE","cl_GRA"],Items:["4Color","words2","lets09","startC","with_q","allver","3Bands","Vertic","Animal","Center","NO_RED","NO_YEL","NO_BLA","001BLU","002WHI","003GRE","myrEQ","NoStar"],Flag:"https://www.crwflags.com/fotw/images/g/gq-cs.gif",HDFlag:"https://www.crwflags.com/fotw/images/g/gq-cs.gif",type:"Province", describe: "\nN/A", links: "https://www.crwflags.com/fotw/flags/gq-prov.html"},</v>
      </c>
      <c r="HH3" s="48" t="str">
        <f>IF(P3&lt;&gt;"",CHAR(34)&amp;"\n"&amp;P3&amp;CHAR(34),CHAR(34)&amp;CHAR(34))</f>
        <v>"\nN/A"</v>
      </c>
      <c r="HI3" s="48" t="str">
        <f>IF(J3=0,CHAR(34)&amp;CHAR(34),HH3)</f>
        <v>"\nN/A"</v>
      </c>
      <c r="HJ3" s="48" t="str">
        <f>CHAR(34)&amp;O3&amp;CHAR(34)</f>
        <v>"???"</v>
      </c>
      <c r="HL3" s="48" t="str">
        <f>CHAR(34)&amp;I3&amp;CHAR(34)</f>
        <v>"https://www.crwflags.com/fotw/flags/gq-prov.html"</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{"couname":"[EQG] Centro Sur","year":"???","region":"rgn_Africa","Colors":["cl_BLU","cl_WHI","cl_GRE","cl_GRA"],"Items":["4Color","words2","lets09","startC","with_q","allver","3Bands","Vertic","Animal","Center","NO_RED","NO_YEL","NO_BLA","001BLU","002WHI","003GRE","myrEQ","NoStar"],"Flag":"https://www.crwflags.com/fotw/images/g/gq-cs.gif","HDFlag":"https://www.crwflags.com/fotw/images/g/gq-cs.gif","type":"Province", "describe": "\nN/A", "isnew": "www", "links": "https://www.crwflags.com/fotw/flags/gq-prov.html"},</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{"couname":"[EQG] Centro Sur","year":"???","region":"rgn_Africa","Colors":["cl_BLU","cl_WHI","cl_GRE","cl_GRA"],"Items":["4Color","words2","lets09","startC","with_q","allver","3Bands","Vertic","Animal","Center","NO_RED","NO_YEL","NO_BLA","001BLU","002WHI","003GRE","myrEQ","NoStar"],"Flag":"https://www.crwflags.com/fotw/images/g/gq-cs.gif","HDFlag":"https://www.crwflags.com/fotw/images/g/gq-cs.gif","type":"Province", "describe": "\nN/A", "isnew": "www", "links": "https://www.crwflags.com/fotw/flags/gq-prov.html"},</v>
      </c>
      <c r="HO3" s="75">
        <v>45653</v>
      </c>
      <c r="HP3" s="48" t="str" cm="1">
        <f t="array" ref="HP3">IF(_xlfn.TEXTJOIN(", ", TRUE, IF(ISNUMBER(SEARCH("BLA", BL3:BT3)), COLUMN(BL3:BT3) - COLUMN(BL3) + 1, ""))&lt;&gt;"","BLA","")</f>
        <v/>
      </c>
      <c r="HQ3" s="48" t="str" cm="1">
        <f t="array" ref="HQ3">IF(_xlfn.TEXTJOIN(", ", TRUE, IF(ISNUMBER(SEARCH("BLU", BL3:BT3)), COLUMN(BL3:BT3) - COLUMN(BL3) + 1, ""))&lt;&gt;"","BLU","")</f>
        <v>BLU</v>
      </c>
      <c r="HR3" s="48" t="str" cm="1">
        <f t="array" ref="HR3">IF(_xlfn.TEXTJOIN(", ", TRUE, IF(ISNUMBER(SEARCH("GRE", BL3:BT3)), COLUMN(BL3:BT3) - COLUMN(BL3) + 1, ""))&lt;&gt;"","GRE","")</f>
        <v>GRE</v>
      </c>
      <c r="HS3" s="48" t="str" cm="1">
        <f t="array" ref="HS3">IF(_xlfn.TEXTJOIN(", ", TRUE, IF(ISNUMBER(SEARCH("RED", BL3:BT3)), COLUMN(BL3:BT3) - COLUMN(BL3) + 1, ""))&lt;&gt;"","RED","")</f>
        <v/>
      </c>
      <c r="HT3" s="48" t="str" cm="1">
        <f t="array" ref="HT3">IF(_xlfn.TEXTJOIN(", ", TRUE, IF(ISNUMBER(SEARCH("YEL", BL3:BT3)), COLUMN(BL3:BT3) - COLUMN(BL3) + 1, ""))&lt;&gt;"","YEL","")</f>
        <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M3" s="45">
        <f>COUNTIF(IC3:IK3,"&gt;0")-CG3</f>
        <v>-4</v>
      </c>
      <c r="IN3" s="78" t="str">
        <f>"http://mkweb.bcgsc.ca/color-summarizer/?url="&amp;D3&amp;"&amp;precision=low&amp;num_clusters="&amp;CG3&amp;"&amp;text=1"</f>
        <v>http://mkweb.bcgsc.ca/color-summarizer/?url=https://www.crwflags.com/fotw/images/g/gq-cs.gif&amp;precision=low&amp;num_clusters=4&amp;text=1</v>
      </c>
      <c r="IO3" s="48" t="str">
        <f>IF(HP3&lt;&gt;"",CHAR(34)&amp;"black"&amp;CHAR(34),"")</f>
        <v/>
      </c>
      <c r="IP3" s="48" t="str">
        <f>IF(HQ3&lt;&gt;"",CHAR(34)&amp;"blue"&amp;CHAR(34),"")</f>
        <v>"blue"</v>
      </c>
      <c r="IQ3" s="48" t="str">
        <f>IF(HR3&lt;&gt;"",CHAR(34)&amp;"green"&amp;CHAR(34),"")</f>
        <v>"green"</v>
      </c>
      <c r="IR3" s="48" t="str">
        <f>IF(HS3&lt;&gt;"",CHAR(34)&amp;"red"&amp;CHAR(34),"")</f>
        <v/>
      </c>
      <c r="IS3" s="48" t="str">
        <f>IF(HT3&lt;&gt;"",CHAR(34)&amp;"yellow"&amp;CHAR(34),"")</f>
        <v/>
      </c>
      <c r="IT3" s="48" t="str">
        <f>IF(HU3&lt;&gt;"",CHAR(34)&amp;"orange"&amp;CHAR(34),"")</f>
        <v/>
      </c>
      <c r="IU3" s="48" t="str">
        <f>IF(HV3&lt;&gt;"",CHAR(34)&amp;"brown"&amp;CHAR(34),"")</f>
        <v/>
      </c>
      <c r="IV3" s="48" t="str">
        <f>IF(HW3&lt;&gt;"",CHAR(34)&amp;"purple"&amp;CHAR(34),"")</f>
        <v/>
      </c>
      <c r="IW3" s="48" t="str">
        <f>IF(HX3&lt;&gt;"",CHAR(34)&amp;"white"&amp;CHAR(34),"")</f>
        <v>"white"</v>
      </c>
      <c r="IX3" s="48" t="str">
        <f>"{"&amp;CHAR(34)&amp;"url"&amp;CHAR(34)&amp;":"&amp;CHAR(34)&amp;IN3&amp;CHAR(34)&amp;","&amp;CHAR(34)&amp;"name"&amp;CHAR(34)&amp;":"&amp;CHAR(34)&amp;A3&amp;CHAR(34)&amp;"},"</f>
        <v>{"url":"http://mkweb.bcgsc.ca/color-summarizer/?url=https://www.crwflags.com/fotw/images/g/gq-cs.gif&amp;precision=low&amp;num_clusters=4&amp;text=1","name":"[EQG] Centro Sur"},</v>
      </c>
      <c r="IY3" s="48">
        <v>1503</v>
      </c>
    </row>
    <row r="4" spans="1:259" s="48" customFormat="1" ht="38.4" customHeight="1" thickBot="1" x14ac:dyDescent="0.35">
      <c r="A4" s="79" t="s">
        <v>639</v>
      </c>
      <c r="B4" s="40" t="e" vm="39">
        <v>#VALUE!</v>
      </c>
      <c r="C4" s="41">
        <v>2</v>
      </c>
      <c r="D4" s="42" t="s">
        <v>640</v>
      </c>
      <c r="E4" s="43" t="s">
        <v>641</v>
      </c>
      <c r="F4" s="44" t="s">
        <v>163</v>
      </c>
      <c r="G4" s="45">
        <f>COUNTIF($A$1:$A$8376,A4)</f>
        <v>1</v>
      </c>
      <c r="H4" s="46"/>
      <c r="I4" s="47" t="s">
        <v>642</v>
      </c>
      <c r="J4" s="48" t="str">
        <f>""</f>
        <v/>
      </c>
      <c r="K4" s="49"/>
      <c r="L4" s="50"/>
      <c r="M4" s="50"/>
      <c r="N4" s="51" t="s">
        <v>180</v>
      </c>
      <c r="O4" s="52" t="s">
        <v>170</v>
      </c>
      <c r="P4" s="53" t="s">
        <v>643</v>
      </c>
      <c r="Q4" s="54">
        <v>1</v>
      </c>
      <c r="R4" s="55" t="s">
        <v>180</v>
      </c>
      <c r="S4" s="56">
        <v>0</v>
      </c>
      <c r="T4" s="57" t="s">
        <v>164</v>
      </c>
      <c r="U4" s="58" t="s">
        <v>164</v>
      </c>
      <c r="V4" s="58" t="s">
        <v>164</v>
      </c>
      <c r="W4" s="58" t="s">
        <v>164</v>
      </c>
      <c r="X4" s="58" t="s">
        <v>164</v>
      </c>
      <c r="Y4" s="58" t="s">
        <v>167</v>
      </c>
      <c r="Z4" s="58" t="s">
        <v>164</v>
      </c>
      <c r="AA4" s="58" t="s">
        <v>164</v>
      </c>
      <c r="AB4" s="58" t="s">
        <v>167</v>
      </c>
      <c r="AC4" s="58" t="s">
        <v>164</v>
      </c>
      <c r="AD4" s="58" t="s">
        <v>164</v>
      </c>
      <c r="AE4" s="58" t="s">
        <v>164</v>
      </c>
      <c r="AF4" s="59" t="s">
        <v>164</v>
      </c>
      <c r="AG4" s="59" t="s">
        <v>164</v>
      </c>
      <c r="AH4" s="59" t="s">
        <v>167</v>
      </c>
      <c r="AI4" s="59" t="s">
        <v>164</v>
      </c>
      <c r="AJ4" s="59" t="s">
        <v>164</v>
      </c>
      <c r="AK4" s="59" t="s">
        <v>164</v>
      </c>
      <c r="AL4" s="59" t="s">
        <v>167</v>
      </c>
      <c r="AM4" s="59" t="s">
        <v>167</v>
      </c>
      <c r="AN4" s="59" t="s">
        <v>164</v>
      </c>
      <c r="AO4" s="59" t="s">
        <v>167</v>
      </c>
      <c r="AP4" s="59" t="s">
        <v>164</v>
      </c>
      <c r="AQ4" s="59" t="s">
        <v>167</v>
      </c>
      <c r="AR4" s="59" t="s">
        <v>164</v>
      </c>
      <c r="AS4" s="59" t="s">
        <v>164</v>
      </c>
      <c r="AT4" s="60">
        <v>0</v>
      </c>
      <c r="AU4" s="59" t="s">
        <v>171</v>
      </c>
      <c r="AV4" s="59" t="str">
        <f>IF(LEFT(A4,1)="[",LEFT(A4,5)&amp;AU4&amp;A4,"")</f>
        <v>[EQG]Capital City[EQG] Malabo</v>
      </c>
      <c r="AW4" s="59" t="str">
        <f t="shared" si="1"/>
        <v>2[EQG] Malabo</v>
      </c>
      <c r="AX4" s="61"/>
      <c r="AY4" s="61"/>
      <c r="AZ4" s="62"/>
      <c r="BA4" s="62"/>
      <c r="BB4" s="62"/>
      <c r="BC4" s="63"/>
      <c r="BD4" s="64" t="s">
        <v>152</v>
      </c>
      <c r="BE4" s="47"/>
      <c r="BF4" s="64"/>
      <c r="BG4" s="64"/>
      <c r="BH4" s="64"/>
      <c r="BI4" s="64"/>
      <c r="BJ4" s="64"/>
      <c r="BK4" s="47"/>
      <c r="BL4" s="64" t="s">
        <v>152</v>
      </c>
      <c r="BM4" s="64" t="s">
        <v>159</v>
      </c>
      <c r="BN4" s="64" t="s">
        <v>154</v>
      </c>
      <c r="BO4" s="64" t="s">
        <v>155</v>
      </c>
      <c r="BP4" s="64" t="s">
        <v>151</v>
      </c>
      <c r="BQ4" s="64"/>
      <c r="BR4" s="64"/>
      <c r="BS4" s="64"/>
      <c r="BT4" s="64"/>
      <c r="BU4" s="65"/>
      <c r="BV4" s="66"/>
      <c r="BW4" s="66">
        <v>0</v>
      </c>
      <c r="BX4" s="47"/>
      <c r="CB4" s="6"/>
      <c r="CC4" s="6"/>
      <c r="CD4" s="67">
        <v>0</v>
      </c>
      <c r="CE4" s="67">
        <v>0</v>
      </c>
      <c r="CF4" s="67" t="e">
        <v>#REF!</v>
      </c>
      <c r="CG4" s="68" cm="1">
        <f t="array" ref="CG4">SUMPRODUCT(--(LEN(TRIM(BL4:BT4))&gt;0))</f>
        <v>5</v>
      </c>
      <c r="CH4" s="59" t="str">
        <f>IF(CG4=2,"y","n")</f>
        <v>n</v>
      </c>
      <c r="CI4" s="59" t="str">
        <f>IF(CG4=3,"y","n")</f>
        <v>n</v>
      </c>
      <c r="CJ4" s="59" t="str">
        <f>IF(CG4=4,"y","n")</f>
        <v>n</v>
      </c>
      <c r="CK4" s="59" t="str">
        <f>IF(CG4&gt;4,"y","n")</f>
        <v>y</v>
      </c>
      <c r="CL4" s="59" t="str">
        <f>IF(S4=0,"y","n")</f>
        <v>y</v>
      </c>
      <c r="CM4" s="59" t="str">
        <f>IF(S4=2,"y","n")</f>
        <v>n</v>
      </c>
      <c r="CN4" s="59" t="str">
        <f>IF(S4=3,"y","n")</f>
        <v>n</v>
      </c>
      <c r="CO4" s="59" t="str">
        <f>IF(S4&gt;=4,"y","n")</f>
        <v>n</v>
      </c>
      <c r="CP4" s="59" t="str">
        <f>IF(AT4=0,"y","n")</f>
        <v>y</v>
      </c>
      <c r="CQ4" s="59" t="str">
        <f>IF(AT4=1,"y","n")</f>
        <v>n</v>
      </c>
      <c r="CR4" s="59" t="str">
        <f>IF(AT4=2,"y","n")</f>
        <v>n</v>
      </c>
      <c r="CS4" s="59" t="str">
        <f>IF(AT4&gt;=3,"y","n")</f>
        <v>n</v>
      </c>
      <c r="CT4" s="69" t="str">
        <f>CHAR(34)&amp;A4&amp;CHAR(34)</f>
        <v>"[EQG] Malabo"</v>
      </c>
      <c r="CU4" s="70" t="str">
        <f>CHAR(34)&amp;"rgn_"&amp;R4&amp;CHAR(34)</f>
        <v>"rgn_Africa"</v>
      </c>
      <c r="CV4" s="48" t="str">
        <f>CHAR(34)&amp;D4&amp;CHAR(34)</f>
        <v>"https://upload.wikimedia.org/wikipedia/commons/thumb/c/cf/Bandera_de_la_Ciudad_Malabo.png/640px-Bandera_de_la_Ciudad_Malabo.png"</v>
      </c>
      <c r="CW4" s="48" t="str">
        <f>IF(CH4="y",CHAR(34)&amp;CH$1&amp;CHAR(34)&amp;",","")</f>
        <v/>
      </c>
      <c r="CX4" s="48" t="str">
        <f>IF(CI4="y",CHAR(34)&amp;CI$1&amp;CHAR(34)&amp;",","")</f>
        <v/>
      </c>
      <c r="CY4" s="48" t="str">
        <f>IF(CJ4="y",CHAR(34)&amp;CJ$1&amp;CHAR(34)&amp;",","")</f>
        <v/>
      </c>
      <c r="CZ4" s="48" t="str">
        <f>IF(CK4="y",CHAR(34)&amp;CK$1&amp;CHAR(34)&amp;",","")</f>
        <v>"5+Colo",</v>
      </c>
      <c r="DA4" s="48" t="str">
        <f>IF(Q4&gt;1,CHAR(34)&amp;"words2"&amp;CHAR(34)&amp;",","")</f>
        <v/>
      </c>
      <c r="DB4" s="48" t="str">
        <f>IF(Q4&gt;2,CHAR(34)&amp;"words3"&amp;CHAR(34)&amp;",","")</f>
        <v/>
      </c>
      <c r="DD4" s="48" t="str">
        <f>IF(LEN(CHAR(34)&amp;"lets"&amp;LEN(SUBSTITUTE(SUBSTITUTE(IFERROR(TRIM(SUBSTITUTE(A4,MID(A4,FIND("[",A4),FIND("]",A4)-FIND("[",A4)+1),"")),A4)," ",""),"-",""))&amp;CHAR(34)&amp;",")=9,CHAR(34)&amp;"lets"&amp;LEN(SUBSTITUTE(SUBSTITUTE(IFERROR(TRIM(SUBSTITUTE(A4,MID(A4,FIND("[",A4),FIND("]",A4)-FIND("[",A4)+1),"")),A4)," ",""),"-",""))&amp;CHAR(34)&amp;",",CHAR(34)&amp;"lets0"&amp;LEN(SUBSTITUTE(SUBSTITUTE(IFERROR(TRIM(SUBSTITUTE(A4,MID(A4,FIND("[",A4),FIND("]",A4)-FIND("[",A4)+1),"")),A4)," ",""),"-",""))&amp;CHAR(34)&amp;",")</f>
        <v>"lets06",</v>
      </c>
      <c r="DE4" s="48" t="str">
        <f>CHAR(34)&amp;"start"&amp;IFERROR(LEFT(SUBSTITUTE(A4,"["&amp;MID(A4,FIND("[",A4)+1,FIND("]",A4)-FIND("[",A4)-1)&amp;"] ",""),1),LEFT(A4,1))&amp;CHAR(34)&amp;","</f>
        <v>"startM",</v>
      </c>
      <c r="DF4" s="48" t="str">
        <f>IFERROR(IF(SEARCH("tan",A4)&gt;0,CHAR(34)&amp;"withtn"&amp;CHAR(34)&amp;",",""),"")</f>
        <v/>
      </c>
      <c r="DG4" s="48" t="str">
        <f>IFERROR(IF(SEARCH("q",A4)&gt;0,CHAR(34)&amp;"with_q"&amp;CHAR(34)&amp;",",""),"")</f>
        <v>"with_q",</v>
      </c>
      <c r="DH4" s="48" t="str">
        <f>IFERROR(IF(SEARCH("v",A4)&gt;0,CHAR(34)&amp;"with_v"&amp;CHAR(34)&amp;",",""),"")</f>
        <v/>
      </c>
      <c r="DI4" s="48" t="str">
        <f>IFERROR(IF(SEARCH("w",A4)&gt;0,CHAR(34)&amp;"with_w"&amp;CHAR(34)&amp;",",""),"")</f>
        <v/>
      </c>
      <c r="DJ4" s="48" t="str">
        <f>IFERROR(IF(SEARCH("y",A4)&gt;0,CHAR(34)&amp;"with_y"&amp;CHAR(34)&amp;",",""),"")</f>
        <v/>
      </c>
      <c r="DK4" s="48" t="str">
        <f>IFERROR(IF(SEARCH("z",A4)&gt;0,CHAR(34)&amp;"with_z"&amp;CHAR(34)&amp;",",""),"")</f>
        <v/>
      </c>
      <c r="DL4" s="48" t="str">
        <f>IF(CG4=2, CHAR(34) &amp; _xlfn.TEXTJOIN("", TRUE, _xlfn._xlws.SORT(HP4:HX4)) &amp; CHAR(34) &amp; ",", "")</f>
        <v/>
      </c>
      <c r="DM4" s="48" t="str" cm="1">
        <f t="array" ref="DM4">IF(CG4=3,CHAR(34) &amp; _xlfn.TEXTJOIN("", TRUE, RIGHT(HP4:HX4, 2)) &amp; CHAR(34) &amp; ",", "")</f>
        <v/>
      </c>
      <c r="DN4" s="48" t="str">
        <f>IF(AND(ISNUMBER(SEARCH("18", O4)), ISERROR(SEARCH("1918", O4)), ISERROR(SEARCH("2018", O4))), CHAR(34) &amp; "year18" &amp; CHAR(34) &amp; ",", "")</f>
        <v/>
      </c>
      <c r="DO4" s="48" t="str">
        <f>IF(AND(ISNUMBER(SEARCH("19", O4)), ISERROR(SEARCH("1819", O4)),  ISERROR(SEARCH("1219", O4)),ISERROR(SEARCH("1119", O4)),ISERROR(SEARCH("1190", O4)),ISERROR(SEARCH("2019", O4))), CHAR(34) &amp; "year19" &amp; CHAR(34) &amp; ",", "")</f>
        <v/>
      </c>
      <c r="DP4" s="6" t="str">
        <f>IF(AND(ISNUMBER(SEARCH("20", O4)), ISERROR(SEARCH("1920", O4))), CHAR(34)&amp;"year00"&amp;CHAR(34)&amp;",", "")</f>
        <v/>
      </c>
      <c r="DQ4" s="6" t="str">
        <f>IF(CC4="y",CHAR(34)&amp;"soviet"&amp;CHAR(34)&amp;",","")</f>
        <v/>
      </c>
      <c r="DR4" s="6" t="str">
        <f>IF(BY4="y",CHAR(34)&amp;"dgband"&amp;CHAR(34)&amp;",","")</f>
        <v/>
      </c>
      <c r="DS4" s="6" t="str">
        <f>IF(W4="y",IF(AND(V4="n",BY4&lt;&gt;"y"),CHAR(34)&amp;"allver"&amp;CHAR(34)&amp;",",""),"")</f>
        <v/>
      </c>
      <c r="DT4" s="6" t="str">
        <f>IF(V4="y",IF(AND(W4="n",BY4&lt;&gt;"y"),CHAR(34)&amp;"allhor"&amp;CHAR(34)&amp;",",""),"")</f>
        <v/>
      </c>
      <c r="DU4" s="6" t="str">
        <f>IF(BY4="y",IF(AND(W4="n",V4="n"),CHAR(34)&amp;"alldia"&amp;CHAR(34)&amp;",",""),"")</f>
        <v/>
      </c>
      <c r="DW4" s="48" t="str">
        <f>IF(CL4="y",CHAR(34)&amp;CL$1&amp;CHAR(34)&amp;",","")</f>
        <v>"NoBand",</v>
      </c>
      <c r="DX4" s="48" t="str">
        <f>IF(CM4="y",CHAR(34)&amp;CM$1&amp;CHAR(34)&amp;",","")</f>
        <v/>
      </c>
      <c r="DY4" s="48" t="str">
        <f>IF(CN4="y",CHAR(34)&amp;CN$1&amp;CHAR(34)&amp;",","")</f>
        <v/>
      </c>
      <c r="DZ4" s="48" t="str">
        <f>IF(CO4="y",CHAR(34)&amp;CO$1&amp;CHAR(34)&amp;",","")</f>
        <v/>
      </c>
      <c r="EA4" s="48" t="str">
        <f>IF(T4="y",CHAR(34)&amp;T$1&amp;CHAR(34)&amp;",","")</f>
        <v/>
      </c>
      <c r="EB4" s="48" t="str">
        <f>IF(U4="y",CHAR(34)&amp;U$1&amp;CHAR(34)&amp;",","")</f>
        <v/>
      </c>
      <c r="EC4" s="48" t="str">
        <f>IF(V4="y",CHAR(34)&amp;V$1&amp;CHAR(34)&amp;",","")</f>
        <v/>
      </c>
      <c r="ED4" s="48" t="str">
        <f>IF(W4="y",CHAR(34)&amp;W$1&amp;CHAR(34)&amp;",","")</f>
        <v/>
      </c>
      <c r="EE4" s="48" t="str">
        <f>IF(X4="y",CHAR(34)&amp;X$1&amp;CHAR(34)&amp;",","")</f>
        <v/>
      </c>
      <c r="EF4" s="48" t="str">
        <f>IF(AND(Y4&lt;&gt;"n",Y4&lt;&gt;""),CHAR(34)&amp;Y$1&amp;CHAR(34)&amp;",","")</f>
        <v>"Animal",</v>
      </c>
      <c r="EG4" s="48" t="str">
        <f>IF(Z4="y",CHAR(34)&amp;Z$1&amp;CHAR(34)&amp;",","")</f>
        <v/>
      </c>
      <c r="EH4" s="48" t="str">
        <f>IF(AA4="y",CHAR(34)&amp;AA$1&amp;CHAR(34)&amp;",","")</f>
        <v/>
      </c>
      <c r="EI4" s="48" t="str">
        <f>IF(AB4="y",CHAR(34)&amp;AB$1&amp;CHAR(34)&amp;",","")</f>
        <v>"Texted",</v>
      </c>
      <c r="EJ4" s="48" t="str">
        <f>IF(AC4="y",CHAR(34)&amp;AC$1&amp;CHAR(34)&amp;",","")</f>
        <v/>
      </c>
      <c r="EK4" s="48" t="str">
        <f>IF(AD4="y",CHAR(34)&amp;AD$1&amp;CHAR(34)&amp;",","")</f>
        <v/>
      </c>
      <c r="EL4" s="48" t="str">
        <f>IF(AE4="y",CHAR(34)&amp;AE$1&amp;CHAR(34)&amp;",","")</f>
        <v/>
      </c>
      <c r="EM4" s="48" t="str">
        <f>IF(AF4="y",CHAR(34)&amp;AF$1&amp;CHAR(34)&amp;",","")</f>
        <v/>
      </c>
      <c r="EN4" s="48" t="str">
        <f>IF(AG4="y",CHAR(34)&amp;AG$1&amp;CHAR(34)&amp;",","")</f>
        <v/>
      </c>
      <c r="EO4" s="48" t="str">
        <f>IF(AH4="y",CHAR(34)&amp;AH$1&amp;CHAR(34)&amp;",","")</f>
        <v>"Center",</v>
      </c>
      <c r="EP4" s="48" t="str">
        <f>IF(AI4="y",CHAR(34)&amp;AI$1&amp;CHAR(34)&amp;",","")</f>
        <v/>
      </c>
      <c r="EQ4" s="48" t="str">
        <f>IF(AJ4="y",CHAR(34)&amp;AJ$1&amp;CHAR(34)&amp;",","")</f>
        <v/>
      </c>
      <c r="ER4" s="48" t="str">
        <f>IF(AK4="y",CHAR(34)&amp;AK$1&amp;CHAR(34)&amp;",","")</f>
        <v/>
      </c>
      <c r="ES4" s="48" t="str">
        <f>IF(AL4="y",CHAR(34)&amp;AL$1&amp;CHAR(34)&amp;",","")</f>
        <v>"Wavess",</v>
      </c>
      <c r="ET4" s="48" t="str">
        <f>IF(AM4="y",CHAR(34)&amp;AM$1&amp;CHAR(34)&amp;",","")</f>
        <v>"Geogrh",</v>
      </c>
      <c r="EU4" s="48" t="str">
        <f>IF(AN4="y",CHAR(34)&amp;AN$1&amp;CHAR(34)&amp;",","")</f>
        <v/>
      </c>
      <c r="EV4" s="48" t="str">
        <f>IF(AO4="y",CHAR(34)&amp;AO$1&amp;CHAR(34)&amp;",","")</f>
        <v>"Builds",</v>
      </c>
      <c r="EW4" s="48" t="str">
        <f>IF(AP4="y",CHAR(34)&amp;AP$1&amp;CHAR(34)&amp;",","")</f>
        <v/>
      </c>
      <c r="EX4" s="48" t="str">
        <f>IF(AQ4="y",CHAR(34)&amp;AQ$1&amp;CHAR(34)&amp;",","")</f>
        <v>"Crowns",</v>
      </c>
      <c r="EY4" s="48" t="str">
        <f>IF(AR4="y",CHAR(34)&amp;AR$1&amp;CHAR(34)&amp;",","")</f>
        <v/>
      </c>
      <c r="EZ4" s="48" t="str">
        <f>IF(AS4="y",CHAR(34)&amp;AS$1&amp;CHAR(34)&amp;",","")</f>
        <v/>
      </c>
      <c r="FA4" s="48" t="str">
        <f>IF(AT4&gt;0,CHAR(34)&amp;"sta"&amp;AZ4&amp;CHAR(34)&amp;",","")</f>
        <v/>
      </c>
      <c r="FB4" s="48" t="str">
        <f>IF(AND(AT4&gt;0,BA4&lt;&gt;""),CHAR(34)&amp;"sta"&amp;BA4&amp;CHAR(34)&amp;",","")</f>
        <v/>
      </c>
      <c r="FD4" s="48" t="str">
        <f>IF(BV4="n",CHAR(34)&amp;"tcWHYE"&amp;CHAR(34)&amp;",",IF(BV4="y",CHAR(34)&amp;FD$1&amp;CHAR(34)&amp;",",""))</f>
        <v/>
      </c>
      <c r="FE4" s="48" t="str">
        <f>IF(COUNTIF(BL4:BT4,"BLU")=0,CHAR(34)&amp;"NO_BLU"&amp;CHAR(34)&amp;",", "")</f>
        <v/>
      </c>
      <c r="FF4" s="48" t="str">
        <f>IF(COUNTIF(BL4:BT4,"WHI")=0,CHAR(34)&amp;"NO_WHI"&amp;CHAR(34)&amp;",", "")</f>
        <v/>
      </c>
      <c r="FG4" s="48" t="str">
        <f>IF(COUNTIF(BL4:BT4,"RED")=0,CHAR(34)&amp;"NO_RED"&amp;CHAR(34)&amp;",", "")</f>
        <v/>
      </c>
      <c r="FH4" s="48" t="str">
        <f>IF(COUNTIF(BL4:BS4,"GRE")=0,CHAR(34)&amp;"NO_GRE"&amp;CHAR(34)&amp;",", "")</f>
        <v>"NO_GRE",</v>
      </c>
      <c r="FI4" s="48" t="str">
        <f>IF(COUNTIF(BL4:BT4,"YEL")=0,CHAR(34)&amp;"NO_YEL"&amp;CHAR(34)&amp;",", "")</f>
        <v/>
      </c>
      <c r="FJ4" s="48" t="str">
        <f>IF(COUNTIF(BL4:BT4,"BLA")=0,CHAR(34)&amp;"NO_BLA"&amp;CHAR(34)&amp;",", "")</f>
        <v/>
      </c>
      <c r="FK4" s="48" t="str">
        <f>IF(AND(FH4&lt;&gt;"",FF4&lt;&gt;""),CHAR(34)&amp;"WHGRNO"&amp;CHAR(34)&amp;",","")</f>
        <v/>
      </c>
      <c r="FL4" s="48" t="str">
        <f>IF(AND(FI4&lt;&gt;"",FF4&lt;&gt;""),CHAR(34)&amp;"WHYENO"&amp;CHAR(34)&amp;",","")</f>
        <v/>
      </c>
      <c r="FM4" s="48" t="str">
        <f>IF(AND(FJ4&lt;&gt;"",FF4&lt;&gt;""),CHAR(34)&amp;"BAWHNO"&amp;CHAR(34)&amp;",","")</f>
        <v/>
      </c>
      <c r="FN4" s="48" t="str">
        <f>IF(AND(FE4&lt;&gt;"",FF4&lt;&gt;""),CHAR(34)&amp;"BLWHNO"&amp;CHAR(34)&amp;",","")</f>
        <v/>
      </c>
      <c r="FO4" s="48" t="str">
        <f>IF(AND(FE4&lt;&gt;"",FG4&lt;&gt;""),CHAR(34)&amp;"BLRENO"&amp;CHAR(34)&amp;",","")</f>
        <v/>
      </c>
      <c r="FP4" s="48" t="str">
        <f>IF(AND(FF4&lt;&gt;"",FF4&lt;&gt;""),CHAR(34)&amp;"WHRENO"&amp;CHAR(34)&amp;",","")</f>
        <v/>
      </c>
      <c r="FQ4" s="48" t="str">
        <f>IF(LEN(BF4)=3,CHAR(34)&amp;"001"&amp;BF4&amp;CHAR(34)&amp;",","")</f>
        <v/>
      </c>
      <c r="FR4" s="48" t="str">
        <f>IF(LEN(BG4)=3,CHAR(34)&amp;"002"&amp;BG4&amp;CHAR(34)&amp;",","")</f>
        <v/>
      </c>
      <c r="FS4" s="48" t="str">
        <f>IF(LEN(BH4)=3,CHAR(34)&amp;"003"&amp;BH4&amp;CHAR(34)&amp;",","")</f>
        <v/>
      </c>
      <c r="FT4" s="48" t="str">
        <f>CHAR(34)&amp;"myr"&amp;BD4&amp;CHAR(34)&amp;","</f>
        <v>"myrBLU",</v>
      </c>
      <c r="FU4" s="48" t="str">
        <f>IF(AY4="y",CHAR(34)&amp;"island"&amp;CHAR(34)&amp;",","")</f>
        <v/>
      </c>
      <c r="FV4" s="48" t="str">
        <f>IF(BZ4="y",CHAR(34)&amp;"landlo"&amp;CHAR(34)&amp;",","")</f>
        <v/>
      </c>
      <c r="FW4" s="48" t="str">
        <f>IF(CA4="y",CHAR(34)&amp;"eunion"&amp;CHAR(34)&amp;",","")</f>
        <v/>
      </c>
      <c r="FY4" s="48" t="str">
        <f>IFERROR(IF(SEARCH("Arabic",CB4)&gt;0,CHAR(34)&amp;"arabic"&amp;CHAR(34)&amp;",",""),"")</f>
        <v/>
      </c>
      <c r="FZ4" s="48" t="str">
        <f>IFERROR(IF(SEARCH("English",CB4)&gt;0,CHAR(34)&amp;"englis"&amp;CHAR(34)&amp;",",""),"")</f>
        <v/>
      </c>
      <c r="GA4" s="48" t="str">
        <f>IFERROR(IF(SEARCH("French",CB4)&gt;0,CHAR(34)&amp;"french"&amp;CHAR(34)&amp;",",""),"")</f>
        <v/>
      </c>
      <c r="GB4" s="48" t="str">
        <f>IFERROR(IF(SEARCH("Spanish",CB4)&gt;0,CHAR(34)&amp;"spanis"&amp;CHAR(34)&amp;",",""),"")</f>
        <v/>
      </c>
      <c r="GE4" s="48" t="str">
        <f>IFERROR(IF(SEARCH("Dutch",CB4)&gt;0,CHAR(34)&amp;"dutchs"&amp;CHAR(34)&amp;",",""),"")</f>
        <v/>
      </c>
      <c r="GF4" s="48" t="str">
        <f>IFERROR(IF(SEARCH("Historical",AU4)&gt;0,CHAR(34)&amp;"histor"&amp;CHAR(34)&amp;",",""),"")</f>
        <v/>
      </c>
      <c r="GG4" s="48" t="str">
        <f>IF(BU4="y",CHAR(34)&amp;"unjack"&amp;CHAR(34)&amp;",","")</f>
        <v/>
      </c>
      <c r="GH4" s="48" t="str">
        <f>IF(CD4=1,CHAR(34)&amp;"southc"&amp;CHAR(34)&amp;",","")</f>
        <v/>
      </c>
      <c r="GI4" s="48" t="str">
        <f>IF(CE4=1,CHAR(34)&amp;"hasmap"&amp;CHAR(34)&amp;",","")</f>
        <v/>
      </c>
      <c r="GJ4" s="48" t="str">
        <f>IF(CP4="y",CHAR(34)&amp;CP$1&amp;CHAR(34)&amp;",","")</f>
        <v>"NoStar",</v>
      </c>
      <c r="GK4" s="48" t="str">
        <f>IF(GJ4="",CHAR(34)&amp;"HasSta"&amp;CHAR(34)&amp;",","")</f>
        <v/>
      </c>
      <c r="GL4" s="48" t="str">
        <f>IF(CQ4="y",CHAR(34)&amp;CQ$1&amp;CHAR(34)&amp;",","")</f>
        <v/>
      </c>
      <c r="GM4" s="48" t="str">
        <f>IF(CR4="y",CHAR(34)&amp;CR$1&amp;CHAR(34)&amp;",","")</f>
        <v/>
      </c>
      <c r="GN4" s="48" t="str">
        <f>IF(CS4="y",CHAR(34)&amp;CS$1&amp;CHAR(34)&amp;",","")</f>
        <v/>
      </c>
      <c r="GP4" s="48" t="str">
        <f>CHAR(34)&amp;AU4&amp;CHAR(34)</f>
        <v>"Capital City"</v>
      </c>
      <c r="GS4" s="48" t="str">
        <f>SUBSTITUTE("["&amp;_xlfn.CONCAT(CW4:GN4)&amp;"]",",]","]")</f>
        <v>["5+Colo","lets06","startM","with_q","NoBand","Animal","Texted","Center","Wavess","Geogrh","Builds","Crowns","NO_GRE","myrBLU","NoStar"]</v>
      </c>
      <c r="GT4" s="48" t="str">
        <f>IF(BL4&lt;&gt;"",CHAR(34)&amp;"cl_"&amp;BL4&amp;CHAR(34)&amp;",","")</f>
        <v>"cl_BLU",</v>
      </c>
      <c r="GU4" s="48" t="str">
        <f>IF(BM4&lt;&gt;"",CHAR(34)&amp;"cl_"&amp;BM4&amp;CHAR(34)&amp;",","")</f>
        <v>"cl_WHI",</v>
      </c>
      <c r="GV4" s="48" t="str">
        <f>IF(BN4&lt;&gt;"",CHAR(34)&amp;"cl_"&amp;BN4&amp;CHAR(34)&amp;",","")</f>
        <v>"cl_RED",</v>
      </c>
      <c r="GW4" s="48" t="str">
        <f>IF(BO4&lt;&gt;"",CHAR(34)&amp;"cl_"&amp;BO4&amp;CHAR(34)&amp;",","")</f>
        <v>"cl_YEL",</v>
      </c>
      <c r="GX4" s="48" t="str">
        <f>IF(BP4&lt;&gt;"",CHAR(34)&amp;"cl_"&amp;BP4&amp;CHAR(34)&amp;",","")</f>
        <v>"cl_BLA",</v>
      </c>
      <c r="GY4" s="48" t="str">
        <f>IF(BQ4&lt;&gt;"",CHAR(34)&amp;"cl_"&amp;BQ4&amp;CHAR(34)&amp;",","")</f>
        <v/>
      </c>
      <c r="GZ4" s="48" t="str">
        <f>IF(BR4&lt;&gt;"",CHAR(34)&amp;"cl_"&amp;BR4&amp;CHAR(34)&amp;",","")</f>
        <v/>
      </c>
      <c r="HA4" s="48" t="str">
        <f>IF(BS4&lt;&gt;"",CHAR(34)&amp;"cl_"&amp;BS4&amp;CHAR(34)&amp;",","")</f>
        <v/>
      </c>
      <c r="HB4" s="48" t="str">
        <f>IF(BT4&lt;&gt;"",CHAR(34)&amp;"cl_"&amp;BT4&amp;CHAR(34)&amp;",","")</f>
        <v/>
      </c>
      <c r="HC4" s="48" t="str">
        <f>SUBSTITUTE("["&amp;_xlfn.CONCAT(GT4:HB4)&amp;"]",",]","]")</f>
        <v>["cl_BLU","cl_WHI","cl_RED","cl_YEL","cl_BLA"]</v>
      </c>
      <c r="HE4" s="71"/>
      <c r="HF4" s="72" t="str">
        <f>"{couname:"&amp;CT4&amp;(IF(HK4&lt;&gt;"",",subtype:"&amp;CHAR(34)&amp;HK4&amp;CHAR(34),""))&amp;",year:"&amp;HJ4&amp;",region:"&amp;CU4&amp;",Colors:"&amp;HC4&amp;",Items:"&amp;GS4&amp;",Flag:"&amp;CV4&amp;",HDFlag:"&amp;CHAR(34)&amp;E4&amp;CHAR(34)&amp;",type:"&amp;GP4&amp;", describe: "&amp;HH4&amp;", isnew:"&amp;CHAR(34)&amp;F4&amp;CHAR(34)&amp;", links: "&amp;HL4&amp;"},"</f>
        <v>{couname:"[EQG] Malabo",year:"???",region:"rgn_Africa",Colors:["cl_BLU","cl_WHI","cl_RED","cl_YEL","cl_BLA"],Items:["5+Colo","lets06","startM","with_q","NoBand","Animal","Texted","Center","Wavess","Geogrh","Builds","Crowns","NO_GRE","myrBLU","NoStar"],Flag:"https://upload.wikimedia.org/wikipedia/commons/thumb/c/cf/Bandera_de_la_Ciudad_Malabo.png/640px-Bandera_de_la_Ciudad_Malabo.png",HDFlag:"https://upload.wikimedia.org/wikipedia/commons/c/cf/Bandera_de_la_Ciudad_Malabo.png",type:"Capital City", describe: "\nA cyan field with the coat of arms in the center.", isnew:".", links: "https://en.wikipedia.org/wiki/List_of_flags_of_Equatorial_Guinea"},</v>
      </c>
      <c r="HG4" s="73" t="str">
        <f>"{couname:"&amp;CT4&amp;(IF(HK4&lt;&gt;"",",subtype:"&amp;CHAR(34)&amp;HK4&amp;CHAR(34),""))&amp;",year:"&amp;HJ4&amp;",region:"&amp;CU4&amp;",Colors:"&amp;HC4&amp;",Items:"&amp;GS4&amp;",Flag:"&amp;CV4&amp;",HDFlag:"&amp;CHAR(34)&amp;E4&amp;CHAR(34)&amp;",type:"&amp;GP4&amp;", describe: "&amp;HI4&amp;", links: "&amp;HL4&amp;"},"</f>
        <v>{couname:"[EQG] Malabo",year:"???",region:"rgn_Africa",Colors:["cl_BLU","cl_WHI","cl_RED","cl_YEL","cl_BLA"],Items:["5+Colo","lets06","startM","with_q","NoBand","Animal","Texted","Center","Wavess","Geogrh","Builds","Crowns","NO_GRE","myrBLU","NoStar"],Flag:"https://upload.wikimedia.org/wikipedia/commons/thumb/c/cf/Bandera_de_la_Ciudad_Malabo.png/640px-Bandera_de_la_Ciudad_Malabo.png",HDFlag:"https://upload.wikimedia.org/wikipedia/commons/c/cf/Bandera_de_la_Ciudad_Malabo.png",type:"Capital City", describe: "\nA cyan field with the coat of arms in the center.", links: "https://en.wikipedia.org/wiki/List_of_flags_of_Equatorial_Guinea"},</v>
      </c>
      <c r="HH4" s="48" t="str">
        <f>IF(P4&lt;&gt;"",CHAR(34)&amp;"\n"&amp;P4&amp;CHAR(34),CHAR(34)&amp;CHAR(34))</f>
        <v>"\nA cyan field with the coat of arms in the center."</v>
      </c>
      <c r="HI4" s="48" t="str">
        <f>IF(J4=0,CHAR(34)&amp;CHAR(34),HH4)</f>
        <v>"\nA cyan field with the coat of arms in the center."</v>
      </c>
      <c r="HJ4" s="48" t="str">
        <f>CHAR(34)&amp;O4&amp;CHAR(34)</f>
        <v>"???"</v>
      </c>
      <c r="HL4" s="48" t="str">
        <f>CHAR(34)&amp;I4&amp;CHAR(34)</f>
        <v>"https://en.wikipedia.org/wiki/List_of_flags_of_Equatorial_Guinea"</v>
      </c>
      <c r="HM4" s="72"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"&amp;HH4&amp;", "&amp;CHAR(34)&amp;"isnew"&amp;CHAR(34)&amp;": "&amp;CHAR(34)&amp;F4&amp;CHAR(34)&amp;", "&amp;CHAR(34)&amp;"links"&amp;CHAR(34)&amp;": "&amp;HL4&amp;"},"</f>
        <v>{"couname":"[EQG] Malabo","year":"???","region":"rgn_Africa","Colors":["cl_BLU","cl_WHI","cl_RED","cl_YEL","cl_BLA"],"Items":["5+Colo","lets06","startM","with_q","NoBand","Animal","Texted","Center","Wavess","Geogrh","Builds","Crowns","NO_GRE","myrBLU","NoStar"],"Flag":"https://upload.wikimedia.org/wikipedia/commons/thumb/c/cf/Bandera_de_la_Ciudad_Malabo.png/640px-Bandera_de_la_Ciudad_Malabo.png","HDFlag":"https://upload.wikimedia.org/wikipedia/commons/c/cf/Bandera_de_la_Ciudad_Malabo.png","type":"Capital City", "describe": "\nA cyan field with the coat of arms in the center.", "isnew": ".", "links": "https://en.wikipedia.org/wiki/List_of_flags_of_Equatorial_Guinea"},</v>
      </c>
      <c r="HN4" s="74"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"&amp;HI4&amp;", "&amp;CHAR(34)&amp;"isnew"&amp;CHAR(34)&amp;": "&amp;CHAR(34)&amp;F4&amp;CHAR(34)&amp;", "&amp;CHAR(34)&amp;"links"&amp;CHAR(34)&amp;": "&amp;HL4&amp;"},"</f>
        <v>{"couname":"[EQG] Malabo","year":"???","region":"rgn_Africa","Colors":["cl_BLU","cl_WHI","cl_RED","cl_YEL","cl_BLA"],"Items":["5+Colo","lets06","startM","with_q","NoBand","Animal","Texted","Center","Wavess","Geogrh","Builds","Crowns","NO_GRE","myrBLU","NoStar"],"Flag":"https://upload.wikimedia.org/wikipedia/commons/thumb/c/cf/Bandera_de_la_Ciudad_Malabo.png/640px-Bandera_de_la_Ciudad_Malabo.png","HDFlag":"https://upload.wikimedia.org/wikipedia/commons/c/cf/Bandera_de_la_Ciudad_Malabo.png","type":"Capital City", "describe": "\nA cyan field with the coat of arms in the center.", "isnew": ".", "links": "https://en.wikipedia.org/wiki/List_of_flags_of_Equatorial_Guinea"},</v>
      </c>
      <c r="HO4" s="75">
        <v>45644</v>
      </c>
      <c r="HP4" s="48" t="str" cm="1">
        <f t="array" ref="HP4">IF(_xlfn.TEXTJOIN(", ", TRUE, IF(ISNUMBER(SEARCH("BLA", BL4:BT4)), COLUMN(BL4:BT4) - COLUMN(BL4) + 1, ""))&lt;&gt;"","BLA","")</f>
        <v>BLA</v>
      </c>
      <c r="HQ4" s="48" t="str" cm="1">
        <f t="array" ref="HQ4">IF(_xlfn.TEXTJOIN(", ", TRUE, IF(ISNUMBER(SEARCH("BLU", BL4:BT4)), COLUMN(BL4:BT4) - COLUMN(BL4) + 1, ""))&lt;&gt;"","BLU","")</f>
        <v>BLU</v>
      </c>
      <c r="HR4" s="48" t="str" cm="1">
        <f t="array" ref="HR4">IF(_xlfn.TEXTJOIN(", ", TRUE, IF(ISNUMBER(SEARCH("GRE", BL4:BT4)), COLUMN(BL4:BT4) - COLUMN(BL4) + 1, ""))&lt;&gt;"","GRE","")</f>
        <v/>
      </c>
      <c r="HS4" s="48" t="str" cm="1">
        <f t="array" ref="HS4">IF(_xlfn.TEXTJOIN(", ", TRUE, IF(ISNUMBER(SEARCH("RED", BL4:BT4)), COLUMN(BL4:BT4) - COLUMN(BL4) + 1, ""))&lt;&gt;"","RED","")</f>
        <v>RED</v>
      </c>
      <c r="HT4" s="48" t="str" cm="1">
        <f t="array" ref="HT4">IF(_xlfn.TEXTJOIN(", ", TRUE, IF(ISNUMBER(SEARCH("YEL", BL4:BT4)), COLUMN(BL4:BT4) - COLUMN(BL4) + 1, ""))&lt;&gt;"","YEL","")</f>
        <v>YEL</v>
      </c>
      <c r="HU4" s="48" t="str" cm="1">
        <f t="array" ref="HU4">IF(_xlfn.TEXTJOIN(", ", TRUE, IF(ISNUMBER(SEARCH("ORA", BL4:BT4)), COLUMN(BL4:BT4) - COLUMN(BL4) + 1, ""))&lt;&gt;"","ORA","")</f>
        <v/>
      </c>
      <c r="HV4" s="48" t="str" cm="1">
        <f t="array" ref="HV4">IF(_xlfn.TEXTJOIN(", ", TRUE, IF(ISNUMBER(SEARCH("BRO", BL4:BT4)), COLUMN(BL4:BT4) - COLUMN(BL4) + 1, ""))&lt;&gt;"","BRO","")</f>
        <v/>
      </c>
      <c r="HW4" s="48" t="str" cm="1">
        <f t="array" ref="HW4">IF(_xlfn.TEXTJOIN(", ", TRUE, IF(ISNUMBER(SEARCH("PUR", BL4:BT4)), COLUMN(BL4:BT4) - COLUMN(BL4) + 1, ""))&lt;&gt;"","PUR","")</f>
        <v/>
      </c>
      <c r="HX4" s="48" t="str" cm="1">
        <f t="array" ref="HX4">IF(_xlfn.TEXTJOIN(", ", TRUE, IF(ISNUMBER(SEARCH("WHI", BL4:BT4)), COLUMN(BL4:BT4) - COLUMN(BL4) + 1, ""))&lt;&gt;"","WHI","")</f>
        <v>WHI</v>
      </c>
      <c r="HY4" s="76"/>
      <c r="HZ4" s="76"/>
      <c r="IA4" s="6"/>
      <c r="IB4" s="6"/>
      <c r="IC4" s="77"/>
      <c r="ID4" s="77"/>
      <c r="IE4" s="77"/>
      <c r="IF4" s="77"/>
      <c r="IG4" s="77"/>
      <c r="IH4" s="77"/>
      <c r="II4" s="77"/>
      <c r="IJ4" s="77"/>
      <c r="IK4" s="77"/>
      <c r="IM4" s="45">
        <f>COUNTIF(IC4:IK4,"&gt;0")-CG4</f>
        <v>-5</v>
      </c>
      <c r="IN4" s="78" t="str">
        <f>"http://mkweb.bcgsc.ca/color-summarizer/?url="&amp;D4&amp;"&amp;precision=low&amp;num_clusters="&amp;CG4&amp;"&amp;text=1"</f>
        <v>http://mkweb.bcgsc.ca/color-summarizer/?url=https://upload.wikimedia.org/wikipedia/commons/thumb/c/cf/Bandera_de_la_Ciudad_Malabo.png/640px-Bandera_de_la_Ciudad_Malabo.png&amp;precision=low&amp;num_clusters=5&amp;text=1</v>
      </c>
      <c r="IO4" s="48" t="str">
        <f>IF(HP4&lt;&gt;"",CHAR(34)&amp;"black"&amp;CHAR(34),"")</f>
        <v>"black"</v>
      </c>
      <c r="IP4" s="48" t="str">
        <f>IF(HQ4&lt;&gt;"",CHAR(34)&amp;"blue"&amp;CHAR(34),"")</f>
        <v>"blue"</v>
      </c>
      <c r="IQ4" s="48" t="str">
        <f>IF(HR4&lt;&gt;"",CHAR(34)&amp;"green"&amp;CHAR(34),"")</f>
        <v/>
      </c>
      <c r="IR4" s="48" t="str">
        <f>IF(HS4&lt;&gt;"",CHAR(34)&amp;"red"&amp;CHAR(34),"")</f>
        <v>"red"</v>
      </c>
      <c r="IS4" s="48" t="str">
        <f>IF(HT4&lt;&gt;"",CHAR(34)&amp;"yellow"&amp;CHAR(34),"")</f>
        <v>"yellow"</v>
      </c>
      <c r="IT4" s="48" t="str">
        <f>IF(HU4&lt;&gt;"",CHAR(34)&amp;"orange"&amp;CHAR(34),"")</f>
        <v/>
      </c>
      <c r="IU4" s="48" t="str">
        <f>IF(HV4&lt;&gt;"",CHAR(34)&amp;"brown"&amp;CHAR(34),"")</f>
        <v/>
      </c>
      <c r="IV4" s="48" t="str">
        <f>IF(HW4&lt;&gt;"",CHAR(34)&amp;"purple"&amp;CHAR(34),"")</f>
        <v/>
      </c>
      <c r="IW4" s="48" t="str">
        <f>IF(HX4&lt;&gt;"",CHAR(34)&amp;"white"&amp;CHAR(34),"")</f>
        <v>"white"</v>
      </c>
      <c r="IX4" s="48" t="str">
        <f>"{"&amp;CHAR(34)&amp;"url"&amp;CHAR(34)&amp;":"&amp;CHAR(34)&amp;IN4&amp;CHAR(34)&amp;","&amp;CHAR(34)&amp;"name"&amp;CHAR(34)&amp;":"&amp;CHAR(34)&amp;A4&amp;CHAR(34)&amp;"},"</f>
        <v>{"url":"http://mkweb.bcgsc.ca/color-summarizer/?url=https://upload.wikimedia.org/wikipedia/commons/thumb/c/cf/Bandera_de_la_Ciudad_Malabo.png/640px-Bandera_de_la_Ciudad_Malabo.png&amp;precision=low&amp;num_clusters=5&amp;text=1","name":"[EQG] Malabo"},</v>
      </c>
      <c r="IY4" s="48">
        <v>1503</v>
      </c>
    </row>
    <row r="5" spans="1:259" ht="38.4" customHeight="1" x14ac:dyDescent="0.3">
      <c r="F5" s="82"/>
      <c r="G5" s="82"/>
      <c r="H5" s="82"/>
      <c r="I5" s="82"/>
      <c r="J5" s="82"/>
      <c r="K5" s="82"/>
    </row>
    <row r="6" spans="1:259" ht="38.4" customHeight="1" x14ac:dyDescent="0.3">
      <c r="F6" s="82"/>
      <c r="G6" s="82"/>
      <c r="H6" s="82"/>
      <c r="I6" s="82"/>
      <c r="J6" s="82"/>
      <c r="K6" s="82"/>
    </row>
  </sheetData>
  <autoFilter ref="A1:IY1" xr:uid="{A1051193-A95B-4CFB-A73C-F0184620C81F}">
    <sortState xmlns:xlrd2="http://schemas.microsoft.com/office/spreadsheetml/2017/richdata2" ref="A2:IY5">
      <sortCondition ref="AW1"/>
    </sortState>
  </autoFilter>
  <conditionalFormatting sqref="H1 CW1:GS1 IA1:IB1">
    <cfRule type="cellIs" dxfId="4863" priority="118" operator="greaterThan">
      <formula>0</formula>
    </cfRule>
  </conditionalFormatting>
  <conditionalFormatting sqref="H1 H7:H1048576">
    <cfRule type="cellIs" dxfId="4862" priority="84" stopIfTrue="1" operator="notEqual">
      <formula>""</formula>
    </cfRule>
  </conditionalFormatting>
  <conditionalFormatting sqref="T1:BK1">
    <cfRule type="cellIs" dxfId="4861" priority="121" operator="greaterThan">
      <formula>0</formula>
    </cfRule>
  </conditionalFormatting>
  <conditionalFormatting sqref="BV1:BW1 BV5:BW1048576">
    <cfRule type="cellIs" dxfId="4860" priority="120" operator="equal">
      <formula>"nc"</formula>
    </cfRule>
  </conditionalFormatting>
  <conditionalFormatting sqref="HF1:HG1">
    <cfRule type="cellIs" dxfId="4859" priority="122" operator="greaterThan">
      <formula>0</formula>
    </cfRule>
  </conditionalFormatting>
  <conditionalFormatting sqref="HK1">
    <cfRule type="cellIs" dxfId="4858" priority="119" operator="greaterThan">
      <formula>0</formula>
    </cfRule>
  </conditionalFormatting>
  <conditionalFormatting sqref="HP1:HX1">
    <cfRule type="cellIs" dxfId="4857" priority="96" operator="equal">
      <formula>"PIN"</formula>
    </cfRule>
    <cfRule type="cellIs" dxfId="4856" priority="97" operator="equal">
      <formula>"ORA"</formula>
    </cfRule>
    <cfRule type="cellIs" dxfId="4855" priority="98" operator="equal">
      <formula>"GRA"</formula>
    </cfRule>
    <cfRule type="cellIs" dxfId="4854" priority="99" operator="equal">
      <formula>"PUR"</formula>
    </cfRule>
    <cfRule type="cellIs" dxfId="4853" priority="100" operator="equal">
      <formula>"BRO"</formula>
    </cfRule>
    <cfRule type="cellIs" dxfId="4852" priority="101" operator="equal">
      <formula>"YEL"</formula>
    </cfRule>
    <cfRule type="cellIs" dxfId="4851" priority="102" operator="equal">
      <formula>"BLU"</formula>
    </cfRule>
    <cfRule type="cellIs" dxfId="4850" priority="103" operator="equal">
      <formula>"WHI"</formula>
    </cfRule>
    <cfRule type="cellIs" dxfId="4849" priority="104" operator="equal">
      <formula>"GRE"</formula>
    </cfRule>
    <cfRule type="cellIs" dxfId="4848" priority="105" operator="equal">
      <formula>"RED"</formula>
    </cfRule>
    <cfRule type="cellIs" dxfId="4847" priority="106" operator="equal">
      <formula>"BLA"</formula>
    </cfRule>
  </conditionalFormatting>
  <conditionalFormatting sqref="IC1:IK1">
    <cfRule type="cellIs" dxfId="4846" priority="107" operator="equal">
      <formula>"PIN"</formula>
    </cfRule>
    <cfRule type="cellIs" dxfId="4845" priority="108" operator="equal">
      <formula>"ORA"</formula>
    </cfRule>
    <cfRule type="cellIs" dxfId="4844" priority="109" operator="equal">
      <formula>"GRA"</formula>
    </cfRule>
    <cfRule type="cellIs" dxfId="4843" priority="110" operator="equal">
      <formula>"PUR"</formula>
    </cfRule>
    <cfRule type="cellIs" dxfId="4842" priority="111" operator="equal">
      <formula>"BRO"</formula>
    </cfRule>
    <cfRule type="cellIs" dxfId="4841" priority="112" operator="equal">
      <formula>"YEL"</formula>
    </cfRule>
    <cfRule type="cellIs" dxfId="4840" priority="113" operator="equal">
      <formula>"BLU"</formula>
    </cfRule>
    <cfRule type="cellIs" dxfId="4839" priority="114" operator="equal">
      <formula>"WHI"</formula>
    </cfRule>
    <cfRule type="cellIs" dxfId="4838" priority="115" operator="equal">
      <formula>"GRE"</formula>
    </cfRule>
    <cfRule type="cellIs" dxfId="4837" priority="116" operator="equal">
      <formula>"RED"</formula>
    </cfRule>
    <cfRule type="cellIs" dxfId="4836" priority="117" operator="equal">
      <formula>"BLA"</formula>
    </cfRule>
  </conditionalFormatting>
  <conditionalFormatting sqref="IO1:IW1">
    <cfRule type="cellIs" dxfId="4835" priority="85" operator="equal">
      <formula>"PIN"</formula>
    </cfRule>
    <cfRule type="cellIs" dxfId="4834" priority="86" operator="equal">
      <formula>"ORA"</formula>
    </cfRule>
    <cfRule type="cellIs" dxfId="4833" priority="87" operator="equal">
      <formula>"GRA"</formula>
    </cfRule>
    <cfRule type="cellIs" dxfId="4832" priority="88" operator="equal">
      <formula>"PUR"</formula>
    </cfRule>
    <cfRule type="cellIs" dxfId="4831" priority="89" operator="equal">
      <formula>"BRO"</formula>
    </cfRule>
    <cfRule type="cellIs" dxfId="4830" priority="90" operator="equal">
      <formula>"YEL"</formula>
    </cfRule>
    <cfRule type="cellIs" dxfId="4829" priority="91" operator="equal">
      <formula>"BLU"</formula>
    </cfRule>
    <cfRule type="cellIs" dxfId="4828" priority="92" operator="equal">
      <formula>"WHI"</formula>
    </cfRule>
    <cfRule type="cellIs" dxfId="4827" priority="93" operator="equal">
      <formula>"GRE"</formula>
    </cfRule>
    <cfRule type="cellIs" dxfId="4826" priority="94" operator="equal">
      <formula>"RED"</formula>
    </cfRule>
    <cfRule type="cellIs" dxfId="4825" priority="95" operator="equal">
      <formula>"BLA"</formula>
    </cfRule>
  </conditionalFormatting>
  <conditionalFormatting sqref="H3:H4">
    <cfRule type="cellIs" dxfId="4824" priority="76" stopIfTrue="1" operator="notEqual">
      <formula>""</formula>
    </cfRule>
  </conditionalFormatting>
  <conditionalFormatting sqref="R3:R4 CU3:CU4">
    <cfRule type="cellIs" dxfId="4823" priority="79" operator="greaterThan">
      <formula>0</formula>
    </cfRule>
  </conditionalFormatting>
  <conditionalFormatting sqref="T3:AS4 CH3:CS4">
    <cfRule type="cellIs" dxfId="4822" priority="73" stopIfTrue="1" operator="equal">
      <formula>"n"</formula>
    </cfRule>
    <cfRule type="cellIs" dxfId="4821" priority="74" stopIfTrue="1" operator="equal">
      <formula>"y"</formula>
    </cfRule>
    <cfRule type="cellIs" dxfId="4820" priority="75" operator="greaterThan">
      <formula>0</formula>
    </cfRule>
  </conditionalFormatting>
  <conditionalFormatting sqref="AZ3:BB4">
    <cfRule type="expression" dxfId="4819" priority="60">
      <formula>$AT3=0</formula>
    </cfRule>
  </conditionalFormatting>
  <conditionalFormatting sqref="CD3:CF4 BX3:CA4 AZ3:BU4">
    <cfRule type="cellIs" dxfId="4818" priority="61" operator="equal">
      <formula>"PIN"</formula>
    </cfRule>
    <cfRule type="cellIs" dxfId="4817" priority="62" operator="equal">
      <formula>"ORA"</formula>
    </cfRule>
    <cfRule type="cellIs" dxfId="4816" priority="63" operator="equal">
      <formula>"GRA"</formula>
    </cfRule>
    <cfRule type="cellIs" dxfId="4815" priority="64" operator="equal">
      <formula>"PUR"</formula>
    </cfRule>
    <cfRule type="cellIs" dxfId="4814" priority="65" operator="equal">
      <formula>"BRO"</formula>
    </cfRule>
    <cfRule type="cellIs" dxfId="4813" priority="66" operator="equal">
      <formula>"YEL"</formula>
    </cfRule>
    <cfRule type="cellIs" dxfId="4812" priority="67" operator="equal">
      <formula>"BLU"</formula>
    </cfRule>
    <cfRule type="cellIs" dxfId="4811" priority="68" operator="equal">
      <formula>"WHI"</formula>
    </cfRule>
    <cfRule type="cellIs" dxfId="4810" priority="69" operator="equal">
      <formula>"GRE"</formula>
    </cfRule>
    <cfRule type="cellIs" dxfId="4809" priority="70" operator="equal">
      <formula>"RED"</formula>
    </cfRule>
    <cfRule type="cellIs" dxfId="4808" priority="71" operator="equal">
      <formula>"BLA"</formula>
    </cfRule>
  </conditionalFormatting>
  <conditionalFormatting sqref="BV3:BV4">
    <cfRule type="cellIs" dxfId="4807" priority="78" operator="equal">
      <formula>"nc"</formula>
    </cfRule>
  </conditionalFormatting>
  <conditionalFormatting sqref="CD3:CF4 BX3:CA4">
    <cfRule type="cellIs" dxfId="4806" priority="77" operator="equal">
      <formula>"y"</formula>
    </cfRule>
  </conditionalFormatting>
  <conditionalFormatting sqref="CD3:CF4 BZ3:CA4">
    <cfRule type="cellIs" dxfId="4805" priority="72" operator="greaterThan">
      <formula>0</formula>
    </cfRule>
  </conditionalFormatting>
  <conditionalFormatting sqref="IC3:IK4">
    <cfRule type="expression" dxfId="4804" priority="59">
      <formula>$IL3&gt;0</formula>
    </cfRule>
  </conditionalFormatting>
  <conditionalFormatting sqref="IC3:IC4">
    <cfRule type="cellIs" dxfId="4803" priority="53" stopIfTrue="1" operator="greaterThan">
      <formula>0</formula>
    </cfRule>
  </conditionalFormatting>
  <conditionalFormatting sqref="ID3:ID4">
    <cfRule type="cellIs" dxfId="4802" priority="51" stopIfTrue="1" operator="greaterThan">
      <formula>0</formula>
    </cfRule>
  </conditionalFormatting>
  <conditionalFormatting sqref="II3:II4 IE3:IF4">
    <cfRule type="cellIs" dxfId="4801" priority="58" operator="greaterThan">
      <formula>0</formula>
    </cfRule>
  </conditionalFormatting>
  <conditionalFormatting sqref="II3:II4 IF3:IF4">
    <cfRule type="cellIs" dxfId="4800" priority="52" stopIfTrue="1" operator="greaterThan">
      <formula>0</formula>
    </cfRule>
  </conditionalFormatting>
  <conditionalFormatting sqref="IG3:IG4">
    <cfRule type="cellIs" dxfId="4799" priority="57" operator="greaterThan">
      <formula>0</formula>
    </cfRule>
  </conditionalFormatting>
  <conditionalFormatting sqref="IH3:II4">
    <cfRule type="cellIs" dxfId="4798" priority="56" operator="greaterThan">
      <formula>0</formula>
    </cfRule>
  </conditionalFormatting>
  <conditionalFormatting sqref="IJ3:IJ4">
    <cfRule type="cellIs" dxfId="4797" priority="55" operator="greaterThan">
      <formula>0</formula>
    </cfRule>
  </conditionalFormatting>
  <conditionalFormatting sqref="IK3:IK4">
    <cfRule type="cellIs" dxfId="4796" priority="54" operator="greaterThan">
      <formula>0</formula>
    </cfRule>
  </conditionalFormatting>
  <conditionalFormatting sqref="IF3:IF4">
    <cfRule type="cellIs" dxfId="4795" priority="50" stopIfTrue="1" operator="greaterThan">
      <formula>0</formula>
    </cfRule>
  </conditionalFormatting>
  <conditionalFormatting sqref="IM3:IM4">
    <cfRule type="cellIs" dxfId="4794" priority="49" operator="equal">
      <formula>0</formula>
    </cfRule>
  </conditionalFormatting>
  <conditionalFormatting sqref="BX3:CA4 CD3:CF4">
    <cfRule type="cellIs" dxfId="4793" priority="37" operator="equal">
      <formula>"y"</formula>
    </cfRule>
    <cfRule type="cellIs" dxfId="4792" priority="38" operator="equal">
      <formula>"PIN"</formula>
    </cfRule>
    <cfRule type="cellIs" dxfId="4791" priority="39" operator="equal">
      <formula>"ORA"</formula>
    </cfRule>
    <cfRule type="cellIs" dxfId="4790" priority="40" operator="equal">
      <formula>"GRA"</formula>
    </cfRule>
    <cfRule type="cellIs" dxfId="4789" priority="41" operator="equal">
      <formula>"PUR"</formula>
    </cfRule>
    <cfRule type="cellIs" dxfId="4788" priority="42" operator="equal">
      <formula>"BRO"</formula>
    </cfRule>
    <cfRule type="cellIs" dxfId="4787" priority="43" operator="equal">
      <formula>"YEL"</formula>
    </cfRule>
    <cfRule type="cellIs" dxfId="4786" priority="44" operator="equal">
      <formula>"BLU"</formula>
    </cfRule>
    <cfRule type="cellIs" dxfId="4785" priority="45" operator="equal">
      <formula>"WHI"</formula>
    </cfRule>
    <cfRule type="cellIs" dxfId="4784" priority="46" operator="equal">
      <formula>"GRE"</formula>
    </cfRule>
    <cfRule type="cellIs" dxfId="4783" priority="47" operator="equal">
      <formula>"RED"</formula>
    </cfRule>
    <cfRule type="cellIs" dxfId="4782" priority="48" operator="equal">
      <formula>"BLA"</formula>
    </cfRule>
  </conditionalFormatting>
  <conditionalFormatting sqref="AT3:AT4">
    <cfRule type="colorScale" priority="80">
      <colorScale>
        <cfvo type="min"/>
        <cfvo type="max"/>
        <color rgb="FFFCFCFF"/>
        <color theme="8" tint="0.39997558519241921"/>
      </colorScale>
    </cfRule>
  </conditionalFormatting>
  <conditionalFormatting sqref="S3:S4">
    <cfRule type="colorScale" priority="81">
      <colorScale>
        <cfvo type="min"/>
        <cfvo type="max"/>
        <color rgb="FFFCFCFF"/>
        <color rgb="FF754BFB"/>
      </colorScale>
    </cfRule>
  </conditionalFormatting>
  <conditionalFormatting sqref="J3:J4">
    <cfRule type="colorScale" priority="82">
      <colorScale>
        <cfvo type="min"/>
        <cfvo type="percentile" val="50"/>
        <cfvo type="max"/>
        <color rgb="FFF8696B"/>
        <color rgb="FFFFEB84"/>
        <color rgb="FF63BE7B"/>
      </colorScale>
    </cfRule>
  </conditionalFormatting>
  <conditionalFormatting sqref="CG3:CG4">
    <cfRule type="colorScale" priority="83">
      <colorScale>
        <cfvo type="min"/>
        <cfvo type="max"/>
        <color rgb="FFFCFCFF"/>
        <color rgb="FF63BE7B"/>
      </colorScale>
    </cfRule>
  </conditionalFormatting>
  <conditionalFormatting sqref="H2">
    <cfRule type="cellIs" dxfId="4781" priority="30" stopIfTrue="1" operator="notEqual">
      <formula>""</formula>
    </cfRule>
  </conditionalFormatting>
  <conditionalFormatting sqref="R2 CU2">
    <cfRule type="cellIs" dxfId="4780" priority="32" operator="greaterThan">
      <formula>0</formula>
    </cfRule>
  </conditionalFormatting>
  <conditionalFormatting sqref="T2:AS2 CH2:CS2">
    <cfRule type="cellIs" dxfId="4779" priority="27" stopIfTrue="1" operator="equal">
      <formula>"n"</formula>
    </cfRule>
    <cfRule type="cellIs" dxfId="4778" priority="28" stopIfTrue="1" operator="equal">
      <formula>"y"</formula>
    </cfRule>
    <cfRule type="cellIs" dxfId="4777" priority="29" operator="greaterThan">
      <formula>0</formula>
    </cfRule>
  </conditionalFormatting>
  <conditionalFormatting sqref="AZ2:BB2">
    <cfRule type="expression" dxfId="4776" priority="14">
      <formula>$AT2=0</formula>
    </cfRule>
  </conditionalFormatting>
  <conditionalFormatting sqref="AZ2:BU2">
    <cfRule type="cellIs" dxfId="4775" priority="15" operator="equal">
      <formula>"PIN"</formula>
    </cfRule>
    <cfRule type="cellIs" dxfId="4774" priority="16" operator="equal">
      <formula>"ORA"</formula>
    </cfRule>
    <cfRule type="cellIs" dxfId="4773" priority="17" operator="equal">
      <formula>"GRA"</formula>
    </cfRule>
    <cfRule type="cellIs" dxfId="4772" priority="18" operator="equal">
      <formula>"PUR"</formula>
    </cfRule>
    <cfRule type="cellIs" dxfId="4771" priority="19" operator="equal">
      <formula>"BRO"</formula>
    </cfRule>
    <cfRule type="cellIs" dxfId="4770" priority="20" operator="equal">
      <formula>"YEL"</formula>
    </cfRule>
    <cfRule type="cellIs" dxfId="4769" priority="21" operator="equal">
      <formula>"BLU"</formula>
    </cfRule>
    <cfRule type="cellIs" dxfId="4768" priority="22" operator="equal">
      <formula>"WHI"</formula>
    </cfRule>
    <cfRule type="cellIs" dxfId="4767" priority="23" operator="equal">
      <formula>"GRE"</formula>
    </cfRule>
    <cfRule type="cellIs" dxfId="4766" priority="24" operator="equal">
      <formula>"RED"</formula>
    </cfRule>
    <cfRule type="cellIs" dxfId="4765" priority="25" operator="equal">
      <formula>"BLA"</formula>
    </cfRule>
  </conditionalFormatting>
  <conditionalFormatting sqref="BV2">
    <cfRule type="cellIs" dxfId="4764" priority="31" operator="equal">
      <formula>"nc"</formula>
    </cfRule>
  </conditionalFormatting>
  <conditionalFormatting sqref="CD2:CF2 BZ2:CA2">
    <cfRule type="cellIs" dxfId="4763" priority="26" operator="greaterThan">
      <formula>0</formula>
    </cfRule>
  </conditionalFormatting>
  <conditionalFormatting sqref="IC2:IK2">
    <cfRule type="expression" dxfId="4762" priority="13">
      <formula>$IL2&gt;0</formula>
    </cfRule>
  </conditionalFormatting>
  <conditionalFormatting sqref="BX2:CA2 CD2:CF2">
    <cfRule type="cellIs" dxfId="4761" priority="1" operator="equal">
      <formula>"y"</formula>
    </cfRule>
    <cfRule type="cellIs" dxfId="4760" priority="2" operator="equal">
      <formula>"PIN"</formula>
    </cfRule>
    <cfRule type="cellIs" dxfId="4759" priority="3" operator="equal">
      <formula>"ORA"</formula>
    </cfRule>
    <cfRule type="cellIs" dxfId="4758" priority="4" operator="equal">
      <formula>"GRA"</formula>
    </cfRule>
    <cfRule type="cellIs" dxfId="4757" priority="5" operator="equal">
      <formula>"PUR"</formula>
    </cfRule>
    <cfRule type="cellIs" dxfId="4756" priority="6" operator="equal">
      <formula>"BRO"</formula>
    </cfRule>
    <cfRule type="cellIs" dxfId="4755" priority="7" operator="equal">
      <formula>"YEL"</formula>
    </cfRule>
    <cfRule type="cellIs" dxfId="4754" priority="8" operator="equal">
      <formula>"BLU"</formula>
    </cfRule>
    <cfRule type="cellIs" dxfId="4753" priority="9" operator="equal">
      <formula>"WHI"</formula>
    </cfRule>
    <cfRule type="cellIs" dxfId="4752" priority="10" operator="equal">
      <formula>"GRE"</formula>
    </cfRule>
    <cfRule type="cellIs" dxfId="4751" priority="11" operator="equal">
      <formula>"RED"</formula>
    </cfRule>
    <cfRule type="cellIs" dxfId="4750" priority="12" operator="equal">
      <formula>"BLA"</formula>
    </cfRule>
  </conditionalFormatting>
  <conditionalFormatting sqref="J2">
    <cfRule type="colorScale" priority="33">
      <colorScale>
        <cfvo type="min"/>
        <cfvo type="percentile" val="50"/>
        <cfvo type="max"/>
        <color rgb="FFF8696B"/>
        <color rgb="FFFFEB84"/>
        <color rgb="FF63BE7B"/>
      </colorScale>
    </cfRule>
  </conditionalFormatting>
  <conditionalFormatting sqref="S2">
    <cfRule type="colorScale" priority="34">
      <colorScale>
        <cfvo type="min"/>
        <cfvo type="max"/>
        <color rgb="FFFCFCFF"/>
        <color rgb="FF754BFB"/>
      </colorScale>
    </cfRule>
  </conditionalFormatting>
  <conditionalFormatting sqref="AT2">
    <cfRule type="colorScale" priority="35">
      <colorScale>
        <cfvo type="min"/>
        <cfvo type="max"/>
        <color rgb="FFFCFCFF"/>
        <color theme="8" tint="0.39997558519241921"/>
      </colorScale>
    </cfRule>
  </conditionalFormatting>
  <conditionalFormatting sqref="CG2">
    <cfRule type="colorScale" priority="36">
      <colorScale>
        <cfvo type="min"/>
        <cfvo type="max"/>
        <color rgb="FFFCFCFF"/>
        <color rgb="FF63BE7B"/>
      </colorScale>
    </cfRule>
  </conditionalFormatting>
  <hyperlinks>
    <hyperlink ref="A2" r:id="rId1" display="https://fbref.com/en/country/EQG/Equatorial-Guinea-Football" xr:uid="{6CF78681-795D-487C-BA92-7126D97D8CFB}"/>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39937" r:id="rId5"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39938" r:id="rId6"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39939" r:id="rId7"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CF5ED-99EF-47CA-85D4-E318BA6DE60B}">
  <sheetPr codeName="Sheet53"/>
  <dimension ref="A1:IY9"/>
  <sheetViews>
    <sheetView zoomScale="70" zoomScaleNormal="70" workbookViewId="0">
      <pane xSplit="5" ySplit="1" topLeftCell="F2" activePane="bottomRight" state="frozen"/>
      <selection pane="topRight" activeCell="F1" sqref="F1"/>
      <selection pane="bottomLeft" activeCell="A2" sqref="A2"/>
      <selection pane="bottomRight" activeCell="A3" sqref="A3"/>
    </sheetView>
  </sheetViews>
  <sheetFormatPr defaultRowHeight="38.4" customHeight="1" x14ac:dyDescent="0.3"/>
  <cols>
    <col min="1" max="1" width="52.44140625" style="81" bestFit="1" customWidth="1"/>
    <col min="2" max="2" width="10.109375" style="81" customWidth="1"/>
    <col min="3" max="3" width="7.44140625" style="82" customWidth="1"/>
    <col min="4" max="4" width="4.77734375" style="83" customWidth="1"/>
    <col min="5" max="5" width="4.5546875" style="83" customWidth="1"/>
    <col min="6" max="6" width="5.77734375" style="83" customWidth="1"/>
    <col min="7" max="7" width="7.44140625" style="81" customWidth="1"/>
    <col min="8" max="8" width="11.44140625" style="81" customWidth="1"/>
    <col min="9" max="9" width="10" style="81" customWidth="1"/>
    <col min="10" max="10" width="4.21875" style="81" customWidth="1"/>
    <col min="11" max="11" width="5.6640625" style="83" customWidth="1"/>
    <col min="12" max="12" width="2.88671875" style="83" customWidth="1"/>
    <col min="13" max="13" width="6.44140625" style="83" customWidth="1"/>
    <col min="14" max="14" width="4.5546875" style="83" customWidth="1"/>
    <col min="15" max="15" width="10.5546875" style="84" customWidth="1"/>
    <col min="16" max="16" width="6.88671875" style="83" customWidth="1"/>
    <col min="17" max="17" width="4.77734375" style="83" customWidth="1"/>
    <col min="18" max="18" width="13.109375" style="82" customWidth="1"/>
    <col min="19" max="19" width="6.77734375" style="82" customWidth="1"/>
    <col min="20" max="46" width="8.44140625" style="81" customWidth="1"/>
    <col min="47" max="47" width="24.5546875" style="81" customWidth="1"/>
    <col min="48" max="51" width="16.6640625" style="81" customWidth="1"/>
    <col min="52" max="52" width="6.5546875" style="81" customWidth="1"/>
    <col min="53" max="54" width="5.88671875" style="81" customWidth="1"/>
    <col min="55" max="55" width="1.33203125" style="81" customWidth="1"/>
    <col min="56" max="56" width="7.44140625" style="81" customWidth="1"/>
    <col min="57" max="57" width="2.33203125" style="81" customWidth="1"/>
    <col min="58" max="62" width="6.109375" style="81" customWidth="1"/>
    <col min="63" max="63" width="2.33203125" style="81" customWidth="1"/>
    <col min="64" max="64" width="7" style="81" bestFit="1" customWidth="1"/>
    <col min="65" max="65" width="6.44140625" style="81" bestFit="1" customWidth="1"/>
    <col min="66" max="66" width="7.109375" style="81" bestFit="1" customWidth="1"/>
    <col min="67" max="71" width="6.44140625" style="81" bestFit="1" customWidth="1"/>
    <col min="72" max="73" width="6.44140625" style="81" customWidth="1"/>
    <col min="74" max="75" width="13.44140625" style="81" customWidth="1"/>
    <col min="76" max="84" width="14.6640625" style="81" customWidth="1"/>
    <col min="85" max="85" width="6.44140625" style="81" customWidth="1"/>
    <col min="86" max="87" width="11.6640625" style="81" bestFit="1" customWidth="1"/>
    <col min="88" max="88" width="11.6640625" style="81" customWidth="1"/>
    <col min="89" max="89" width="12.77734375" style="81" bestFit="1" customWidth="1"/>
    <col min="90" max="90" width="16.44140625" style="82" bestFit="1" customWidth="1"/>
    <col min="91" max="92" width="14.88671875" style="82" bestFit="1" customWidth="1"/>
    <col min="93" max="93" width="16" style="82" bestFit="1" customWidth="1"/>
    <col min="94" max="97" width="7.77734375" style="81" customWidth="1"/>
    <col min="98" max="98" width="33.21875" style="81" customWidth="1"/>
    <col min="99" max="99" width="18" style="81" customWidth="1"/>
    <col min="100" max="100" width="75.6640625" style="81" customWidth="1"/>
    <col min="101" max="125" width="33" style="81" customWidth="1"/>
    <col min="126" max="126" width="8.88671875" style="81"/>
    <col min="127" max="128" width="9.44140625" style="81" bestFit="1" customWidth="1"/>
    <col min="129" max="129" width="10.77734375" style="81" bestFit="1" customWidth="1"/>
    <col min="130" max="134" width="10.77734375" style="81" customWidth="1"/>
    <col min="135" max="135" width="10.109375" style="81" bestFit="1" customWidth="1"/>
    <col min="136" max="136" width="7.77734375" style="81" bestFit="1" customWidth="1"/>
    <col min="137" max="137" width="7.77734375" style="81" customWidth="1"/>
    <col min="138" max="138" width="9" style="81" bestFit="1" customWidth="1"/>
    <col min="139" max="139" width="11.33203125" style="81" bestFit="1" customWidth="1"/>
    <col min="140" max="140" width="9.109375" style="81" bestFit="1" customWidth="1"/>
    <col min="141" max="141" width="9" style="81" bestFit="1" customWidth="1"/>
    <col min="142" max="142" width="12" style="81" bestFit="1" customWidth="1"/>
    <col min="143" max="166" width="12" style="81" customWidth="1"/>
    <col min="167" max="167" width="17.21875" style="81" customWidth="1"/>
    <col min="168" max="191" width="12" style="81" customWidth="1"/>
    <col min="192" max="192" width="8.5546875" style="81" bestFit="1" customWidth="1"/>
    <col min="193" max="193" width="8.5546875" style="81" customWidth="1"/>
    <col min="194" max="194" width="7.109375" style="81" bestFit="1" customWidth="1"/>
    <col min="195" max="195" width="7.5546875" style="81" bestFit="1" customWidth="1"/>
    <col min="196" max="196" width="8.5546875" style="81" bestFit="1" customWidth="1"/>
    <col min="197" max="200" width="8.5546875" style="81" customWidth="1"/>
    <col min="201" max="201" width="188.88671875" style="81" customWidth="1"/>
    <col min="202" max="202" width="9.5546875" style="81" bestFit="1" customWidth="1"/>
    <col min="203" max="203" width="10.44140625" style="81" bestFit="1" customWidth="1"/>
    <col min="204" max="204" width="11.109375" style="81" bestFit="1" customWidth="1"/>
    <col min="205" max="205" width="10.44140625" style="81" bestFit="1" customWidth="1"/>
    <col min="206" max="210" width="10.44140625" style="81" customWidth="1"/>
    <col min="211" max="211" width="45.44140625" style="81" customWidth="1"/>
    <col min="212" max="212" width="47.5546875" style="81" bestFit="1" customWidth="1"/>
    <col min="213" max="213" width="9.33203125" style="85" customWidth="1"/>
    <col min="214" max="214" width="119.5546875" style="81" customWidth="1"/>
    <col min="215" max="215" width="69.6640625" style="81" customWidth="1"/>
    <col min="216" max="218" width="8.88671875" style="81"/>
    <col min="219" max="219" width="37.109375" style="81" customWidth="1"/>
    <col min="220" max="220" width="16.33203125" style="81" customWidth="1"/>
    <col min="221" max="222" width="8.88671875" style="81"/>
    <col min="223" max="223" width="10.109375" style="81" bestFit="1" customWidth="1"/>
    <col min="224" max="232" width="10.88671875" style="81" customWidth="1"/>
    <col min="233" max="234" width="30.77734375" style="81" customWidth="1"/>
    <col min="235" max="235" width="5.109375" style="81" customWidth="1"/>
    <col min="236" max="236" width="3" style="81" customWidth="1"/>
    <col min="237" max="245" width="6.77734375" style="86" customWidth="1"/>
    <col min="246" max="247" width="8.88671875" style="81"/>
    <col min="248" max="248" width="61.5546875" style="81" customWidth="1"/>
    <col min="249" max="253" width="8.88671875" style="81"/>
    <col min="254" max="254" width="9" style="81" customWidth="1"/>
    <col min="255" max="16384" width="8.88671875" style="8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622</v>
      </c>
      <c r="B2" s="40" t="e" vm="40">
        <v>#VALUE!</v>
      </c>
      <c r="C2" s="41">
        <v>1</v>
      </c>
      <c r="D2" s="42" t="s">
        <v>623</v>
      </c>
      <c r="E2" s="43" t="s">
        <v>624</v>
      </c>
      <c r="F2" s="44" t="s">
        <v>163</v>
      </c>
      <c r="G2" s="45">
        <f>COUNTIF($A$1:$A$8366,A2)</f>
        <v>1</v>
      </c>
      <c r="H2" s="46"/>
      <c r="I2" s="47" t="s">
        <v>625</v>
      </c>
      <c r="J2" s="48" t="str">
        <f>""</f>
        <v/>
      </c>
      <c r="K2" s="49">
        <v>3700000</v>
      </c>
      <c r="L2" s="50">
        <v>142000</v>
      </c>
      <c r="M2" s="50" t="s">
        <v>635</v>
      </c>
      <c r="N2" s="51" t="s">
        <v>180</v>
      </c>
      <c r="O2" s="52" t="s">
        <v>626</v>
      </c>
      <c r="P2" s="53" t="s">
        <v>627</v>
      </c>
      <c r="Q2" s="54">
        <v>1</v>
      </c>
      <c r="R2" s="55" t="s">
        <v>180</v>
      </c>
      <c r="S2" s="56">
        <v>0</v>
      </c>
      <c r="T2" s="57" t="s">
        <v>167</v>
      </c>
      <c r="U2" s="58" t="s">
        <v>164</v>
      </c>
      <c r="V2" s="58" t="s">
        <v>164</v>
      </c>
      <c r="W2" s="58" t="s">
        <v>164</v>
      </c>
      <c r="X2" s="58" t="s">
        <v>167</v>
      </c>
      <c r="Y2" s="58" t="s">
        <v>164</v>
      </c>
      <c r="Z2" s="58" t="s">
        <v>164</v>
      </c>
      <c r="AA2" s="58" t="s">
        <v>167</v>
      </c>
      <c r="AB2" s="58" t="s">
        <v>164</v>
      </c>
      <c r="AC2" s="58" t="s">
        <v>164</v>
      </c>
      <c r="AD2" s="58" t="s">
        <v>164</v>
      </c>
      <c r="AE2" s="58" t="s">
        <v>164</v>
      </c>
      <c r="AF2" s="59" t="s">
        <v>167</v>
      </c>
      <c r="AG2" s="59" t="s">
        <v>164</v>
      </c>
      <c r="AH2" s="59" t="s">
        <v>164</v>
      </c>
      <c r="AI2" s="59" t="s">
        <v>164</v>
      </c>
      <c r="AJ2" s="59" t="s">
        <v>164</v>
      </c>
      <c r="AK2" s="59" t="s">
        <v>164</v>
      </c>
      <c r="AL2" s="59" t="s">
        <v>164</v>
      </c>
      <c r="AM2" s="59" t="s">
        <v>164</v>
      </c>
      <c r="AN2" s="59" t="s">
        <v>164</v>
      </c>
      <c r="AO2" s="59" t="s">
        <v>164</v>
      </c>
      <c r="AP2" s="59" t="s">
        <v>164</v>
      </c>
      <c r="AQ2" s="59" t="s">
        <v>164</v>
      </c>
      <c r="AR2" s="59" t="s">
        <v>164</v>
      </c>
      <c r="AS2" s="59" t="s">
        <v>164</v>
      </c>
      <c r="AT2" s="60">
        <v>0</v>
      </c>
      <c r="AU2" s="59"/>
      <c r="AV2" s="59" t="str">
        <f>IF(LEFT(A2,1)="[",LEFT(A2,5)&amp;AU2&amp;A2,"")</f>
        <v/>
      </c>
      <c r="AW2" s="59" t="str">
        <f t="shared" ref="AW2:AW3" si="0">C2&amp;H2&amp;A2</f>
        <v>1Eritrea</v>
      </c>
      <c r="AX2" s="61" t="str">
        <f>_xlfn.TEXTJOIN(";",TRUE,AU2:AW2)</f>
        <v>1Eritrea</v>
      </c>
      <c r="AY2" s="61"/>
      <c r="AZ2" s="62"/>
      <c r="BA2" s="62"/>
      <c r="BB2" s="62"/>
      <c r="BC2" s="63"/>
      <c r="BD2" s="64" t="s">
        <v>154</v>
      </c>
      <c r="BE2" s="47"/>
      <c r="BF2" s="64"/>
      <c r="BG2" s="64"/>
      <c r="BH2" s="64"/>
      <c r="BI2" s="64"/>
      <c r="BJ2" s="64"/>
      <c r="BK2" s="47"/>
      <c r="BL2" s="64" t="s">
        <v>154</v>
      </c>
      <c r="BM2" s="64" t="s">
        <v>153</v>
      </c>
      <c r="BN2" s="64" t="s">
        <v>152</v>
      </c>
      <c r="BO2" s="64" t="s">
        <v>155</v>
      </c>
      <c r="BP2" s="64"/>
      <c r="BQ2" s="64"/>
      <c r="BR2" s="64"/>
      <c r="BS2" s="64"/>
      <c r="BT2" s="64"/>
      <c r="BU2" s="65"/>
      <c r="BV2" s="66" t="s">
        <v>165</v>
      </c>
      <c r="BW2" s="66">
        <v>0</v>
      </c>
      <c r="BX2" s="47"/>
      <c r="BY2" s="48" t="s">
        <v>164</v>
      </c>
      <c r="CB2" s="6" t="s">
        <v>628</v>
      </c>
      <c r="CC2" s="6"/>
      <c r="CD2" s="67">
        <v>0</v>
      </c>
      <c r="CE2" s="67">
        <v>0</v>
      </c>
      <c r="CF2" s="67" t="e">
        <v>#REF!</v>
      </c>
      <c r="CG2" s="68" cm="1">
        <f t="array" ref="CG2">SUMPRODUCT(--(LEN(TRIM(BL2:BT2))&gt;0))</f>
        <v>4</v>
      </c>
      <c r="CH2" s="59" t="str">
        <f>IF(CG2=2,"y","n")</f>
        <v>n</v>
      </c>
      <c r="CI2" s="59" t="str">
        <f>IF(CG2=3,"y","n")</f>
        <v>n</v>
      </c>
      <c r="CJ2" s="59" t="str">
        <f>IF(CG2=4,"y","n")</f>
        <v>y</v>
      </c>
      <c r="CK2" s="59" t="str">
        <f>IF(CG2&gt;4,"y","n")</f>
        <v>n</v>
      </c>
      <c r="CL2" s="59" t="str">
        <f>IF(S2=0,"y","n")</f>
        <v>y</v>
      </c>
      <c r="CM2" s="59" t="str">
        <f>IF(S2=2,"y","n")</f>
        <v>n</v>
      </c>
      <c r="CN2" s="59" t="str">
        <f>IF(S2=3,"y","n")</f>
        <v>n</v>
      </c>
      <c r="CO2" s="59" t="str">
        <f>IF(S2&gt;=4,"y","n")</f>
        <v>n</v>
      </c>
      <c r="CP2" s="59" t="str">
        <f>IF(AT2=0,"y","n")</f>
        <v>y</v>
      </c>
      <c r="CQ2" s="59" t="str">
        <f>IF(AT2=1,"y","n")</f>
        <v>n</v>
      </c>
      <c r="CR2" s="59" t="str">
        <f>IF(AT2=2,"y","n")</f>
        <v>n</v>
      </c>
      <c r="CS2" s="59" t="str">
        <f>IF(AT2&gt;=3,"y","n")</f>
        <v>n</v>
      </c>
      <c r="CT2" s="69" t="str">
        <f>CHAR(34)&amp;A2&amp;CHAR(34)</f>
        <v>"Eritrea"</v>
      </c>
      <c r="CU2" s="70" t="str">
        <f>CHAR(34)&amp;"rgn_"&amp;R2&amp;CHAR(34)</f>
        <v>"rgn_Africa"</v>
      </c>
      <c r="CV2" s="48" t="str">
        <f>CHAR(34)&amp;D2&amp;CHAR(34)</f>
        <v>"https://i.ibb.co/2jC2Wxc/Eritrea-Flag.png"</v>
      </c>
      <c r="CW2" s="48" t="str">
        <f>IF(CH2="y",CHAR(34)&amp;CH$1&amp;CHAR(34)&amp;",","")</f>
        <v/>
      </c>
      <c r="CX2" s="48" t="str">
        <f>IF(CI2="y",CHAR(34)&amp;CI$1&amp;CHAR(34)&amp;",","")</f>
        <v/>
      </c>
      <c r="CY2" s="48" t="str">
        <f>IF(CJ2="y",CHAR(34)&amp;CJ$1&amp;CHAR(34)&amp;",","")</f>
        <v>"4Color",</v>
      </c>
      <c r="CZ2" s="48" t="str">
        <f>IF(CK2="y",CHAR(34)&amp;CK$1&amp;CHAR(34)&amp;",","")</f>
        <v/>
      </c>
      <c r="DA2" s="48" t="str">
        <f>IF(Q2&gt;1,CHAR(34)&amp;"words2"&amp;CHAR(34)&amp;",","")</f>
        <v/>
      </c>
      <c r="DB2" s="48" t="str">
        <f>IF(Q2&gt;2,CHAR(34)&amp;"words3"&amp;CHAR(34)&amp;",","")</f>
        <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"lets07",</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"startE",</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
      </c>
      <c r="DS2" s="6" t="str">
        <f>IF(W2="y",IF(AND(V2="n",BY2&lt;&gt;"y"),CHAR(34)&amp;"allver"&amp;CHAR(34)&amp;",",""),"")</f>
        <v/>
      </c>
      <c r="DT2" s="6" t="str">
        <f>IF(V2="y",IF(AND(W2="n",BY2&lt;&gt;"y"),CHAR(34)&amp;"allhor"&amp;CHAR(34)&amp;",",""),"")</f>
        <v/>
      </c>
      <c r="DU2" s="6" t="str">
        <f>IF(BY2="y",IF(AND(W2="n",V2="n"),CHAR(34)&amp;"alldia"&amp;CHAR(34)&amp;",",""),"")</f>
        <v/>
      </c>
      <c r="DV2" s="48" t="str">
        <f>IF(IA2&lt;&gt;"",(IF(IA2="y",CHAR(34)&amp;"largec"&amp;CHAR(34)&amp;",",CHAR(34)&amp;"smallc"&amp;CHAR(34)&amp;",")),"")</f>
        <v/>
      </c>
      <c r="DW2" s="48" t="str">
        <f>IF(CL2="y",CHAR(34)&amp;CL$1&amp;CHAR(34)&amp;",","")</f>
        <v>"NoBand",</v>
      </c>
      <c r="DX2" s="48" t="str">
        <f>IF(CM2="y",CHAR(34)&amp;CM$1&amp;CHAR(34)&amp;",","")</f>
        <v/>
      </c>
      <c r="DY2" s="48" t="str">
        <f>IF(CN2="y",CHAR(34)&amp;CN$1&amp;CHAR(34)&amp;",","")</f>
        <v/>
      </c>
      <c r="DZ2" s="48" t="str">
        <f>IF(CO2="y",CHAR(34)&amp;CO$1&amp;CHAR(34)&amp;",","")</f>
        <v/>
      </c>
      <c r="EA2" s="48" t="str">
        <f>IF(T2="y",CHAR(34)&amp;T$1&amp;CHAR(34)&amp;",","")</f>
        <v>"Diagon",</v>
      </c>
      <c r="EB2" s="48" t="str">
        <f>IF(U2="y",CHAR(34)&amp;U$1&amp;CHAR(34)&amp;",","")</f>
        <v/>
      </c>
      <c r="EC2" s="48" t="str">
        <f>IF(V2="y",CHAR(34)&amp;V$1&amp;CHAR(34)&amp;",","")</f>
        <v/>
      </c>
      <c r="ED2" s="48" t="str">
        <f>IF(W2="y",CHAR(34)&amp;W$1&amp;CHAR(34)&amp;",","")</f>
        <v/>
      </c>
      <c r="EE2" s="48" t="str">
        <f>IF(X2="y",CHAR(34)&amp;X$1&amp;CHAR(34)&amp;",","")</f>
        <v>"Circle",</v>
      </c>
      <c r="EF2" s="48" t="str">
        <f>IF(AND(Y2&lt;&gt;"n",Y2&lt;&gt;""),CHAR(34)&amp;Y$1&amp;CHAR(34)&amp;",","")</f>
        <v/>
      </c>
      <c r="EG2" s="48" t="str">
        <f>IF(Z2="y",CHAR(34)&amp;Z$1&amp;CHAR(34)&amp;",","")</f>
        <v/>
      </c>
      <c r="EH2" s="48" t="str">
        <f>IF(AA2="y",CHAR(34)&amp;AA$1&amp;CHAR(34)&amp;",","")</f>
        <v>"Plants",</v>
      </c>
      <c r="EI2" s="48" t="str">
        <f>IF(AB2="y",CHAR(34)&amp;AB$1&amp;CHAR(34)&amp;",","")</f>
        <v/>
      </c>
      <c r="EJ2" s="48" t="str">
        <f>IF(AC2="y",CHAR(34)&amp;AC$1&amp;CHAR(34)&amp;",","")</f>
        <v/>
      </c>
      <c r="EK2" s="48" t="str">
        <f>IF(AD2="y",CHAR(34)&amp;AD$1&amp;CHAR(34)&amp;",","")</f>
        <v/>
      </c>
      <c r="EL2" s="48" t="str">
        <f>IF(AE2="y",CHAR(34)&amp;AE$1&amp;CHAR(34)&amp;",","")</f>
        <v/>
      </c>
      <c r="EM2" s="48" t="str">
        <f>IF(AF2="y",CHAR(34)&amp;AF$1&amp;CHAR(34)&amp;",","")</f>
        <v>"Trside",</v>
      </c>
      <c r="EN2" s="48" t="str">
        <f>IF(AG2="y",CHAR(34)&amp;AG$1&amp;CHAR(34)&amp;",","")</f>
        <v/>
      </c>
      <c r="EO2" s="48" t="str">
        <f>IF(AH2="y",CHAR(34)&amp;AH$1&amp;CHAR(34)&amp;",","")</f>
        <v/>
      </c>
      <c r="EP2" s="48" t="str">
        <f>IF(AI2="y",CHAR(34)&amp;AI$1&amp;CHAR(34)&amp;",","")</f>
        <v/>
      </c>
      <c r="EQ2" s="48" t="str">
        <f>IF(AJ2="y",CHAR(34)&amp;AJ$1&amp;CHAR(34)&amp;",","")</f>
        <v/>
      </c>
      <c r="ER2" s="48" t="str">
        <f>IF(AK2="y",CHAR(34)&amp;AK$1&amp;CHAR(34)&amp;",","")</f>
        <v/>
      </c>
      <c r="ES2" s="48" t="str">
        <f>IF(AL2="y",CHAR(34)&amp;AL$1&amp;CHAR(34)&amp;",","")</f>
        <v/>
      </c>
      <c r="ET2" s="48" t="str">
        <f>IF(AM2="y",CHAR(34)&amp;AM$1&amp;CHAR(34)&amp;",","")</f>
        <v/>
      </c>
      <c r="EU2" s="48" t="str">
        <f>IF(AN2="y",CHAR(34)&amp;AN$1&amp;CHAR(34)&amp;",","")</f>
        <v/>
      </c>
      <c r="EV2" s="48" t="str">
        <f>IF(AO2="y",CHAR(34)&amp;AO$1&amp;CHAR(34)&amp;",","")</f>
        <v/>
      </c>
      <c r="EW2" s="48" t="str">
        <f>IF(AP2="y",CHAR(34)&amp;AP$1&amp;CHAR(34)&amp;",","")</f>
        <v/>
      </c>
      <c r="EX2" s="48" t="str">
        <f>IF(AQ2="y",CHAR(34)&amp;AQ$1&amp;CHAR(34)&amp;",","")</f>
        <v/>
      </c>
      <c r="EY2" s="48" t="str">
        <f>IF(AR2="y",CHAR(34)&amp;AR$1&amp;CHAR(34)&amp;",","")</f>
        <v/>
      </c>
      <c r="EZ2" s="48" t="str">
        <f>IF(AS2="y",CHAR(34)&amp;AS$1&amp;CHAR(34)&amp;",","")</f>
        <v/>
      </c>
      <c r="FA2" s="48" t="str">
        <f>IF(AT2&gt;0,CHAR(34)&amp;"sta"&amp;AZ2&amp;CHAR(34)&amp;",","")</f>
        <v/>
      </c>
      <c r="FB2" s="48" t="str">
        <f>IF(AND(AT2&gt;0,BA2&lt;&gt;""),CHAR(34)&amp;"sta"&amp;BA2&amp;CHAR(34)&amp;",","")</f>
        <v/>
      </c>
      <c r="FC2" s="48" t="str">
        <f>IF(AND(AT2&gt;0,BB2&lt;&gt;""),CHAR(34)&amp;"sta"&amp;BB2&amp;CHAR(34)&amp;",","")</f>
        <v/>
      </c>
      <c r="FD2" s="48" t="str">
        <f>IF(BV2="n",CHAR(34)&amp;"tcWHYE"&amp;CHAR(34)&amp;",",IF(BV2="y",CHAR(34)&amp;FD$1&amp;CHAR(34)&amp;",",""))</f>
        <v/>
      </c>
      <c r="FE2" s="48" t="str">
        <f>IF(COUNTIF(BL2:BT2,"BLU")=0,CHAR(34)&amp;"NO_BLU"&amp;CHAR(34)&amp;",", "")</f>
        <v/>
      </c>
      <c r="FF2" s="48" t="str">
        <f>IF(COUNTIF(BL2:BT2,"WHI")=0,CHAR(34)&amp;"NO_WHI"&amp;CHAR(34)&amp;",", "")</f>
        <v>"NO_WHI",</v>
      </c>
      <c r="FG2" s="48" t="str">
        <f>IF(COUNTIF(BL2:BT2,"RED")=0,CHAR(34)&amp;"NO_RED"&amp;CHAR(34)&amp;",", "")</f>
        <v/>
      </c>
      <c r="FH2" s="48" t="str">
        <f>IF(COUNTIF(BL2:BS2,"GRE")=0,CHAR(34)&amp;"NO_GRE"&amp;CHAR(34)&amp;",", "")</f>
        <v/>
      </c>
      <c r="FI2" s="48" t="str">
        <f>IF(COUNTIF(BL2:BT2,"YEL")=0,CHAR(34)&amp;"NO_YEL"&amp;CHAR(34)&amp;",", "")</f>
        <v/>
      </c>
      <c r="FJ2" s="48" t="str">
        <f>IF(COUNTIF(BL2:BT2,"BLA")=0,CHAR(34)&amp;"NO_BLA"&amp;CHAR(34)&amp;",", "")</f>
        <v>"NO_BLA",</v>
      </c>
      <c r="FK2" s="48" t="str">
        <f>IF(AND(FH2&lt;&gt;"",FF2&lt;&gt;""),CHAR(34)&amp;"WHGRNO"&amp;CHAR(34)&amp;",","")</f>
        <v/>
      </c>
      <c r="FL2" s="48" t="str">
        <f>IF(AND(FI2&lt;&gt;"",FF2&lt;&gt;""),CHAR(34)&amp;"WHYENO"&amp;CHAR(34)&amp;",","")</f>
        <v/>
      </c>
      <c r="FM2" s="48" t="str">
        <f>IF(AND(FJ2&lt;&gt;"",FF2&lt;&gt;""),CHAR(34)&amp;"BAWHNO"&amp;CHAR(34)&amp;",","")</f>
        <v>"BAWHNO",</v>
      </c>
      <c r="FN2" s="48" t="str">
        <f>IF(AND(FE2&lt;&gt;"",FF2&lt;&gt;""),CHAR(34)&amp;"BLWHNO"&amp;CHAR(34)&amp;",","")</f>
        <v/>
      </c>
      <c r="FO2" s="48" t="str">
        <f>IF(AND(FE2&lt;&gt;"",FG2&lt;&gt;""),CHAR(34)&amp;"BLRENO"&amp;CHAR(34)&amp;",","")</f>
        <v/>
      </c>
      <c r="FP2" s="48" t="str">
        <f>IF(AND(FF2&lt;&gt;"",FF2&lt;&gt;""),CHAR(34)&amp;"WHRENO"&amp;CHAR(34)&amp;",","")</f>
        <v>"WHRENO",</v>
      </c>
      <c r="FQ2" s="48" t="str">
        <f>IF(LEN(BF2)=3,CHAR(34)&amp;"001"&amp;BF2&amp;CHAR(34)&amp;",","")</f>
        <v/>
      </c>
      <c r="FR2" s="48" t="str">
        <f>IF(LEN(BG2)=3,CHAR(34)&amp;"002"&amp;BG2&amp;CHAR(34)&amp;",","")</f>
        <v/>
      </c>
      <c r="FS2" s="48" t="str">
        <f>IF(LEN(BH2)=3,CHAR(34)&amp;"003"&amp;BH2&amp;CHAR(34)&amp;",","")</f>
        <v/>
      </c>
      <c r="FT2" s="48" t="str">
        <f>CHAR(34)&amp;"myr"&amp;BD2&amp;CHAR(34)&amp;","</f>
        <v>"myrRED",</v>
      </c>
      <c r="FU2" s="48" t="str">
        <f>IF(AY2="y",CHAR(34)&amp;"island"&amp;CHAR(34)&amp;",","")</f>
        <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
      </c>
      <c r="GA2" s="48" t="str">
        <f>IFERROR(IF(SEARCH("French",CB2)&gt;0,CHAR(34)&amp;"french"&amp;CHAR(34)&amp;",",""),"")</f>
        <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"NoStar",</v>
      </c>
      <c r="GK2" s="48" t="str">
        <f>IF(GJ2="",CHAR(34)&amp;"HasSta"&amp;CHAR(34)&amp;",","")</f>
        <v/>
      </c>
      <c r="GL2" s="48" t="str">
        <f>IF(CQ2="y",CHAR(34)&amp;CQ$1&amp;CHAR(34)&amp;",","")</f>
        <v/>
      </c>
      <c r="GM2" s="48" t="str">
        <f>IF(CR2="y",CHAR(34)&amp;CR$1&amp;CHAR(34)&amp;",","")</f>
        <v/>
      </c>
      <c r="GN2" s="48" t="str">
        <f>IF(CS2="y",CHAR(34)&amp;CS$1&amp;CHAR(34)&amp;",","")</f>
        <v/>
      </c>
      <c r="GP2" s="48" t="str">
        <f>CHAR(34)&amp;AU2&amp;CHAR(34)</f>
        <v>""</v>
      </c>
      <c r="GS2" s="48" t="str">
        <f>SUBSTITUTE("["&amp;_xlfn.CONCAT(CW2:GN2)&amp;"]",",]","]")</f>
        <v>["4Color","lets07","startE","year19","NoBand","Diagon","Circle","Plants","Trside","NO_WHI","NO_BLA","BAWHNO","WHRENO","myrRED","NoStar"]</v>
      </c>
      <c r="GT2" s="48" t="str">
        <f>IF(BL2&lt;&gt;"",CHAR(34)&amp;"cl_"&amp;BL2&amp;CHAR(34)&amp;",","")</f>
        <v>"cl_RED",</v>
      </c>
      <c r="GU2" s="48" t="str">
        <f>IF(BM2&lt;&gt;"",CHAR(34)&amp;"cl_"&amp;BM2&amp;CHAR(34)&amp;",","")</f>
        <v>"cl_GRE",</v>
      </c>
      <c r="GV2" s="48" t="str">
        <f>IF(BN2&lt;&gt;"",CHAR(34)&amp;"cl_"&amp;BN2&amp;CHAR(34)&amp;",","")</f>
        <v>"cl_BLU",</v>
      </c>
      <c r="GW2" s="48" t="str">
        <f>IF(BO2&lt;&gt;"",CHAR(34)&amp;"cl_"&amp;BO2&amp;CHAR(34)&amp;",","")</f>
        <v>"cl_YEL",</v>
      </c>
      <c r="GX2" s="48" t="str">
        <f>IF(BP2&lt;&gt;"",CHAR(34)&amp;"cl_"&amp;BP2&amp;CHAR(34)&amp;",","")</f>
        <v/>
      </c>
      <c r="GY2" s="48" t="str">
        <f>IF(BQ2&lt;&gt;"",CHAR(34)&amp;"cl_"&amp;BQ2&amp;CHAR(34)&amp;",","")</f>
        <v/>
      </c>
      <c r="GZ2" s="48" t="str">
        <f>IF(BR2&lt;&gt;"",CHAR(34)&amp;"cl_"&amp;BR2&amp;CHAR(34)&amp;",","")</f>
        <v/>
      </c>
      <c r="HA2" s="48" t="str">
        <f>IF(BS2&lt;&gt;"",CHAR(34)&amp;"cl_"&amp;BS2&amp;CHAR(34)&amp;",","")</f>
        <v/>
      </c>
      <c r="HB2" s="48" t="str">
        <f>IF(BT2&lt;&gt;"",CHAR(34)&amp;"cl_"&amp;BT2&amp;CHAR(34)&amp;",","")</f>
        <v/>
      </c>
      <c r="HC2" s="48" t="str">
        <f>SUBSTITUTE("["&amp;_xlfn.CONCAT(GT2:HB2)&amp;"]",",]","]")</f>
        <v>["cl_RED","cl_GRE","cl_BLU","cl_YEL"]</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{couname:"Eritrea",year:"1995 ",region:"rgn_Africa",Colors:["cl_RED","cl_GRE","cl_BLU","cl_YEL"],Items:["4Color","lets07","startE","year19","NoBand","Diagon","Circle","Plants","Trside","NO_WHI","NO_BLA","BAWHNO","WHRENO","myrRED","NoStar"],Flag:"https://i.ibb.co/2jC2Wxc/Eritrea-Flag.png",HDFlag:"https://upload.wikimedia.org/wikipedia/commons/thumb/2/29/Flag_of_Eritrea.svg/2560px-Flag_of_Eritrea.svg.png",type:"", describe: "\nThe green color in the flag stands for the agriculture and livestock of the country, while the blue represents the bounty of the sea. The red stands for the blood shed in the struggle for Eritrean independence, with the 30 leaves in the wreath representing the thirty years spent in the struggle for independence.  The shape of the red triangle broadly mimics the shape of the country.", isnew:".", links: "https://en.wikipedia.org/wiki/Flag_of_Eritrea"},</v>
      </c>
      <c r="HG2" s="73" t="str">
        <f>"{couname:"&amp;CT2&amp;(IF(HK2&lt;&gt;"",",subtype:"&amp;CHAR(34)&amp;HK2&amp;CHAR(34),""))&amp;",year:"&amp;HJ2&amp;",region:"&amp;CU2&amp;",Colors:"&amp;HC2&amp;",Items:"&amp;GS2&amp;",Flag:"&amp;CV2&amp;",HDFlag:"&amp;CHAR(34)&amp;E2&amp;CHAR(34)&amp;",type:"&amp;GP2&amp;", describe: "&amp;HI2&amp;", links: "&amp;HL2&amp;"},"</f>
        <v>{couname:"Eritrea",year:"1995 ",region:"rgn_Africa",Colors:["cl_RED","cl_GRE","cl_BLU","cl_YEL"],Items:["4Color","lets07","startE","year19","NoBand","Diagon","Circle","Plants","Trside","NO_WHI","NO_BLA","BAWHNO","WHRENO","myrRED","NoStar"],Flag:"https://i.ibb.co/2jC2Wxc/Eritrea-Flag.png",HDFlag:"https://upload.wikimedia.org/wikipedia/commons/thumb/2/29/Flag_of_Eritrea.svg/2560px-Flag_of_Eritrea.svg.png",type:"", describe: "\nThe green color in the flag stands for the agriculture and livestock of the country, while the blue represents the bounty of the sea. The red stands for the blood shed in the struggle for Eritrean independence, with the 30 leaves in the wreath representing the thirty years spent in the struggle for independence.  The shape of the red triangle broadly mimics the shape of the country.", links: "https://en.wikipedia.org/wiki/Flag_of_Eritrea"},</v>
      </c>
      <c r="HH2" s="48" t="str">
        <f>IF(P2&lt;&gt;"",CHAR(34)&amp;"\n"&amp;P2&amp;CHAR(34),CHAR(34)&amp;CHAR(34))</f>
        <v>"\nThe green color in the flag stands for the agriculture and livestock of the country, while the blue represents the bounty of the sea. The red stands for the blood shed in the struggle for Eritrean independence, with the 30 leaves in the wreath representing the thirty years spent in the struggle for independence.  The shape of the red triangle broadly mimics the shape of the country."</v>
      </c>
      <c r="HI2" s="48" t="str">
        <f>IF(J2=0,CHAR(34)&amp;CHAR(34),HH2)</f>
        <v>"\nThe green color in the flag stands for the agriculture and livestock of the country, while the blue represents the bounty of the sea. The red stands for the blood shed in the struggle for Eritrean independence, with the 30 leaves in the wreath representing the thirty years spent in the struggle for independence.  The shape of the red triangle broadly mimics the shape of the country."</v>
      </c>
      <c r="HJ2" s="48" t="str">
        <f>CHAR(34)&amp;O2&amp;CHAR(34)</f>
        <v>"1995 "</v>
      </c>
      <c r="HL2" s="48" t="str">
        <f>CHAR(34)&amp;I2&amp;CHAR(34)</f>
        <v>"https://en.wikipedia.org/wiki/Flag_of_Eritrea"</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{"couname":"Eritrea","year":"1995 ","region":"rgn_Africa","Colors":["cl_RED","cl_GRE","cl_BLU","cl_YEL"],"Items":["4Color","lets07","startE","year19","NoBand","Diagon","Circle","Plants","Trside","NO_WHI","NO_BLA","BAWHNO","WHRENO","myrRED","NoStar"],"Flag":"https://i.ibb.co/2jC2Wxc/Eritrea-Flag.png","HDFlag":"https://upload.wikimedia.org/wikipedia/commons/thumb/2/29/Flag_of_Eritrea.svg/2560px-Flag_of_Eritrea.svg.png","type":"", "describe": "\nThe green color in the flag stands for the agriculture and livestock of the country, while the blue represents the bounty of the sea. The red stands for the blood shed in the struggle for Eritrean independence, with the 30 leaves in the wreath representing the thirty years spent in the struggle for independence.  The shape of the red triangle broadly mimics the shape of the country.", "isnew": ".", "links": "https://en.wikipedia.org/wiki/Flag_of_Eritrea"},</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{"couname":"Eritrea","year":"1995 ","region":"rgn_Africa","Colors":["cl_RED","cl_GRE","cl_BLU","cl_YEL"],"Items":["4Color","lets07","startE","year19","NoBand","Diagon","Circle","Plants","Trside","NO_WHI","NO_BLA","BAWHNO","WHRENO","myrRED","NoStar"],"Flag":"https://i.ibb.co/2jC2Wxc/Eritrea-Flag.png","HDFlag":"https://upload.wikimedia.org/wikipedia/commons/thumb/2/29/Flag_of_Eritrea.svg/2560px-Flag_of_Eritrea.svg.png","type":"", "describe": "\nThe green color in the flag stands for the agriculture and livestock of the country, while the blue represents the bounty of the sea. The red stands for the blood shed in the struggle for Eritrean independence, with the 30 leaves in the wreath representing the thirty years spent in the struggle for independence.  The shape of the red triangle broadly mimics the shape of the country.", "isnew": ".", "links": "https://en.wikipedia.org/wiki/Flag_of_Eritrea"},</v>
      </c>
      <c r="HO2" s="75"/>
      <c r="HP2" s="48" t="str" cm="1">
        <f t="array" ref="HP2">IF(_xlfn.TEXTJOIN(", ", TRUE, IF(ISNUMBER(SEARCH("BLA", BL2:BT2)), COLUMN(BL2:BT2) - COLUMN(BL2) + 1, ""))&lt;&gt;"","BLA","")</f>
        <v/>
      </c>
      <c r="HQ2" s="48" t="str" cm="1">
        <f t="array" ref="HQ2">IF(_xlfn.TEXTJOIN(", ", TRUE, IF(ISNUMBER(SEARCH("BLU", BL2:BT2)), COLUMN(BL2:BT2) - COLUMN(BL2) + 1, ""))&lt;&gt;"","BLU","")</f>
        <v>BLU</v>
      </c>
      <c r="HR2" s="48" t="str" cm="1">
        <f t="array" ref="HR2">IF(_xlfn.TEXTJOIN(", ", TRUE, IF(ISNUMBER(SEARCH("GRE", BL2:BT2)), COLUMN(BL2:BT2) - COLUMN(BL2) + 1, ""))&lt;&gt;"","GRE","")</f>
        <v>GRE</v>
      </c>
      <c r="HS2" s="48" t="str" cm="1">
        <f t="array" ref="HS2">IF(_xlfn.TEXTJOIN(", ", TRUE, IF(ISNUMBER(SEARCH("RED", BL2:BT2)), COLUMN(BL2:BT2) - COLUMN(BL2) + 1, ""))&lt;&gt;"","RED","")</f>
        <v>RED</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
      </c>
      <c r="HY2" s="76"/>
      <c r="HZ2" s="76"/>
      <c r="IA2" s="6"/>
      <c r="IB2" s="6"/>
      <c r="IC2" s="77"/>
      <c r="ID2" s="77"/>
      <c r="IE2" s="77"/>
      <c r="IF2" s="77"/>
      <c r="IG2" s="77"/>
      <c r="IH2" s="77"/>
      <c r="II2" s="77"/>
      <c r="IJ2" s="77"/>
      <c r="IK2" s="77"/>
      <c r="IL2" s="48">
        <f>SUM(IC2:IK2)</f>
        <v>0</v>
      </c>
      <c r="IM2" s="45">
        <f>COUNTIF(IC2:IK2,"&gt;0")-CG2</f>
        <v>-4</v>
      </c>
      <c r="IN2" s="78" t="str">
        <f>"http://mkweb.bcgsc.ca/color-summarizer/?url="&amp;D2&amp;"&amp;precision=low&amp;num_clusters="&amp;CG2&amp;"&amp;text=1"</f>
        <v>http://mkweb.bcgsc.ca/color-summarizer/?url=https://i.ibb.co/2jC2Wxc/Eritrea-Flag.png&amp;precision=low&amp;num_clusters=4&amp;text=1</v>
      </c>
      <c r="IO2" s="48" t="str">
        <f>IF(HP2&lt;&gt;"",CHAR(34)&amp;"black"&amp;CHAR(34),"")</f>
        <v/>
      </c>
      <c r="IP2" s="48" t="str">
        <f>IF(HQ2&lt;&gt;"",CHAR(34)&amp;"blue"&amp;CHAR(34),"")</f>
        <v>"blue"</v>
      </c>
      <c r="IQ2" s="48" t="str">
        <f>IF(HR2&lt;&gt;"",CHAR(34)&amp;"green"&amp;CHAR(34),"")</f>
        <v>"green"</v>
      </c>
      <c r="IR2" s="48" t="str">
        <f>IF(HS2&lt;&gt;"",CHAR(34)&amp;"red"&amp;CHAR(34),"")</f>
        <v>"red"</v>
      </c>
      <c r="IS2" s="48" t="str">
        <f>IF(HT2&lt;&gt;"",CHAR(34)&amp;"yellow"&amp;CHAR(34),"")</f>
        <v>"yellow"</v>
      </c>
      <c r="IT2" s="48" t="str">
        <f>IF(HU2&lt;&gt;"",CHAR(34)&amp;"orange"&amp;CHAR(34),"")</f>
        <v/>
      </c>
      <c r="IU2" s="48" t="str">
        <f>IF(HV2&lt;&gt;"",CHAR(34)&amp;"brown"&amp;CHAR(34),"")</f>
        <v/>
      </c>
      <c r="IV2" s="48" t="str">
        <f>IF(HW2&lt;&gt;"",CHAR(34)&amp;"purple"&amp;CHAR(34),"")</f>
        <v/>
      </c>
      <c r="IW2" s="48" t="str">
        <f>IF(HX2&lt;&gt;"",CHAR(34)&amp;"white"&amp;CHAR(34),"")</f>
        <v/>
      </c>
      <c r="IX2" s="48" t="str">
        <f>"{"&amp;CHAR(34)&amp;"url"&amp;CHAR(34)&amp;":"&amp;CHAR(34)&amp;IN2&amp;CHAR(34)&amp;","&amp;CHAR(34)&amp;"name"&amp;CHAR(34)&amp;":"&amp;CHAR(34)&amp;A2&amp;CHAR(34)&amp;"},"</f>
        <v>{"url":"http://mkweb.bcgsc.ca/color-summarizer/?url=https://i.ibb.co/2jC2Wxc/Eritrea-Flag.png&amp;precision=low&amp;num_clusters=4&amp;text=1","name":"Eritrea"},</v>
      </c>
      <c r="IY2" s="48">
        <v>69</v>
      </c>
    </row>
    <row r="3" spans="1:259" s="48" customFormat="1" ht="38.4" customHeight="1" thickBot="1" x14ac:dyDescent="0.35">
      <c r="A3" s="80" t="s">
        <v>629</v>
      </c>
      <c r="B3" s="40" t="e" vm="41">
        <v>#VALUE!</v>
      </c>
      <c r="C3" s="41" t="s">
        <v>173</v>
      </c>
      <c r="D3" s="42" t="s">
        <v>630</v>
      </c>
      <c r="E3" s="43" t="s">
        <v>630</v>
      </c>
      <c r="F3" s="44" t="s">
        <v>163</v>
      </c>
      <c r="G3" s="45">
        <f>COUNTIF($A$1:$A$8377,A3)</f>
        <v>1</v>
      </c>
      <c r="H3" s="46" t="s">
        <v>634</v>
      </c>
      <c r="I3" s="47" t="s">
        <v>631</v>
      </c>
      <c r="J3" s="48" t="str">
        <f>""</f>
        <v/>
      </c>
      <c r="K3" s="49"/>
      <c r="L3" s="50"/>
      <c r="M3" s="50"/>
      <c r="N3" s="51" t="s">
        <v>180</v>
      </c>
      <c r="O3" s="52" t="s">
        <v>632</v>
      </c>
      <c r="P3" s="53" t="s">
        <v>633</v>
      </c>
      <c r="Q3" s="54">
        <v>1</v>
      </c>
      <c r="R3" s="55" t="s">
        <v>180</v>
      </c>
      <c r="S3" s="56">
        <v>0</v>
      </c>
      <c r="T3" s="57" t="s">
        <v>164</v>
      </c>
      <c r="U3" s="58" t="s">
        <v>164</v>
      </c>
      <c r="V3" s="58" t="s">
        <v>164</v>
      </c>
      <c r="W3" s="58" t="s">
        <v>164</v>
      </c>
      <c r="X3" s="58" t="s">
        <v>167</v>
      </c>
      <c r="Y3" s="58" t="s">
        <v>164</v>
      </c>
      <c r="Z3" s="58" t="s">
        <v>164</v>
      </c>
      <c r="AA3" s="58" t="s">
        <v>167</v>
      </c>
      <c r="AB3" s="58" t="s">
        <v>164</v>
      </c>
      <c r="AC3" s="58" t="s">
        <v>164</v>
      </c>
      <c r="AD3" s="58" t="s">
        <v>164</v>
      </c>
      <c r="AE3" s="58" t="s">
        <v>164</v>
      </c>
      <c r="AF3" s="59" t="s">
        <v>164</v>
      </c>
      <c r="AG3" s="59" t="s">
        <v>164</v>
      </c>
      <c r="AH3" s="59" t="s">
        <v>167</v>
      </c>
      <c r="AI3" s="59" t="s">
        <v>164</v>
      </c>
      <c r="AJ3" s="59" t="s">
        <v>164</v>
      </c>
      <c r="AK3" s="59" t="s">
        <v>164</v>
      </c>
      <c r="AL3" s="59" t="s">
        <v>164</v>
      </c>
      <c r="AM3" s="59" t="s">
        <v>164</v>
      </c>
      <c r="AN3" s="59" t="s">
        <v>164</v>
      </c>
      <c r="AO3" s="59" t="s">
        <v>164</v>
      </c>
      <c r="AP3" s="59" t="s">
        <v>164</v>
      </c>
      <c r="AQ3" s="59" t="s">
        <v>164</v>
      </c>
      <c r="AR3" s="59" t="s">
        <v>164</v>
      </c>
      <c r="AS3" s="59" t="s">
        <v>164</v>
      </c>
      <c r="AT3" s="60">
        <v>0</v>
      </c>
      <c r="AU3" s="59" t="s">
        <v>174</v>
      </c>
      <c r="AV3" s="59" t="str">
        <f>IF(LEFT(A3,1)="[",LEFT(A3,5)&amp;AU3&amp;A3,"")</f>
        <v>[ERI]Historical[ERI] Eritrea (1952-1961)</v>
      </c>
      <c r="AW3" s="59" t="str">
        <f t="shared" si="0"/>
        <v>3b[ERI] Other[ERI] Eritrea (1952-1961)</v>
      </c>
      <c r="AX3" s="61"/>
      <c r="AY3" s="61"/>
      <c r="AZ3" s="62"/>
      <c r="BA3" s="62"/>
      <c r="BB3" s="62"/>
      <c r="BC3" s="63"/>
      <c r="BD3" s="64" t="s">
        <v>152</v>
      </c>
      <c r="BE3" s="47"/>
      <c r="BF3" s="64"/>
      <c r="BG3" s="64"/>
      <c r="BH3" s="64"/>
      <c r="BI3" s="64"/>
      <c r="BJ3" s="64"/>
      <c r="BK3" s="47"/>
      <c r="BL3" s="64" t="s">
        <v>152</v>
      </c>
      <c r="BM3" s="64" t="s">
        <v>153</v>
      </c>
      <c r="BN3" s="64"/>
      <c r="BO3" s="64"/>
      <c r="BP3" s="64"/>
      <c r="BQ3" s="64"/>
      <c r="BR3" s="64"/>
      <c r="BS3" s="64"/>
      <c r="BT3" s="64"/>
      <c r="BU3" s="65"/>
      <c r="BV3" s="66"/>
      <c r="BW3" s="66">
        <v>0</v>
      </c>
      <c r="BX3" s="47"/>
      <c r="CB3" s="6"/>
      <c r="CC3" s="6"/>
      <c r="CD3" s="67">
        <v>0</v>
      </c>
      <c r="CE3" s="67">
        <v>0</v>
      </c>
      <c r="CF3" s="67" t="e">
        <v>#REF!</v>
      </c>
      <c r="CG3" s="68" cm="1">
        <f t="array" ref="CG3">SUMPRODUCT(--(LEN(TRIM(BL3:BT3))&gt;0))</f>
        <v>2</v>
      </c>
      <c r="CH3" s="59" t="str">
        <f>IF(CG3=2,"y","n")</f>
        <v>y</v>
      </c>
      <c r="CI3" s="59" t="str">
        <f>IF(CG3=3,"y","n")</f>
        <v>n</v>
      </c>
      <c r="CJ3" s="59" t="str">
        <f>IF(CG3=4,"y","n")</f>
        <v>n</v>
      </c>
      <c r="CK3" s="59" t="str">
        <f>IF(CG3&gt;4,"y","n")</f>
        <v>n</v>
      </c>
      <c r="CL3" s="59" t="str">
        <f>IF(S3=0,"y","n")</f>
        <v>y</v>
      </c>
      <c r="CM3" s="59" t="str">
        <f>IF(S3=2,"y","n")</f>
        <v>n</v>
      </c>
      <c r="CN3" s="59" t="str">
        <f>IF(S3=3,"y","n")</f>
        <v>n</v>
      </c>
      <c r="CO3" s="59" t="str">
        <f>IF(S3&gt;=4,"y","n")</f>
        <v>n</v>
      </c>
      <c r="CP3" s="59" t="str">
        <f>IF(AT3=0,"y","n")</f>
        <v>y</v>
      </c>
      <c r="CQ3" s="59" t="str">
        <f>IF(AT3=1,"y","n")</f>
        <v>n</v>
      </c>
      <c r="CR3" s="59" t="str">
        <f>IF(AT3=2,"y","n")</f>
        <v>n</v>
      </c>
      <c r="CS3" s="59" t="str">
        <f>IF(AT3&gt;=3,"y","n")</f>
        <v>n</v>
      </c>
      <c r="CT3" s="69" t="str">
        <f>CHAR(34)&amp;A3&amp;CHAR(34)</f>
        <v>"[ERI] Eritrea (1952-1961)"</v>
      </c>
      <c r="CU3" s="70" t="str">
        <f>CHAR(34)&amp;"rgn_"&amp;R3&amp;CHAR(34)</f>
        <v>"rgn_Africa"</v>
      </c>
      <c r="CV3" s="48" t="str">
        <f>CHAR(34)&amp;D3&amp;CHAR(34)</f>
        <v>"https://upload.wikimedia.org/wikipedia/commons/thumb/1/1e/Flag_of_Eritrea_%281952-1961%29.svg/2560px-Flag_of_Eritrea_%281952-1961%29.svg.png"</v>
      </c>
      <c r="CW3" s="48" t="str">
        <f>IF(CH3="y",CHAR(34)&amp;CH$1&amp;CHAR(34)&amp;",","")</f>
        <v>"2Color",</v>
      </c>
      <c r="CX3" s="48" t="str">
        <f>IF(CI3="y",CHAR(34)&amp;CI$1&amp;CHAR(34)&amp;",","")</f>
        <v/>
      </c>
      <c r="CY3" s="48" t="str">
        <f>IF(CJ3="y",CHAR(34)&amp;CJ$1&amp;CHAR(34)&amp;",","")</f>
        <v/>
      </c>
      <c r="CZ3" s="48" t="str">
        <f>IF(CK3="y",CHAR(34)&amp;CK$1&amp;CHAR(34)&amp;",","")</f>
        <v/>
      </c>
      <c r="DA3" s="48" t="str">
        <f>IF(Q3&gt;1,CHAR(34)&amp;"words2"&amp;CHAR(34)&amp;",","")</f>
        <v/>
      </c>
      <c r="DB3" s="48" t="str">
        <f>IF(Q3&gt;2,CHAR(34)&amp;"words3"&amp;CHAR(34)&amp;",","")</f>
        <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"lets17",</v>
      </c>
      <c r="DE3" s="48" t="str">
        <f>CHAR(34)&amp;"start"&amp;IFERROR(LEFT(SUBSTITUTE(A3,"["&amp;MID(A3,FIND("[",A3)+1,FIND("]",A3)-FIND("[",A3)-1)&amp;"] ",""),1),LEFT(A3,1))&amp;CHAR(34)&amp;","</f>
        <v>"startE",</v>
      </c>
      <c r="DF3" s="48" t="str">
        <f>IFERROR(IF(SEARCH("tan",A3)&gt;0,CHAR(34)&amp;"withtn"&amp;CHAR(34)&amp;",",""),"")</f>
        <v/>
      </c>
      <c r="DG3" s="48" t="str">
        <f>IFERROR(IF(SEARCH("q",A3)&gt;0,CHAR(34)&amp;"with_q"&amp;CHAR(34)&amp;",",""),"")</f>
        <v/>
      </c>
      <c r="DH3" s="48" t="str">
        <f>IFERROR(IF(SEARCH("v",A3)&gt;0,CHAR(34)&amp;"with_v"&amp;CHAR(34)&amp;",",""),"")</f>
        <v/>
      </c>
      <c r="DI3" s="48" t="str">
        <f>IFERROR(IF(SEARCH("w",A3)&gt;0,CHAR(34)&amp;"with_w"&amp;CHAR(34)&amp;",",""),"")</f>
        <v/>
      </c>
      <c r="DJ3" s="48" t="str">
        <f>IFERROR(IF(SEARCH("y",A3)&gt;0,CHAR(34)&amp;"with_y"&amp;CHAR(34)&amp;",",""),"")</f>
        <v/>
      </c>
      <c r="DK3" s="48" t="str">
        <f>IFERROR(IF(SEARCH("z",A3)&gt;0,CHAR(34)&amp;"with_z"&amp;CHAR(34)&amp;",",""),"")</f>
        <v/>
      </c>
      <c r="DL3" s="48" t="str">
        <f>IF(CG3=2, CHAR(34) &amp; _xlfn.TEXTJOIN("", TRUE, _xlfn._xlws.SORT(HP3:HX3)) &amp; CHAR(34) &amp; ",", "")</f>
        <v>"BLUGRE",</v>
      </c>
      <c r="DM3" s="48" t="str" cm="1">
        <f t="array" ref="DM3">IF(CG3=3,CHAR(34) &amp; _xlfn.TEXTJOIN("", TRUE, RIGHT(HP3:HX3, 2)) &amp; CHAR(34) &amp; ",", "")</f>
        <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"year19",</v>
      </c>
      <c r="DP3" s="6" t="str">
        <f>IF(AND(ISNUMBER(SEARCH("20", O3)), ISERROR(SEARCH("1920", O3))), CHAR(34)&amp;"year00"&amp;CHAR(34)&amp;",", "")</f>
        <v/>
      </c>
      <c r="DQ3" s="6" t="str">
        <f>IF(CC3="y",CHAR(34)&amp;"soviet"&amp;CHAR(34)&amp;",","")</f>
        <v/>
      </c>
      <c r="DR3" s="6" t="str">
        <f>IF(BY3="y",CHAR(34)&amp;"dgband"&amp;CHAR(34)&amp;",","")</f>
        <v/>
      </c>
      <c r="DS3" s="6" t="str">
        <f>IF(W3="y",IF(AND(V3="n",BY3&lt;&gt;"y"),CHAR(34)&amp;"allver"&amp;CHAR(34)&amp;",",""),"")</f>
        <v/>
      </c>
      <c r="DT3" s="6" t="str">
        <f>IF(V3="y",IF(AND(W3="n",BY3&lt;&gt;"y"),CHAR(34)&amp;"allhor"&amp;CHAR(34)&amp;",",""),"")</f>
        <v/>
      </c>
      <c r="DU3" s="6" t="str">
        <f>IF(BY3="y",IF(AND(W3="n",V3="n"),CHAR(34)&amp;"alldia"&amp;CHAR(34)&amp;",",""),"")</f>
        <v/>
      </c>
      <c r="DW3" s="48" t="str">
        <f>IF(CL3="y",CHAR(34)&amp;CL$1&amp;CHAR(34)&amp;",","")</f>
        <v>"NoBand",</v>
      </c>
      <c r="DX3" s="48" t="str">
        <f>IF(CM3="y",CHAR(34)&amp;CM$1&amp;CHAR(34)&amp;",","")</f>
        <v/>
      </c>
      <c r="DY3" s="48" t="str">
        <f>IF(CN3="y",CHAR(34)&amp;CN$1&amp;CHAR(34)&amp;",","")</f>
        <v/>
      </c>
      <c r="DZ3" s="48" t="str">
        <f>IF(CO3="y",CHAR(34)&amp;CO$1&amp;CHAR(34)&amp;",","")</f>
        <v/>
      </c>
      <c r="EA3" s="48" t="str">
        <f>IF(T3="y",CHAR(34)&amp;T$1&amp;CHAR(34)&amp;",","")</f>
        <v/>
      </c>
      <c r="EB3" s="48" t="str">
        <f>IF(U3="y",CHAR(34)&amp;U$1&amp;CHAR(34)&amp;",","")</f>
        <v/>
      </c>
      <c r="EC3" s="48" t="str">
        <f>IF(V3="y",CHAR(34)&amp;V$1&amp;CHAR(34)&amp;",","")</f>
        <v/>
      </c>
      <c r="ED3" s="48" t="str">
        <f>IF(W3="y",CHAR(34)&amp;W$1&amp;CHAR(34)&amp;",","")</f>
        <v/>
      </c>
      <c r="EE3" s="48" t="str">
        <f>IF(X3="y",CHAR(34)&amp;X$1&amp;CHAR(34)&amp;",","")</f>
        <v>"Circle",</v>
      </c>
      <c r="EF3" s="48" t="str">
        <f>IF(AND(Y3&lt;&gt;"n",Y3&lt;&gt;""),CHAR(34)&amp;Y$1&amp;CHAR(34)&amp;",","")</f>
        <v/>
      </c>
      <c r="EG3" s="48" t="str">
        <f>IF(Z3="y",CHAR(34)&amp;Z$1&amp;CHAR(34)&amp;",","")</f>
        <v/>
      </c>
      <c r="EH3" s="48" t="str">
        <f>IF(AA3="y",CHAR(34)&amp;AA$1&amp;CHAR(34)&amp;",","")</f>
        <v>"Plants",</v>
      </c>
      <c r="EI3" s="48" t="str">
        <f>IF(AB3="y",CHAR(34)&amp;AB$1&amp;CHAR(34)&amp;",","")</f>
        <v/>
      </c>
      <c r="EJ3" s="48" t="str">
        <f>IF(AC3="y",CHAR(34)&amp;AC$1&amp;CHAR(34)&amp;",","")</f>
        <v/>
      </c>
      <c r="EK3" s="48" t="str">
        <f>IF(AD3="y",CHAR(34)&amp;AD$1&amp;CHAR(34)&amp;",","")</f>
        <v/>
      </c>
      <c r="EL3" s="48" t="str">
        <f>IF(AE3="y",CHAR(34)&amp;AE$1&amp;CHAR(34)&amp;",","")</f>
        <v/>
      </c>
      <c r="EM3" s="48" t="str">
        <f>IF(AF3="y",CHAR(34)&amp;AF$1&amp;CHAR(34)&amp;",","")</f>
        <v/>
      </c>
      <c r="EN3" s="48" t="str">
        <f>IF(AG3="y",CHAR(34)&amp;AG$1&amp;CHAR(34)&amp;",","")</f>
        <v/>
      </c>
      <c r="EO3" s="48" t="str">
        <f>IF(AH3="y",CHAR(34)&amp;AH$1&amp;CHAR(34)&amp;",","")</f>
        <v>"Center",</v>
      </c>
      <c r="EP3" s="48" t="str">
        <f>IF(AI3="y",CHAR(34)&amp;AI$1&amp;CHAR(34)&amp;",","")</f>
        <v/>
      </c>
      <c r="EQ3" s="48" t="str">
        <f>IF(AJ3="y",CHAR(34)&amp;AJ$1&amp;CHAR(34)&amp;",","")</f>
        <v/>
      </c>
      <c r="ER3" s="48" t="str">
        <f>IF(AK3="y",CHAR(34)&amp;AK$1&amp;CHAR(34)&amp;",","")</f>
        <v/>
      </c>
      <c r="ES3" s="48" t="str">
        <f>IF(AL3="y",CHAR(34)&amp;AL$1&amp;CHAR(34)&amp;",","")</f>
        <v/>
      </c>
      <c r="ET3" s="48" t="str">
        <f>IF(AM3="y",CHAR(34)&amp;AM$1&amp;CHAR(34)&amp;",","")</f>
        <v/>
      </c>
      <c r="EU3" s="48" t="str">
        <f>IF(AN3="y",CHAR(34)&amp;AN$1&amp;CHAR(34)&amp;",","")</f>
        <v/>
      </c>
      <c r="EV3" s="48" t="str">
        <f>IF(AO3="y",CHAR(34)&amp;AO$1&amp;CHAR(34)&amp;",","")</f>
        <v/>
      </c>
      <c r="EW3" s="48" t="str">
        <f>IF(AP3="y",CHAR(34)&amp;AP$1&amp;CHAR(34)&amp;",","")</f>
        <v/>
      </c>
      <c r="EX3" s="48" t="str">
        <f>IF(AQ3="y",CHAR(34)&amp;AQ$1&amp;CHAR(34)&amp;",","")</f>
        <v/>
      </c>
      <c r="EY3" s="48" t="str">
        <f>IF(AR3="y",CHAR(34)&amp;AR$1&amp;CHAR(34)&amp;",","")</f>
        <v/>
      </c>
      <c r="EZ3" s="48" t="str">
        <f>IF(AS3="y",CHAR(34)&amp;AS$1&amp;CHAR(34)&amp;",","")</f>
        <v/>
      </c>
      <c r="FA3" s="48" t="str">
        <f>IF(AT3&gt;0,CHAR(34)&amp;"sta"&amp;AZ3&amp;CHAR(34)&amp;",","")</f>
        <v/>
      </c>
      <c r="FB3" s="48" t="str">
        <f>IF(AND(AT3&gt;0,BA3&lt;&gt;""),CHAR(34)&amp;"sta"&amp;BA3&amp;CHAR(34)&amp;",","")</f>
        <v/>
      </c>
      <c r="FD3" s="48" t="str">
        <f>IF(BV3="n",CHAR(34)&amp;"tcWHYE"&amp;CHAR(34)&amp;",",IF(BV3="y",CHAR(34)&amp;FD$1&amp;CHAR(34)&amp;",",""))</f>
        <v/>
      </c>
      <c r="FE3" s="48" t="str">
        <f>IF(COUNTIF(BL3:BT3,"BLU")=0,CHAR(34)&amp;"NO_BLU"&amp;CHAR(34)&amp;",", "")</f>
        <v/>
      </c>
      <c r="FF3" s="48" t="str">
        <f>IF(COUNTIF(BL3:BT3,"WHI")=0,CHAR(34)&amp;"NO_WHI"&amp;CHAR(34)&amp;",", "")</f>
        <v>"NO_WHI",</v>
      </c>
      <c r="FG3" s="48" t="str">
        <f>IF(COUNTIF(BL3:BT3,"RED")=0,CHAR(34)&amp;"NO_RED"&amp;CHAR(34)&amp;",", "")</f>
        <v>"NO_RED",</v>
      </c>
      <c r="FH3" s="48" t="str">
        <f>IF(COUNTIF(BL3:BS3,"GRE")=0,CHAR(34)&amp;"NO_GRE"&amp;CHAR(34)&amp;",", "")</f>
        <v/>
      </c>
      <c r="FI3" s="48" t="str">
        <f>IF(COUNTIF(BL3:BT3,"YEL")=0,CHAR(34)&amp;"NO_YEL"&amp;CHAR(34)&amp;",", "")</f>
        <v>"NO_YEL",</v>
      </c>
      <c r="FJ3" s="48" t="str">
        <f>IF(COUNTIF(BL3:BT3,"BLA")=0,CHAR(34)&amp;"NO_BLA"&amp;CHAR(34)&amp;",", "")</f>
        <v>"NO_BLA",</v>
      </c>
      <c r="FK3" s="48" t="str">
        <f>IF(AND(FH3&lt;&gt;"",FF3&lt;&gt;""),CHAR(34)&amp;"WHGRNO"&amp;CHAR(34)&amp;",","")</f>
        <v/>
      </c>
      <c r="FL3" s="48" t="str">
        <f>IF(AND(FI3&lt;&gt;"",FF3&lt;&gt;""),CHAR(34)&amp;"WHYENO"&amp;CHAR(34)&amp;",","")</f>
        <v>"WHYENO",</v>
      </c>
      <c r="FM3" s="48" t="str">
        <f>IF(AND(FJ3&lt;&gt;"",FF3&lt;&gt;""),CHAR(34)&amp;"BAWHNO"&amp;CHAR(34)&amp;",","")</f>
        <v>"BAWHNO",</v>
      </c>
      <c r="FN3" s="48" t="str">
        <f>IF(AND(FE3&lt;&gt;"",FF3&lt;&gt;""),CHAR(34)&amp;"BLWHNO"&amp;CHAR(34)&amp;",","")</f>
        <v/>
      </c>
      <c r="FO3" s="48" t="str">
        <f>IF(AND(FE3&lt;&gt;"",FG3&lt;&gt;""),CHAR(34)&amp;"BLRENO"&amp;CHAR(34)&amp;",","")</f>
        <v/>
      </c>
      <c r="FP3" s="48" t="str">
        <f>IF(AND(FF3&lt;&gt;"",FF3&lt;&gt;""),CHAR(34)&amp;"WHRENO"&amp;CHAR(34)&amp;",","")</f>
        <v>"WHRENO",</v>
      </c>
      <c r="FQ3" s="48" t="str">
        <f>IF(LEN(BF3)=3,CHAR(34)&amp;"001"&amp;BF3&amp;CHAR(34)&amp;",","")</f>
        <v/>
      </c>
      <c r="FR3" s="48" t="str">
        <f>IF(LEN(BG3)=3,CHAR(34)&amp;"002"&amp;BG3&amp;CHAR(34)&amp;",","")</f>
        <v/>
      </c>
      <c r="FS3" s="48" t="str">
        <f>IF(LEN(BH3)=3,CHAR(34)&amp;"003"&amp;BH3&amp;CHAR(34)&amp;",","")</f>
        <v/>
      </c>
      <c r="FT3" s="48" t="str">
        <f>CHAR(34)&amp;"myr"&amp;BD3&amp;CHAR(34)&amp;","</f>
        <v>"myrBLU",</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"histor",</v>
      </c>
      <c r="GG3" s="48" t="str">
        <f>IF(BU3="y",CHAR(34)&amp;"unjack"&amp;CHAR(34)&amp;",","")</f>
        <v/>
      </c>
      <c r="GH3" s="48" t="str">
        <f>IF(CD3=1,CHAR(34)&amp;"southc"&amp;CHAR(34)&amp;",","")</f>
        <v/>
      </c>
      <c r="GI3" s="48" t="str">
        <f>IF(CE3=1,CHAR(34)&amp;"hasmap"&amp;CHAR(34)&amp;",","")</f>
        <v/>
      </c>
      <c r="GJ3" s="48" t="str">
        <f>IF(CP3="y",CHAR(34)&amp;CP$1&amp;CHAR(34)&amp;",","")</f>
        <v>"NoStar",</v>
      </c>
      <c r="GK3" s="48" t="str">
        <f>IF(GJ3="",CHAR(34)&amp;"HasSta"&amp;CHAR(34)&amp;",","")</f>
        <v/>
      </c>
      <c r="GL3" s="48" t="str">
        <f>IF(CQ3="y",CHAR(34)&amp;CQ$1&amp;CHAR(34)&amp;",","")</f>
        <v/>
      </c>
      <c r="GM3" s="48" t="str">
        <f>IF(CR3="y",CHAR(34)&amp;CR$1&amp;CHAR(34)&amp;",","")</f>
        <v/>
      </c>
      <c r="GN3" s="48" t="str">
        <f>IF(CS3="y",CHAR(34)&amp;CS$1&amp;CHAR(34)&amp;",","")</f>
        <v/>
      </c>
      <c r="GP3" s="48" t="str">
        <f>CHAR(34)&amp;AU3&amp;CHAR(34)</f>
        <v>"Historical"</v>
      </c>
      <c r="GS3" s="48" t="str">
        <f>SUBSTITUTE("["&amp;_xlfn.CONCAT(CW3:GN3)&amp;"]",",]","]")</f>
        <v>["2Color","lets17","startE","BLUGRE","year19","NoBand","Circle","Plants","Center","NO_WHI","NO_RED","NO_YEL","NO_BLA","WHYENO","BAWHNO","WHRENO","myrBLU","histor","NoStar"]</v>
      </c>
      <c r="GT3" s="48" t="str">
        <f>IF(BL3&lt;&gt;"",CHAR(34)&amp;"cl_"&amp;BL3&amp;CHAR(34)&amp;",","")</f>
        <v>"cl_BLU",</v>
      </c>
      <c r="GU3" s="48" t="str">
        <f>IF(BM3&lt;&gt;"",CHAR(34)&amp;"cl_"&amp;BM3&amp;CHAR(34)&amp;",","")</f>
        <v>"cl_GRE",</v>
      </c>
      <c r="GV3" s="48" t="str">
        <f>IF(BN3&lt;&gt;"",CHAR(34)&amp;"cl_"&amp;BN3&amp;CHAR(34)&amp;",","")</f>
        <v/>
      </c>
      <c r="GW3" s="48" t="str">
        <f>IF(BO3&lt;&gt;"",CHAR(34)&amp;"cl_"&amp;BO3&amp;CHAR(34)&amp;",","")</f>
        <v/>
      </c>
      <c r="GX3" s="48" t="str">
        <f>IF(BP3&lt;&gt;"",CHAR(34)&amp;"cl_"&amp;BP3&amp;CHAR(34)&amp;",","")</f>
        <v/>
      </c>
      <c r="GY3" s="48" t="str">
        <f>IF(BQ3&lt;&gt;"",CHAR(34)&amp;"cl_"&amp;BQ3&amp;CHAR(34)&amp;",","")</f>
        <v/>
      </c>
      <c r="GZ3" s="48" t="str">
        <f>IF(BR3&lt;&gt;"",CHAR(34)&amp;"cl_"&amp;BR3&amp;CHAR(34)&amp;",","")</f>
        <v/>
      </c>
      <c r="HA3" s="48" t="str">
        <f>IF(BS3&lt;&gt;"",CHAR(34)&amp;"cl_"&amp;BS3&amp;CHAR(34)&amp;",","")</f>
        <v/>
      </c>
      <c r="HB3" s="48" t="str">
        <f>IF(BT3&lt;&gt;"",CHAR(34)&amp;"cl_"&amp;BT3&amp;CHAR(34)&amp;",","")</f>
        <v/>
      </c>
      <c r="HC3" s="48" t="str">
        <f>SUBSTITUTE("["&amp;_xlfn.CONCAT(GT3:HB3)&amp;"]",",]","]")</f>
        <v>["cl_BLU","cl_GRE"]</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{couname:"[ERI] Eritrea (1952-1961)",year:"1952",region:"rgn_Africa",Colors:["cl_BLU","cl_GRE"],Items:["2Color","lets17","startE","BLUGRE","year19","NoBand","Circle","Plants","Center","NO_WHI","NO_RED","NO_YEL","NO_BLA","WHYENO","BAWHNO","WHRENO","myrBLU","histor","NoStar"],Flag:"https://upload.wikimedia.org/wikipedia/commons/thumb/1/1e/Flag_of_Eritrea_%281952-1961%29.svg/2560px-Flag_of_Eritrea_%281952-1961%29.svg.png",HDFlag:"https://upload.wikimedia.org/wikipedia/commons/thumb/1/1e/Flag_of_Eritrea_%281952-1961%29.svg/2560px-Flag_of_Eritrea_%281952-1961%29.svg.png",type:"Historical", describe: "\nNot available", isnew:".", links: "https://en.wikipedia.org/wiki/Federation_of_Ethiopia_and_Eritrea"},</v>
      </c>
      <c r="HG3" s="73" t="str">
        <f>"{couname:"&amp;CT3&amp;(IF(HK3&lt;&gt;"",",subtype:"&amp;CHAR(34)&amp;HK3&amp;CHAR(34),""))&amp;",year:"&amp;HJ3&amp;",region:"&amp;CU3&amp;",Colors:"&amp;HC3&amp;",Items:"&amp;GS3&amp;",Flag:"&amp;CV3&amp;",HDFlag:"&amp;CHAR(34)&amp;E3&amp;CHAR(34)&amp;",type:"&amp;GP3&amp;", describe: "&amp;HI3&amp;", links: "&amp;HL3&amp;"},"</f>
        <v>{couname:"[ERI] Eritrea (1952-1961)",year:"1952",region:"rgn_Africa",Colors:["cl_BLU","cl_GRE"],Items:["2Color","lets17","startE","BLUGRE","year19","NoBand","Circle","Plants","Center","NO_WHI","NO_RED","NO_YEL","NO_BLA","WHYENO","BAWHNO","WHRENO","myrBLU","histor","NoStar"],Flag:"https://upload.wikimedia.org/wikipedia/commons/thumb/1/1e/Flag_of_Eritrea_%281952-1961%29.svg/2560px-Flag_of_Eritrea_%281952-1961%29.svg.png",HDFlag:"https://upload.wikimedia.org/wikipedia/commons/thumb/1/1e/Flag_of_Eritrea_%281952-1961%29.svg/2560px-Flag_of_Eritrea_%281952-1961%29.svg.png",type:"Historical", describe: "\nNot available", links: "https://en.wikipedia.org/wiki/Federation_of_Ethiopia_and_Eritrea"},</v>
      </c>
      <c r="HH3" s="48" t="str">
        <f>IF(P3&lt;&gt;"",CHAR(34)&amp;"\n"&amp;P3&amp;CHAR(34),CHAR(34)&amp;CHAR(34))</f>
        <v>"\nNot available"</v>
      </c>
      <c r="HI3" s="48" t="str">
        <f>IF(J3=0,CHAR(34)&amp;CHAR(34),HH3)</f>
        <v>"\nNot available"</v>
      </c>
      <c r="HJ3" s="48" t="str">
        <f>CHAR(34)&amp;O3&amp;CHAR(34)</f>
        <v>"1952"</v>
      </c>
      <c r="HL3" s="48" t="str">
        <f>CHAR(34)&amp;I3&amp;CHAR(34)</f>
        <v>"https://en.wikipedia.org/wiki/Federation_of_Ethiopia_and_Eritrea"</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{"couname":"[ERI] Eritrea (1952-1961)","subtype":"[ERI] Other","year":"1952","region":"rgn_Africa","Colors":["cl_BLU","cl_GRE"],"Items":["2Color","lets17","startE","BLUGRE","year19","NoBand","Circle","Plants","Center","NO_WHI","NO_RED","NO_YEL","NO_BLA","WHYENO","BAWHNO","WHRENO","myrBLU","histor","NoStar"],"Flag":"https://upload.wikimedia.org/wikipedia/commons/thumb/1/1e/Flag_of_Eritrea_%281952-1961%29.svg/2560px-Flag_of_Eritrea_%281952-1961%29.svg.png","HDFlag":"https://upload.wikimedia.org/wikipedia/commons/thumb/1/1e/Flag_of_Eritrea_%281952-1961%29.svg/2560px-Flag_of_Eritrea_%281952-1961%29.svg.png","type":"Historical", "describe": "\nNot available", "isnew": ".", "links": "https://en.wikipedia.org/wiki/Federation_of_Ethiopia_and_Eritrea"},</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{"couname":"[ERI] Eritrea (1952-1961)","subtype":"[ERI] Other","year":"1952","region":"rgn_Africa","Colors":["cl_BLU","cl_GRE"],"Items":["2Color","lets17","startE","BLUGRE","year19","NoBand","Circle","Plants","Center","NO_WHI","NO_RED","NO_YEL","NO_BLA","WHYENO","BAWHNO","WHRENO","myrBLU","histor","NoStar"],"Flag":"https://upload.wikimedia.org/wikipedia/commons/thumb/1/1e/Flag_of_Eritrea_%281952-1961%29.svg/2560px-Flag_of_Eritrea_%281952-1961%29.svg.png","HDFlag":"https://upload.wikimedia.org/wikipedia/commons/thumb/1/1e/Flag_of_Eritrea_%281952-1961%29.svg/2560px-Flag_of_Eritrea_%281952-1961%29.svg.png","type":"Historical", "describe": "\nNot available", "isnew": ".", "links": "https://en.wikipedia.org/wiki/Federation_of_Ethiopia_and_Eritrea"},</v>
      </c>
      <c r="HO3" s="75">
        <v>45610</v>
      </c>
      <c r="HP3" s="48" t="str" cm="1">
        <f t="array" ref="HP3">IF(_xlfn.TEXTJOIN(", ", TRUE, IF(ISNUMBER(SEARCH("BLA", BL3:BT3)), COLUMN(BL3:BT3) - COLUMN(BL3) + 1, ""))&lt;&gt;"","BLA","")</f>
        <v/>
      </c>
      <c r="HQ3" s="48" t="str" cm="1">
        <f t="array" ref="HQ3">IF(_xlfn.TEXTJOIN(", ", TRUE, IF(ISNUMBER(SEARCH("BLU", BL3:BT3)), COLUMN(BL3:BT3) - COLUMN(BL3) + 1, ""))&lt;&gt;"","BLU","")</f>
        <v>BLU</v>
      </c>
      <c r="HR3" s="48" t="str" cm="1">
        <f t="array" ref="HR3">IF(_xlfn.TEXTJOIN(", ", TRUE, IF(ISNUMBER(SEARCH("GRE", BL3:BT3)), COLUMN(BL3:BT3) - COLUMN(BL3) + 1, ""))&lt;&gt;"","GRE","")</f>
        <v>GRE</v>
      </c>
      <c r="HS3" s="48" t="str" cm="1">
        <f t="array" ref="HS3">IF(_xlfn.TEXTJOIN(", ", TRUE, IF(ISNUMBER(SEARCH("RED", BL3:BT3)), COLUMN(BL3:BT3) - COLUMN(BL3) + 1, ""))&lt;&gt;"","RED","")</f>
        <v/>
      </c>
      <c r="HT3" s="48" t="str" cm="1">
        <f t="array" ref="HT3">IF(_xlfn.TEXTJOIN(", ", TRUE, IF(ISNUMBER(SEARCH("YEL", BL3:BT3)), COLUMN(BL3:BT3) - COLUMN(BL3) + 1, ""))&lt;&gt;"","YEL","")</f>
        <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
      </c>
      <c r="HY3" s="76"/>
      <c r="HZ3" s="76"/>
      <c r="IA3" s="6"/>
      <c r="IB3" s="6"/>
      <c r="IC3" s="77"/>
      <c r="ID3" s="77"/>
      <c r="IE3" s="77"/>
      <c r="IF3" s="77"/>
      <c r="IG3" s="77"/>
      <c r="IH3" s="77"/>
      <c r="II3" s="77"/>
      <c r="IJ3" s="77"/>
      <c r="IK3" s="77"/>
      <c r="IM3" s="45">
        <f>COUNTIF(IC3:IK3,"&gt;0")-CG3</f>
        <v>-2</v>
      </c>
      <c r="IN3" s="78" t="str">
        <f>"http://mkweb.bcgsc.ca/color-summarizer/?url="&amp;D3&amp;"&amp;precision=low&amp;num_clusters="&amp;CG3&amp;"&amp;text=1"</f>
        <v>http://mkweb.bcgsc.ca/color-summarizer/?url=https://upload.wikimedia.org/wikipedia/commons/thumb/1/1e/Flag_of_Eritrea_%281952-1961%29.svg/2560px-Flag_of_Eritrea_%281952-1961%29.svg.png&amp;precision=low&amp;num_clusters=2&amp;text=1</v>
      </c>
      <c r="IO3" s="48" t="str">
        <f>IF(HP3&lt;&gt;"",CHAR(34)&amp;"black"&amp;CHAR(34),"")</f>
        <v/>
      </c>
      <c r="IP3" s="48" t="str">
        <f>IF(HQ3&lt;&gt;"",CHAR(34)&amp;"blue"&amp;CHAR(34),"")</f>
        <v>"blue"</v>
      </c>
      <c r="IQ3" s="48" t="str">
        <f>IF(HR3&lt;&gt;"",CHAR(34)&amp;"green"&amp;CHAR(34),"")</f>
        <v>"green"</v>
      </c>
      <c r="IR3" s="48" t="str">
        <f>IF(HS3&lt;&gt;"",CHAR(34)&amp;"red"&amp;CHAR(34),"")</f>
        <v/>
      </c>
      <c r="IS3" s="48" t="str">
        <f>IF(HT3&lt;&gt;"",CHAR(34)&amp;"yellow"&amp;CHAR(34),"")</f>
        <v/>
      </c>
      <c r="IT3" s="48" t="str">
        <f>IF(HU3&lt;&gt;"",CHAR(34)&amp;"orange"&amp;CHAR(34),"")</f>
        <v/>
      </c>
      <c r="IU3" s="48" t="str">
        <f>IF(HV3&lt;&gt;"",CHAR(34)&amp;"brown"&amp;CHAR(34),"")</f>
        <v/>
      </c>
      <c r="IV3" s="48" t="str">
        <f>IF(HW3&lt;&gt;"",CHAR(34)&amp;"purple"&amp;CHAR(34),"")</f>
        <v/>
      </c>
      <c r="IW3" s="48" t="str">
        <f>IF(HX3&lt;&gt;"",CHAR(34)&amp;"white"&amp;CHAR(34),"")</f>
        <v/>
      </c>
      <c r="IX3" s="48" t="str">
        <f>"{"&amp;CHAR(34)&amp;"url"&amp;CHAR(34)&amp;":"&amp;CHAR(34)&amp;IN3&amp;CHAR(34)&amp;","&amp;CHAR(34)&amp;"name"&amp;CHAR(34)&amp;":"&amp;CHAR(34)&amp;A3&amp;CHAR(34)&amp;"},"</f>
        <v>{"url":"http://mkweb.bcgsc.ca/color-summarizer/?url=https://upload.wikimedia.org/wikipedia/commons/thumb/1/1e/Flag_of_Eritrea_%281952-1961%29.svg/2560px-Flag_of_Eritrea_%281952-1961%29.svg.png&amp;precision=low&amp;num_clusters=2&amp;text=1","name":"[ERI] Eritrea (1952-1961)"},</v>
      </c>
      <c r="IY3" s="48">
        <v>1272</v>
      </c>
    </row>
    <row r="4" spans="1:259" ht="38.4" customHeight="1" x14ac:dyDescent="0.3">
      <c r="D4" s="82"/>
      <c r="E4" s="82"/>
      <c r="F4" s="82"/>
      <c r="G4" s="82"/>
      <c r="H4" s="82"/>
      <c r="I4" s="82"/>
      <c r="J4" s="82"/>
      <c r="K4" s="82"/>
      <c r="L4" s="82"/>
      <c r="M4" s="82"/>
    </row>
    <row r="5" spans="1:259" ht="38.4" customHeight="1" x14ac:dyDescent="0.3">
      <c r="D5" s="82"/>
      <c r="E5" s="82"/>
      <c r="F5" s="82"/>
      <c r="G5" s="82"/>
      <c r="H5" s="82"/>
      <c r="I5" s="82"/>
      <c r="J5" s="82"/>
      <c r="K5" s="82"/>
      <c r="L5" s="82"/>
      <c r="M5" s="82"/>
    </row>
    <row r="6" spans="1:259" ht="38.4" customHeight="1" x14ac:dyDescent="0.3">
      <c r="D6" s="82"/>
      <c r="E6" s="82"/>
      <c r="F6" s="82"/>
      <c r="G6" s="82"/>
      <c r="H6" s="82"/>
      <c r="I6" s="82"/>
      <c r="J6" s="82"/>
      <c r="K6" s="82"/>
      <c r="L6" s="82"/>
      <c r="M6" s="82"/>
    </row>
    <row r="7" spans="1:259" ht="38.4" customHeight="1" x14ac:dyDescent="0.3">
      <c r="D7" s="82"/>
      <c r="E7" s="82"/>
      <c r="F7" s="82"/>
      <c r="G7" s="82"/>
      <c r="H7" s="82"/>
      <c r="I7" s="82"/>
      <c r="J7" s="82"/>
      <c r="K7" s="82"/>
      <c r="L7" s="82"/>
      <c r="M7" s="82"/>
    </row>
    <row r="8" spans="1:259" ht="38.4" customHeight="1" x14ac:dyDescent="0.3">
      <c r="D8" s="82"/>
      <c r="E8" s="82"/>
      <c r="F8" s="82"/>
      <c r="G8" s="82"/>
      <c r="H8" s="82"/>
      <c r="I8" s="82"/>
      <c r="J8" s="82"/>
      <c r="K8" s="82"/>
      <c r="L8" s="82"/>
      <c r="M8" s="82"/>
    </row>
    <row r="9" spans="1:259" ht="38.4" customHeight="1" x14ac:dyDescent="0.3">
      <c r="D9" s="82"/>
      <c r="E9" s="82"/>
      <c r="F9" s="82"/>
      <c r="G9" s="82"/>
      <c r="H9" s="82"/>
      <c r="I9" s="82"/>
      <c r="J9" s="82"/>
      <c r="K9" s="82"/>
      <c r="L9" s="82"/>
      <c r="M9" s="82"/>
    </row>
  </sheetData>
  <autoFilter ref="A1:IY1" xr:uid="{A1051193-A95B-4CFB-A73C-F0184620C81F}">
    <sortState xmlns:xlrd2="http://schemas.microsoft.com/office/spreadsheetml/2017/richdata2" ref="A2:IY5">
      <sortCondition ref="AW1"/>
    </sortState>
  </autoFilter>
  <conditionalFormatting sqref="H1 CW1:GS1 IA1:IB1">
    <cfRule type="cellIs" dxfId="4749" priority="118" operator="greaterThan">
      <formula>0</formula>
    </cfRule>
  </conditionalFormatting>
  <conditionalFormatting sqref="H1 H7:H1048576">
    <cfRule type="cellIs" dxfId="4748" priority="84" stopIfTrue="1" operator="notEqual">
      <formula>""</formula>
    </cfRule>
  </conditionalFormatting>
  <conditionalFormatting sqref="T1:BK1">
    <cfRule type="cellIs" dxfId="4747" priority="121" operator="greaterThan">
      <formula>0</formula>
    </cfRule>
  </conditionalFormatting>
  <conditionalFormatting sqref="BV1:BW1 BV4:BW1048576">
    <cfRule type="cellIs" dxfId="4746" priority="120" operator="equal">
      <formula>"nc"</formula>
    </cfRule>
  </conditionalFormatting>
  <conditionalFormatting sqref="HF1:HG1">
    <cfRule type="cellIs" dxfId="4745" priority="122" operator="greaterThan">
      <formula>0</formula>
    </cfRule>
  </conditionalFormatting>
  <conditionalFormatting sqref="HK1">
    <cfRule type="cellIs" dxfId="4744" priority="119" operator="greaterThan">
      <formula>0</formula>
    </cfRule>
  </conditionalFormatting>
  <conditionalFormatting sqref="HP1:HX1">
    <cfRule type="cellIs" dxfId="4743" priority="96" operator="equal">
      <formula>"PIN"</formula>
    </cfRule>
    <cfRule type="cellIs" dxfId="4742" priority="97" operator="equal">
      <formula>"ORA"</formula>
    </cfRule>
    <cfRule type="cellIs" dxfId="4741" priority="98" operator="equal">
      <formula>"GRA"</formula>
    </cfRule>
    <cfRule type="cellIs" dxfId="4740" priority="99" operator="equal">
      <formula>"PUR"</formula>
    </cfRule>
    <cfRule type="cellIs" dxfId="4739" priority="100" operator="equal">
      <formula>"BRO"</formula>
    </cfRule>
    <cfRule type="cellIs" dxfId="4738" priority="101" operator="equal">
      <formula>"YEL"</formula>
    </cfRule>
    <cfRule type="cellIs" dxfId="4737" priority="102" operator="equal">
      <formula>"BLU"</formula>
    </cfRule>
    <cfRule type="cellIs" dxfId="4736" priority="103" operator="equal">
      <formula>"WHI"</formula>
    </cfRule>
    <cfRule type="cellIs" dxfId="4735" priority="104" operator="equal">
      <formula>"GRE"</formula>
    </cfRule>
    <cfRule type="cellIs" dxfId="4734" priority="105" operator="equal">
      <formula>"RED"</formula>
    </cfRule>
    <cfRule type="cellIs" dxfId="4733" priority="106" operator="equal">
      <formula>"BLA"</formula>
    </cfRule>
  </conditionalFormatting>
  <conditionalFormatting sqref="IC1:IK1">
    <cfRule type="cellIs" dxfId="4732" priority="107" operator="equal">
      <formula>"PIN"</formula>
    </cfRule>
    <cfRule type="cellIs" dxfId="4731" priority="108" operator="equal">
      <formula>"ORA"</formula>
    </cfRule>
    <cfRule type="cellIs" dxfId="4730" priority="109" operator="equal">
      <formula>"GRA"</formula>
    </cfRule>
    <cfRule type="cellIs" dxfId="4729" priority="110" operator="equal">
      <formula>"PUR"</formula>
    </cfRule>
    <cfRule type="cellIs" dxfId="4728" priority="111" operator="equal">
      <formula>"BRO"</formula>
    </cfRule>
    <cfRule type="cellIs" dxfId="4727" priority="112" operator="equal">
      <formula>"YEL"</formula>
    </cfRule>
    <cfRule type="cellIs" dxfId="4726" priority="113" operator="equal">
      <formula>"BLU"</formula>
    </cfRule>
    <cfRule type="cellIs" dxfId="4725" priority="114" operator="equal">
      <formula>"WHI"</formula>
    </cfRule>
    <cfRule type="cellIs" dxfId="4724" priority="115" operator="equal">
      <formula>"GRE"</formula>
    </cfRule>
    <cfRule type="cellIs" dxfId="4723" priority="116" operator="equal">
      <formula>"RED"</formula>
    </cfRule>
    <cfRule type="cellIs" dxfId="4722" priority="117" operator="equal">
      <formula>"BLA"</formula>
    </cfRule>
  </conditionalFormatting>
  <conditionalFormatting sqref="IO1:IW1">
    <cfRule type="cellIs" dxfId="4721" priority="85" operator="equal">
      <formula>"PIN"</formula>
    </cfRule>
    <cfRule type="cellIs" dxfId="4720" priority="86" operator="equal">
      <formula>"ORA"</formula>
    </cfRule>
    <cfRule type="cellIs" dxfId="4719" priority="87" operator="equal">
      <formula>"GRA"</formula>
    </cfRule>
    <cfRule type="cellIs" dxfId="4718" priority="88" operator="equal">
      <formula>"PUR"</formula>
    </cfRule>
    <cfRule type="cellIs" dxfId="4717" priority="89" operator="equal">
      <formula>"BRO"</formula>
    </cfRule>
    <cfRule type="cellIs" dxfId="4716" priority="90" operator="equal">
      <formula>"YEL"</formula>
    </cfRule>
    <cfRule type="cellIs" dxfId="4715" priority="91" operator="equal">
      <formula>"BLU"</formula>
    </cfRule>
    <cfRule type="cellIs" dxfId="4714" priority="92" operator="equal">
      <formula>"WHI"</formula>
    </cfRule>
    <cfRule type="cellIs" dxfId="4713" priority="93" operator="equal">
      <formula>"GRE"</formula>
    </cfRule>
    <cfRule type="cellIs" dxfId="4712" priority="94" operator="equal">
      <formula>"RED"</formula>
    </cfRule>
    <cfRule type="cellIs" dxfId="4711" priority="95" operator="equal">
      <formula>"BLA"</formula>
    </cfRule>
  </conditionalFormatting>
  <conditionalFormatting sqref="H2">
    <cfRule type="cellIs" dxfId="4710" priority="77" stopIfTrue="1" operator="notEqual">
      <formula>""</formula>
    </cfRule>
  </conditionalFormatting>
  <conditionalFormatting sqref="R2 CU2">
    <cfRule type="cellIs" dxfId="4709" priority="79" operator="greaterThan">
      <formula>0</formula>
    </cfRule>
  </conditionalFormatting>
  <conditionalFormatting sqref="T2:AS2 CH2:CS2">
    <cfRule type="cellIs" dxfId="4708" priority="74" stopIfTrue="1" operator="equal">
      <formula>"n"</formula>
    </cfRule>
    <cfRule type="cellIs" dxfId="4707" priority="75" stopIfTrue="1" operator="equal">
      <formula>"y"</formula>
    </cfRule>
    <cfRule type="cellIs" dxfId="4706" priority="76" operator="greaterThan">
      <formula>0</formula>
    </cfRule>
  </conditionalFormatting>
  <conditionalFormatting sqref="AZ2:BB2">
    <cfRule type="expression" dxfId="4705" priority="61">
      <formula>$AT2=0</formula>
    </cfRule>
  </conditionalFormatting>
  <conditionalFormatting sqref="AZ2:BU2">
    <cfRule type="cellIs" dxfId="4704" priority="62" operator="equal">
      <formula>"PIN"</formula>
    </cfRule>
    <cfRule type="cellIs" dxfId="4703" priority="63" operator="equal">
      <formula>"ORA"</formula>
    </cfRule>
    <cfRule type="cellIs" dxfId="4702" priority="64" operator="equal">
      <formula>"GRA"</formula>
    </cfRule>
    <cfRule type="cellIs" dxfId="4701" priority="65" operator="equal">
      <formula>"PUR"</formula>
    </cfRule>
    <cfRule type="cellIs" dxfId="4700" priority="66" operator="equal">
      <formula>"BRO"</formula>
    </cfRule>
    <cfRule type="cellIs" dxfId="4699" priority="67" operator="equal">
      <formula>"YEL"</formula>
    </cfRule>
    <cfRule type="cellIs" dxfId="4698" priority="68" operator="equal">
      <formula>"BLU"</formula>
    </cfRule>
    <cfRule type="cellIs" dxfId="4697" priority="69" operator="equal">
      <formula>"WHI"</formula>
    </cfRule>
    <cfRule type="cellIs" dxfId="4696" priority="70" operator="equal">
      <formula>"GRE"</formula>
    </cfRule>
    <cfRule type="cellIs" dxfId="4695" priority="71" operator="equal">
      <formula>"RED"</formula>
    </cfRule>
    <cfRule type="cellIs" dxfId="4694" priority="72" operator="equal">
      <formula>"BLA"</formula>
    </cfRule>
  </conditionalFormatting>
  <conditionalFormatting sqref="BV2">
    <cfRule type="cellIs" dxfId="4693" priority="78" operator="equal">
      <formula>"nc"</formula>
    </cfRule>
  </conditionalFormatting>
  <conditionalFormatting sqref="CD2:CF2 BZ2:CA2">
    <cfRule type="cellIs" dxfId="4692" priority="73" operator="greaterThan">
      <formula>0</formula>
    </cfRule>
  </conditionalFormatting>
  <conditionalFormatting sqref="IC2:IK2">
    <cfRule type="expression" dxfId="4691" priority="60">
      <formula>$IL2&gt;0</formula>
    </cfRule>
  </conditionalFormatting>
  <conditionalFormatting sqref="BX2:CA2 CD2:CF2">
    <cfRule type="cellIs" dxfId="4690" priority="48" operator="equal">
      <formula>"y"</formula>
    </cfRule>
    <cfRule type="cellIs" dxfId="4689" priority="49" operator="equal">
      <formula>"PIN"</formula>
    </cfRule>
    <cfRule type="cellIs" dxfId="4688" priority="50" operator="equal">
      <formula>"ORA"</formula>
    </cfRule>
    <cfRule type="cellIs" dxfId="4687" priority="51" operator="equal">
      <formula>"GRA"</formula>
    </cfRule>
    <cfRule type="cellIs" dxfId="4686" priority="52" operator="equal">
      <formula>"PUR"</formula>
    </cfRule>
    <cfRule type="cellIs" dxfId="4685" priority="53" operator="equal">
      <formula>"BRO"</formula>
    </cfRule>
    <cfRule type="cellIs" dxfId="4684" priority="54" operator="equal">
      <formula>"YEL"</formula>
    </cfRule>
    <cfRule type="cellIs" dxfId="4683" priority="55" operator="equal">
      <formula>"BLU"</formula>
    </cfRule>
    <cfRule type="cellIs" dxfId="4682" priority="56" operator="equal">
      <formula>"WHI"</formula>
    </cfRule>
    <cfRule type="cellIs" dxfId="4681" priority="57" operator="equal">
      <formula>"GRE"</formula>
    </cfRule>
    <cfRule type="cellIs" dxfId="4680" priority="58" operator="equal">
      <formula>"RED"</formula>
    </cfRule>
    <cfRule type="cellIs" dxfId="4679" priority="59" operator="equal">
      <formula>"BLA"</formula>
    </cfRule>
  </conditionalFormatting>
  <conditionalFormatting sqref="J2">
    <cfRule type="colorScale" priority="80">
      <colorScale>
        <cfvo type="min"/>
        <cfvo type="percentile" val="50"/>
        <cfvo type="max"/>
        <color rgb="FFF8696B"/>
        <color rgb="FFFFEB84"/>
        <color rgb="FF63BE7B"/>
      </colorScale>
    </cfRule>
  </conditionalFormatting>
  <conditionalFormatting sqref="S2">
    <cfRule type="colorScale" priority="81">
      <colorScale>
        <cfvo type="min"/>
        <cfvo type="max"/>
        <color rgb="FFFCFCFF"/>
        <color rgb="FF754BFB"/>
      </colorScale>
    </cfRule>
  </conditionalFormatting>
  <conditionalFormatting sqref="AT2">
    <cfRule type="colorScale" priority="82">
      <colorScale>
        <cfvo type="min"/>
        <cfvo type="max"/>
        <color rgb="FFFCFCFF"/>
        <color theme="8" tint="0.39997558519241921"/>
      </colorScale>
    </cfRule>
  </conditionalFormatting>
  <conditionalFormatting sqref="CG2">
    <cfRule type="colorScale" priority="83">
      <colorScale>
        <cfvo type="min"/>
        <cfvo type="max"/>
        <color rgb="FFFCFCFF"/>
        <color rgb="FF63BE7B"/>
      </colorScale>
    </cfRule>
  </conditionalFormatting>
  <conditionalFormatting sqref="H3">
    <cfRule type="cellIs" dxfId="4678" priority="40" stopIfTrue="1" operator="notEqual">
      <formula>""</formula>
    </cfRule>
  </conditionalFormatting>
  <conditionalFormatting sqref="R3 CU3">
    <cfRule type="cellIs" dxfId="4677" priority="43" operator="greaterThan">
      <formula>0</formula>
    </cfRule>
  </conditionalFormatting>
  <conditionalFormatting sqref="T3:AS3 CH3:CS3">
    <cfRule type="cellIs" dxfId="4676" priority="37" stopIfTrue="1" operator="equal">
      <formula>"n"</formula>
    </cfRule>
    <cfRule type="cellIs" dxfId="4675" priority="38" stopIfTrue="1" operator="equal">
      <formula>"y"</formula>
    </cfRule>
    <cfRule type="cellIs" dxfId="4674" priority="39" operator="greaterThan">
      <formula>0</formula>
    </cfRule>
  </conditionalFormatting>
  <conditionalFormatting sqref="AZ3:BB3">
    <cfRule type="expression" dxfId="4673" priority="24">
      <formula>$AT3=0</formula>
    </cfRule>
  </conditionalFormatting>
  <conditionalFormatting sqref="CD3:CF3 BX3:CA3 AZ3:BU3">
    <cfRule type="cellIs" dxfId="4672" priority="25" operator="equal">
      <formula>"PIN"</formula>
    </cfRule>
    <cfRule type="cellIs" dxfId="4671" priority="26" operator="equal">
      <formula>"ORA"</formula>
    </cfRule>
    <cfRule type="cellIs" dxfId="4670" priority="27" operator="equal">
      <formula>"GRA"</formula>
    </cfRule>
    <cfRule type="cellIs" dxfId="4669" priority="28" operator="equal">
      <formula>"PUR"</formula>
    </cfRule>
    <cfRule type="cellIs" dxfId="4668" priority="29" operator="equal">
      <formula>"BRO"</formula>
    </cfRule>
    <cfRule type="cellIs" dxfId="4667" priority="30" operator="equal">
      <formula>"YEL"</formula>
    </cfRule>
    <cfRule type="cellIs" dxfId="4666" priority="31" operator="equal">
      <formula>"BLU"</formula>
    </cfRule>
    <cfRule type="cellIs" dxfId="4665" priority="32" operator="equal">
      <formula>"WHI"</formula>
    </cfRule>
    <cfRule type="cellIs" dxfId="4664" priority="33" operator="equal">
      <formula>"GRE"</formula>
    </cfRule>
    <cfRule type="cellIs" dxfId="4663" priority="34" operator="equal">
      <formula>"RED"</formula>
    </cfRule>
    <cfRule type="cellIs" dxfId="4662" priority="35" operator="equal">
      <formula>"BLA"</formula>
    </cfRule>
  </conditionalFormatting>
  <conditionalFormatting sqref="BV3">
    <cfRule type="cellIs" dxfId="4661" priority="42" operator="equal">
      <formula>"nc"</formula>
    </cfRule>
  </conditionalFormatting>
  <conditionalFormatting sqref="CD3:CF3 BX3:CA3">
    <cfRule type="cellIs" dxfId="4660" priority="41" operator="equal">
      <formula>"y"</formula>
    </cfRule>
  </conditionalFormatting>
  <conditionalFormatting sqref="CD3:CF3 BZ3:CA3">
    <cfRule type="cellIs" dxfId="4659" priority="36" operator="greaterThan">
      <formula>0</formula>
    </cfRule>
  </conditionalFormatting>
  <conditionalFormatting sqref="IC3:IK3">
    <cfRule type="expression" dxfId="4658" priority="23">
      <formula>$IL3&gt;0</formula>
    </cfRule>
  </conditionalFormatting>
  <conditionalFormatting sqref="IC3">
    <cfRule type="cellIs" dxfId="4657" priority="17" stopIfTrue="1" operator="greaterThan">
      <formula>0</formula>
    </cfRule>
  </conditionalFormatting>
  <conditionalFormatting sqref="ID3">
    <cfRule type="cellIs" dxfId="4656" priority="15" stopIfTrue="1" operator="greaterThan">
      <formula>0</formula>
    </cfRule>
  </conditionalFormatting>
  <conditionalFormatting sqref="II3 IE3:IF3">
    <cfRule type="cellIs" dxfId="4655" priority="22" operator="greaterThan">
      <formula>0</formula>
    </cfRule>
  </conditionalFormatting>
  <conditionalFormatting sqref="II3 IF3">
    <cfRule type="cellIs" dxfId="4654" priority="16" stopIfTrue="1" operator="greaterThan">
      <formula>0</formula>
    </cfRule>
  </conditionalFormatting>
  <conditionalFormatting sqref="IG3">
    <cfRule type="cellIs" dxfId="4653" priority="21" operator="greaterThan">
      <formula>0</formula>
    </cfRule>
  </conditionalFormatting>
  <conditionalFormatting sqref="IH3:II3">
    <cfRule type="cellIs" dxfId="4652" priority="20" operator="greaterThan">
      <formula>0</formula>
    </cfRule>
  </conditionalFormatting>
  <conditionalFormatting sqref="IJ3">
    <cfRule type="cellIs" dxfId="4651" priority="19" operator="greaterThan">
      <formula>0</formula>
    </cfRule>
  </conditionalFormatting>
  <conditionalFormatting sqref="IK3">
    <cfRule type="cellIs" dxfId="4650" priority="18" operator="greaterThan">
      <formula>0</formula>
    </cfRule>
  </conditionalFormatting>
  <conditionalFormatting sqref="IF3">
    <cfRule type="cellIs" dxfId="4649" priority="14" stopIfTrue="1" operator="greaterThan">
      <formula>0</formula>
    </cfRule>
  </conditionalFormatting>
  <conditionalFormatting sqref="IM3">
    <cfRule type="cellIs" dxfId="4648" priority="13" operator="equal">
      <formula>0</formula>
    </cfRule>
  </conditionalFormatting>
  <conditionalFormatting sqref="BX3:CA3 CD3:CF3">
    <cfRule type="cellIs" dxfId="4647" priority="1" operator="equal">
      <formula>"y"</formula>
    </cfRule>
    <cfRule type="cellIs" dxfId="4646" priority="2" operator="equal">
      <formula>"PIN"</formula>
    </cfRule>
    <cfRule type="cellIs" dxfId="4645" priority="3" operator="equal">
      <formula>"ORA"</formula>
    </cfRule>
    <cfRule type="cellIs" dxfId="4644" priority="4" operator="equal">
      <formula>"GRA"</formula>
    </cfRule>
    <cfRule type="cellIs" dxfId="4643" priority="5" operator="equal">
      <formula>"PUR"</formula>
    </cfRule>
    <cfRule type="cellIs" dxfId="4642" priority="6" operator="equal">
      <formula>"BRO"</formula>
    </cfRule>
    <cfRule type="cellIs" dxfId="4641" priority="7" operator="equal">
      <formula>"YEL"</formula>
    </cfRule>
    <cfRule type="cellIs" dxfId="4640" priority="8" operator="equal">
      <formula>"BLU"</formula>
    </cfRule>
    <cfRule type="cellIs" dxfId="4639" priority="9" operator="equal">
      <formula>"WHI"</formula>
    </cfRule>
    <cfRule type="cellIs" dxfId="4638" priority="10" operator="equal">
      <formula>"GRE"</formula>
    </cfRule>
    <cfRule type="cellIs" dxfId="4637" priority="11" operator="equal">
      <formula>"RED"</formula>
    </cfRule>
    <cfRule type="cellIs" dxfId="4636" priority="12" operator="equal">
      <formula>"BLA"</formula>
    </cfRule>
  </conditionalFormatting>
  <conditionalFormatting sqref="AT3">
    <cfRule type="colorScale" priority="44">
      <colorScale>
        <cfvo type="min"/>
        <cfvo type="max"/>
        <color rgb="FFFCFCFF"/>
        <color theme="8" tint="0.39997558519241921"/>
      </colorScale>
    </cfRule>
  </conditionalFormatting>
  <conditionalFormatting sqref="S3">
    <cfRule type="colorScale" priority="45">
      <colorScale>
        <cfvo type="min"/>
        <cfvo type="max"/>
        <color rgb="FFFCFCFF"/>
        <color rgb="FF754BFB"/>
      </colorScale>
    </cfRule>
  </conditionalFormatting>
  <conditionalFormatting sqref="J3">
    <cfRule type="colorScale" priority="46">
      <colorScale>
        <cfvo type="min"/>
        <cfvo type="percentile" val="50"/>
        <cfvo type="max"/>
        <color rgb="FFF8696B"/>
        <color rgb="FFFFEB84"/>
        <color rgb="FF63BE7B"/>
      </colorScale>
    </cfRule>
  </conditionalFormatting>
  <conditionalFormatting sqref="CG3">
    <cfRule type="colorScale" priority="47">
      <colorScale>
        <cfvo type="min"/>
        <cfvo type="max"/>
        <color rgb="FFFCFCFF"/>
        <color rgb="FF63BE7B"/>
      </colorScale>
    </cfRule>
  </conditionalFormatting>
  <hyperlinks>
    <hyperlink ref="A2" r:id="rId1" display="https://fbref.com/en/country/ERI/Eritrea-Football" xr:uid="{A0D6BAC2-5160-40B1-AE05-B40A8317FCE5}"/>
    <hyperlink ref="I3" r:id="rId2" xr:uid="{19203FCC-9965-44E7-BB99-BEED6F23D8E2}"/>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40961" r:id="rId6"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40962" r:id="rId7"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40963" r:id="rId8"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B21F3-D28E-437B-B761-61DF00790BD3}">
  <sheetPr codeName="Sheet51"/>
  <dimension ref="A1:IY10"/>
  <sheetViews>
    <sheetView zoomScale="70" zoomScaleNormal="70" workbookViewId="0">
      <pane xSplit="5" ySplit="1" topLeftCell="F2" activePane="bottomRight" state="frozen"/>
      <selection pane="topRight" activeCell="F1" sqref="F1"/>
      <selection pane="bottomLeft" activeCell="A2" sqref="A2"/>
      <selection pane="bottomRight" activeCell="A4" sqref="A4"/>
    </sheetView>
  </sheetViews>
  <sheetFormatPr defaultRowHeight="38.4" customHeight="1" x14ac:dyDescent="0.3"/>
  <cols>
    <col min="1" max="1" width="52.44140625" style="81" bestFit="1" customWidth="1"/>
    <col min="2" max="2" width="10.109375" style="81" customWidth="1"/>
    <col min="3" max="3" width="7.44140625" style="82" customWidth="1"/>
    <col min="4" max="4" width="4.77734375" style="83" customWidth="1"/>
    <col min="5" max="5" width="4.5546875" style="83" customWidth="1"/>
    <col min="6" max="6" width="5.77734375" style="83" customWidth="1"/>
    <col min="7" max="7" width="7.44140625" style="81" customWidth="1"/>
    <col min="8" max="8" width="11.44140625" style="81" customWidth="1"/>
    <col min="9" max="9" width="10" style="81" customWidth="1"/>
    <col min="10" max="10" width="4.21875" style="81" customWidth="1"/>
    <col min="11" max="11" width="5.6640625" style="83" customWidth="1"/>
    <col min="12" max="12" width="2.88671875" style="83" customWidth="1"/>
    <col min="13" max="13" width="6.44140625" style="83" customWidth="1"/>
    <col min="14" max="14" width="4.5546875" style="83" customWidth="1"/>
    <col min="15" max="15" width="10.5546875" style="84" customWidth="1"/>
    <col min="16" max="16" width="6.88671875" style="83" customWidth="1"/>
    <col min="17" max="17" width="4.77734375" style="83" customWidth="1"/>
    <col min="18" max="18" width="13.109375" style="82" customWidth="1"/>
    <col min="19" max="19" width="6.77734375" style="82" customWidth="1"/>
    <col min="20" max="46" width="8.44140625" style="81" customWidth="1"/>
    <col min="47" max="47" width="24.5546875" style="81" customWidth="1"/>
    <col min="48" max="51" width="16.6640625" style="81" customWidth="1"/>
    <col min="52" max="52" width="6.5546875" style="81" customWidth="1"/>
    <col min="53" max="54" width="5.88671875" style="81" customWidth="1"/>
    <col min="55" max="55" width="1.33203125" style="81" customWidth="1"/>
    <col min="56" max="56" width="7.44140625" style="81" customWidth="1"/>
    <col min="57" max="57" width="2.33203125" style="81" customWidth="1"/>
    <col min="58" max="62" width="6.109375" style="81" customWidth="1"/>
    <col min="63" max="63" width="2.33203125" style="81" customWidth="1"/>
    <col min="64" max="64" width="7" style="81" bestFit="1" customWidth="1"/>
    <col min="65" max="65" width="6.44140625" style="81" bestFit="1" customWidth="1"/>
    <col min="66" max="66" width="7.109375" style="81" bestFit="1" customWidth="1"/>
    <col min="67" max="71" width="6.44140625" style="81" bestFit="1" customWidth="1"/>
    <col min="72" max="73" width="6.44140625" style="81" customWidth="1"/>
    <col min="74" max="75" width="13.44140625" style="81" customWidth="1"/>
    <col min="76" max="84" width="14.6640625" style="81" customWidth="1"/>
    <col min="85" max="85" width="6.44140625" style="81" customWidth="1"/>
    <col min="86" max="87" width="11.6640625" style="81" bestFit="1" customWidth="1"/>
    <col min="88" max="88" width="11.6640625" style="81" customWidth="1"/>
    <col min="89" max="89" width="12.77734375" style="81" bestFit="1" customWidth="1"/>
    <col min="90" max="90" width="16.44140625" style="82" bestFit="1" customWidth="1"/>
    <col min="91" max="92" width="14.88671875" style="82" bestFit="1" customWidth="1"/>
    <col min="93" max="93" width="16" style="82" bestFit="1" customWidth="1"/>
    <col min="94" max="97" width="7.77734375" style="81" customWidth="1"/>
    <col min="98" max="98" width="33.21875" style="81" customWidth="1"/>
    <col min="99" max="99" width="18" style="81" customWidth="1"/>
    <col min="100" max="100" width="75.6640625" style="81" customWidth="1"/>
    <col min="101" max="125" width="33" style="81" customWidth="1"/>
    <col min="126" max="126" width="8.88671875" style="81"/>
    <col min="127" max="128" width="9.44140625" style="81" bestFit="1" customWidth="1"/>
    <col min="129" max="129" width="10.77734375" style="81" bestFit="1" customWidth="1"/>
    <col min="130" max="134" width="10.77734375" style="81" customWidth="1"/>
    <col min="135" max="135" width="10.109375" style="81" bestFit="1" customWidth="1"/>
    <col min="136" max="136" width="7.77734375" style="81" bestFit="1" customWidth="1"/>
    <col min="137" max="137" width="7.77734375" style="81" customWidth="1"/>
    <col min="138" max="138" width="9" style="81" bestFit="1" customWidth="1"/>
    <col min="139" max="139" width="11.33203125" style="81" bestFit="1" customWidth="1"/>
    <col min="140" max="140" width="9.109375" style="81" bestFit="1" customWidth="1"/>
    <col min="141" max="141" width="9" style="81" bestFit="1" customWidth="1"/>
    <col min="142" max="142" width="12" style="81" bestFit="1" customWidth="1"/>
    <col min="143" max="166" width="12" style="81" customWidth="1"/>
    <col min="167" max="167" width="17.21875" style="81" customWidth="1"/>
    <col min="168" max="191" width="12" style="81" customWidth="1"/>
    <col min="192" max="192" width="8.5546875" style="81" bestFit="1" customWidth="1"/>
    <col min="193" max="193" width="8.5546875" style="81" customWidth="1"/>
    <col min="194" max="194" width="7.109375" style="81" bestFit="1" customWidth="1"/>
    <col min="195" max="195" width="7.5546875" style="81" bestFit="1" customWidth="1"/>
    <col min="196" max="196" width="8.5546875" style="81" bestFit="1" customWidth="1"/>
    <col min="197" max="200" width="8.5546875" style="81" customWidth="1"/>
    <col min="201" max="201" width="188.88671875" style="81" customWidth="1"/>
    <col min="202" max="202" width="9.5546875" style="81" bestFit="1" customWidth="1"/>
    <col min="203" max="203" width="10.44140625" style="81" bestFit="1" customWidth="1"/>
    <col min="204" max="204" width="11.109375" style="81" bestFit="1" customWidth="1"/>
    <col min="205" max="205" width="10.44140625" style="81" bestFit="1" customWidth="1"/>
    <col min="206" max="210" width="10.44140625" style="81" customWidth="1"/>
    <col min="211" max="211" width="45.44140625" style="81" customWidth="1"/>
    <col min="212" max="212" width="47.5546875" style="81" bestFit="1" customWidth="1"/>
    <col min="213" max="213" width="9.33203125" style="85" customWidth="1"/>
    <col min="214" max="214" width="119.5546875" style="81" customWidth="1"/>
    <col min="215" max="215" width="69.6640625" style="81" customWidth="1"/>
    <col min="216" max="218" width="8.88671875" style="81"/>
    <col min="219" max="219" width="37.109375" style="81" customWidth="1"/>
    <col min="220" max="220" width="16.33203125" style="81" customWidth="1"/>
    <col min="221" max="222" width="8.88671875" style="81"/>
    <col min="223" max="223" width="10.109375" style="81" bestFit="1" customWidth="1"/>
    <col min="224" max="232" width="10.88671875" style="81" customWidth="1"/>
    <col min="233" max="234" width="30.77734375" style="81" customWidth="1"/>
    <col min="235" max="235" width="5.109375" style="81" customWidth="1"/>
    <col min="236" max="236" width="3" style="81" customWidth="1"/>
    <col min="237" max="245" width="6.77734375" style="86" customWidth="1"/>
    <col min="246" max="247" width="8.88671875" style="81"/>
    <col min="248" max="248" width="61.5546875" style="81" customWidth="1"/>
    <col min="249" max="253" width="8.88671875" style="81"/>
    <col min="254" max="254" width="9" style="81" customWidth="1"/>
    <col min="255" max="16384" width="8.88671875" style="8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614</v>
      </c>
      <c r="B2" s="40" t="e" vm="42">
        <v>#VALUE!</v>
      </c>
      <c r="C2" s="41">
        <v>1</v>
      </c>
      <c r="D2" s="42" t="s">
        <v>615</v>
      </c>
      <c r="E2" s="43" t="s">
        <v>616</v>
      </c>
      <c r="F2" s="44" t="s">
        <v>163</v>
      </c>
      <c r="G2" s="45">
        <f>COUNTIF($A$1:$A$8367,A2)</f>
        <v>1</v>
      </c>
      <c r="H2" s="46"/>
      <c r="I2" s="47" t="s">
        <v>617</v>
      </c>
      <c r="J2" s="48" t="str">
        <f>""</f>
        <v/>
      </c>
      <c r="K2" s="49">
        <v>126527060</v>
      </c>
      <c r="L2" s="50">
        <v>1200000</v>
      </c>
      <c r="M2" s="50" t="s">
        <v>621</v>
      </c>
      <c r="N2" s="51" t="s">
        <v>180</v>
      </c>
      <c r="O2" s="52" t="s">
        <v>618</v>
      </c>
      <c r="P2" s="53" t="s">
        <v>619</v>
      </c>
      <c r="Q2" s="54">
        <v>1</v>
      </c>
      <c r="R2" s="55" t="s">
        <v>180</v>
      </c>
      <c r="S2" s="56">
        <v>3</v>
      </c>
      <c r="T2" s="57" t="s">
        <v>164</v>
      </c>
      <c r="U2" s="58" t="s">
        <v>164</v>
      </c>
      <c r="V2" s="58" t="s">
        <v>167</v>
      </c>
      <c r="W2" s="58" t="s">
        <v>164</v>
      </c>
      <c r="X2" s="58" t="s">
        <v>167</v>
      </c>
      <c r="Y2" s="58" t="s">
        <v>164</v>
      </c>
      <c r="Z2" s="58" t="s">
        <v>164</v>
      </c>
      <c r="AA2" s="58" t="s">
        <v>164</v>
      </c>
      <c r="AB2" s="58" t="s">
        <v>164</v>
      </c>
      <c r="AC2" s="58" t="s">
        <v>164</v>
      </c>
      <c r="AD2" s="58" t="s">
        <v>164</v>
      </c>
      <c r="AE2" s="58" t="s">
        <v>164</v>
      </c>
      <c r="AF2" s="59" t="s">
        <v>164</v>
      </c>
      <c r="AG2" s="59" t="s">
        <v>164</v>
      </c>
      <c r="AH2" s="59" t="s">
        <v>167</v>
      </c>
      <c r="AI2" s="59" t="s">
        <v>164</v>
      </c>
      <c r="AJ2" s="59" t="s">
        <v>164</v>
      </c>
      <c r="AK2" s="59" t="s">
        <v>164</v>
      </c>
      <c r="AL2" s="59" t="s">
        <v>164</v>
      </c>
      <c r="AM2" s="59" t="s">
        <v>164</v>
      </c>
      <c r="AN2" s="59" t="s">
        <v>164</v>
      </c>
      <c r="AO2" s="59" t="s">
        <v>164</v>
      </c>
      <c r="AP2" s="59" t="s">
        <v>164</v>
      </c>
      <c r="AQ2" s="59" t="s">
        <v>164</v>
      </c>
      <c r="AR2" s="59" t="s">
        <v>164</v>
      </c>
      <c r="AS2" s="59" t="s">
        <v>164</v>
      </c>
      <c r="AT2" s="60">
        <v>1</v>
      </c>
      <c r="AU2" s="59"/>
      <c r="AV2" s="59" t="str">
        <f>IF(LEFT(A2,1)="[",LEFT(A2,5)&amp;AU2&amp;A2,"")</f>
        <v/>
      </c>
      <c r="AW2" s="59" t="str">
        <f t="shared" ref="AW2" si="0">C2&amp;H2&amp;A2</f>
        <v>1Ethiopia</v>
      </c>
      <c r="AX2" s="61" t="str">
        <f>_xlfn.TEXTJOIN(";",TRUE,AU2:AW2)</f>
        <v>1Ethiopia</v>
      </c>
      <c r="AY2" s="61"/>
      <c r="AZ2" s="62" t="s">
        <v>155</v>
      </c>
      <c r="BA2" s="62"/>
      <c r="BB2" s="62"/>
      <c r="BC2" s="63"/>
      <c r="BD2" s="64" t="s">
        <v>169</v>
      </c>
      <c r="BE2" s="47"/>
      <c r="BF2" s="64" t="s">
        <v>153</v>
      </c>
      <c r="BG2" s="64" t="s">
        <v>155</v>
      </c>
      <c r="BH2" s="64" t="s">
        <v>154</v>
      </c>
      <c r="BI2" s="64"/>
      <c r="BJ2" s="64"/>
      <c r="BK2" s="47"/>
      <c r="BL2" s="64" t="s">
        <v>155</v>
      </c>
      <c r="BM2" s="64" t="s">
        <v>153</v>
      </c>
      <c r="BN2" s="64" t="s">
        <v>154</v>
      </c>
      <c r="BO2" s="64" t="s">
        <v>152</v>
      </c>
      <c r="BP2" s="64"/>
      <c r="BQ2" s="64"/>
      <c r="BR2" s="64"/>
      <c r="BS2" s="64"/>
      <c r="BT2" s="64"/>
      <c r="BU2" s="65"/>
      <c r="BV2" s="66" t="s">
        <v>165</v>
      </c>
      <c r="BW2" s="66">
        <v>0</v>
      </c>
      <c r="BX2" s="47"/>
      <c r="BZ2" s="48" t="s">
        <v>167</v>
      </c>
      <c r="CB2" s="6" t="s">
        <v>620</v>
      </c>
      <c r="CC2" s="6"/>
      <c r="CD2" s="67">
        <v>0</v>
      </c>
      <c r="CE2" s="67">
        <v>0</v>
      </c>
      <c r="CF2" s="67" t="e">
        <v>#REF!</v>
      </c>
      <c r="CG2" s="68" cm="1">
        <f t="array" ref="CG2">SUMPRODUCT(--(LEN(TRIM(BL2:BT2))&gt;0))</f>
        <v>4</v>
      </c>
      <c r="CH2" s="59" t="str">
        <f>IF(CG2=2,"y","n")</f>
        <v>n</v>
      </c>
      <c r="CI2" s="59" t="str">
        <f>IF(CG2=3,"y","n")</f>
        <v>n</v>
      </c>
      <c r="CJ2" s="59" t="str">
        <f>IF(CG2=4,"y","n")</f>
        <v>y</v>
      </c>
      <c r="CK2" s="59" t="str">
        <f>IF(CG2&gt;4,"y","n")</f>
        <v>n</v>
      </c>
      <c r="CL2" s="59" t="str">
        <f>IF(S2=0,"y","n")</f>
        <v>n</v>
      </c>
      <c r="CM2" s="59" t="str">
        <f>IF(S2=2,"y","n")</f>
        <v>n</v>
      </c>
      <c r="CN2" s="59" t="str">
        <f>IF(S2=3,"y","n")</f>
        <v>y</v>
      </c>
      <c r="CO2" s="59" t="str">
        <f>IF(S2&gt;=4,"y","n")</f>
        <v>n</v>
      </c>
      <c r="CP2" s="59" t="str">
        <f>IF(AT2=0,"y","n")</f>
        <v>n</v>
      </c>
      <c r="CQ2" s="59" t="str">
        <f>IF(AT2=1,"y","n")</f>
        <v>y</v>
      </c>
      <c r="CR2" s="59" t="str">
        <f>IF(AT2=2,"y","n")</f>
        <v>n</v>
      </c>
      <c r="CS2" s="59" t="str">
        <f>IF(AT2&gt;=3,"y","n")</f>
        <v>n</v>
      </c>
      <c r="CT2" s="69" t="str">
        <f>CHAR(34)&amp;A2&amp;CHAR(34)</f>
        <v>"Ethiopia"</v>
      </c>
      <c r="CU2" s="70" t="str">
        <f>CHAR(34)&amp;"rgn_"&amp;R2&amp;CHAR(34)</f>
        <v>"rgn_Africa"</v>
      </c>
      <c r="CV2" s="48" t="str">
        <f>CHAR(34)&amp;D2&amp;CHAR(34)</f>
        <v>"https://i.ibb.co/BB0ZyxG/Ethiopia-Flag.png"</v>
      </c>
      <c r="CW2" s="48" t="str">
        <f>IF(CH2="y",CHAR(34)&amp;CH$1&amp;CHAR(34)&amp;",","")</f>
        <v/>
      </c>
      <c r="CX2" s="48" t="str">
        <f>IF(CI2="y",CHAR(34)&amp;CI$1&amp;CHAR(34)&amp;",","")</f>
        <v/>
      </c>
      <c r="CY2" s="48" t="str">
        <f>IF(CJ2="y",CHAR(34)&amp;CJ$1&amp;CHAR(34)&amp;",","")</f>
        <v>"4Color",</v>
      </c>
      <c r="CZ2" s="48" t="str">
        <f>IF(CK2="y",CHAR(34)&amp;CK$1&amp;CHAR(34)&amp;",","")</f>
        <v/>
      </c>
      <c r="DA2" s="48" t="str">
        <f>IF(Q2&gt;1,CHAR(34)&amp;"words2"&amp;CHAR(34)&amp;",","")</f>
        <v/>
      </c>
      <c r="DB2" s="48" t="str">
        <f>IF(Q2&gt;2,CHAR(34)&amp;"words3"&amp;CHAR(34)&amp;",","")</f>
        <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"lets08",</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"startE",</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"year00",</v>
      </c>
      <c r="DQ2" s="6" t="str">
        <f>IF(CC2="y",CHAR(34)&amp;"soviet"&amp;CHAR(34)&amp;",","")</f>
        <v/>
      </c>
      <c r="DR2" s="6" t="str">
        <f>IF(BY2="y",CHAR(34)&amp;"dgband"&amp;CHAR(34)&amp;",","")</f>
        <v/>
      </c>
      <c r="DS2" s="6" t="str">
        <f>IF(W2="y",IF(AND(V2="n",BY2&lt;&gt;"y"),CHAR(34)&amp;"allver"&amp;CHAR(34)&amp;",",""),"")</f>
        <v/>
      </c>
      <c r="DT2" s="6" t="str">
        <f>IF(V2="y",IF(AND(W2="n",BY2&lt;&gt;"y"),CHAR(34)&amp;"allhor"&amp;CHAR(34)&amp;",",""),"")</f>
        <v>"allhor",</v>
      </c>
      <c r="DU2" s="6" t="str">
        <f>IF(BY2="y",IF(AND(W2="n",V2="n"),CHAR(34)&amp;"alldia"&amp;CHAR(34)&amp;",",""),"")</f>
        <v/>
      </c>
      <c r="DV2" s="48" t="str">
        <f>IF(IA2&lt;&gt;"",(IF(IA2="y",CHAR(34)&amp;"largec"&amp;CHAR(34)&amp;",",CHAR(34)&amp;"smallc"&amp;CHAR(34)&amp;",")),"")</f>
        <v/>
      </c>
      <c r="DW2" s="48" t="str">
        <f>IF(CL2="y",CHAR(34)&amp;CL$1&amp;CHAR(34)&amp;",","")</f>
        <v/>
      </c>
      <c r="DX2" s="48" t="str">
        <f>IF(CM2="y",CHAR(34)&amp;CM$1&amp;CHAR(34)&amp;",","")</f>
        <v/>
      </c>
      <c r="DY2" s="48" t="str">
        <f>IF(CN2="y",CHAR(34)&amp;CN$1&amp;CHAR(34)&amp;",","")</f>
        <v>"3Bands",</v>
      </c>
      <c r="DZ2" s="48" t="str">
        <f>IF(CO2="y",CHAR(34)&amp;CO$1&amp;CHAR(34)&amp;",","")</f>
        <v/>
      </c>
      <c r="EA2" s="48" t="str">
        <f>IF(T2="y",CHAR(34)&amp;T$1&amp;CHAR(34)&amp;",","")</f>
        <v/>
      </c>
      <c r="EB2" s="48" t="str">
        <f>IF(U2="y",CHAR(34)&amp;U$1&amp;CHAR(34)&amp;",","")</f>
        <v/>
      </c>
      <c r="EC2" s="48" t="str">
        <f>IF(V2="y",CHAR(34)&amp;V$1&amp;CHAR(34)&amp;",","")</f>
        <v>"Horizo",</v>
      </c>
      <c r="ED2" s="48" t="str">
        <f>IF(W2="y",CHAR(34)&amp;W$1&amp;CHAR(34)&amp;",","")</f>
        <v/>
      </c>
      <c r="EE2" s="48" t="str">
        <f>IF(X2="y",CHAR(34)&amp;X$1&amp;CHAR(34)&amp;",","")</f>
        <v>"Circle",</v>
      </c>
      <c r="EF2" s="48" t="str">
        <f>IF(AND(Y2&lt;&gt;"n",Y2&lt;&gt;""),CHAR(34)&amp;Y$1&amp;CHAR(34)&amp;",","")</f>
        <v/>
      </c>
      <c r="EG2" s="48" t="str">
        <f>IF(Z2="y",CHAR(34)&amp;Z$1&amp;CHAR(34)&amp;",","")</f>
        <v/>
      </c>
      <c r="EH2" s="48" t="str">
        <f>IF(AA2="y",CHAR(34)&amp;AA$1&amp;CHAR(34)&amp;",","")</f>
        <v/>
      </c>
      <c r="EI2" s="48" t="str">
        <f>IF(AB2="y",CHAR(34)&amp;AB$1&amp;CHAR(34)&amp;",","")</f>
        <v/>
      </c>
      <c r="EJ2" s="48" t="str">
        <f>IF(AC2="y",CHAR(34)&amp;AC$1&amp;CHAR(34)&amp;",","")</f>
        <v/>
      </c>
      <c r="EK2" s="48" t="str">
        <f>IF(AD2="y",CHAR(34)&amp;AD$1&amp;CHAR(34)&amp;",","")</f>
        <v/>
      </c>
      <c r="EL2" s="48" t="str">
        <f>IF(AE2="y",CHAR(34)&amp;AE$1&amp;CHAR(34)&amp;",","")</f>
        <v/>
      </c>
      <c r="EM2" s="48" t="str">
        <f>IF(AF2="y",CHAR(34)&amp;AF$1&amp;CHAR(34)&amp;",","")</f>
        <v/>
      </c>
      <c r="EN2" s="48" t="str">
        <f>IF(AG2="y",CHAR(34)&amp;AG$1&amp;CHAR(34)&amp;",","")</f>
        <v/>
      </c>
      <c r="EO2" s="48" t="str">
        <f>IF(AH2="y",CHAR(34)&amp;AH$1&amp;CHAR(34)&amp;",","")</f>
        <v>"Center",</v>
      </c>
      <c r="EP2" s="48" t="str">
        <f>IF(AI2="y",CHAR(34)&amp;AI$1&amp;CHAR(34)&amp;",","")</f>
        <v/>
      </c>
      <c r="EQ2" s="48" t="str">
        <f>IF(AJ2="y",CHAR(34)&amp;AJ$1&amp;CHAR(34)&amp;",","")</f>
        <v/>
      </c>
      <c r="ER2" s="48" t="str">
        <f>IF(AK2="y",CHAR(34)&amp;AK$1&amp;CHAR(34)&amp;",","")</f>
        <v/>
      </c>
      <c r="ES2" s="48" t="str">
        <f>IF(AL2="y",CHAR(34)&amp;AL$1&amp;CHAR(34)&amp;",","")</f>
        <v/>
      </c>
      <c r="ET2" s="48" t="str">
        <f>IF(AM2="y",CHAR(34)&amp;AM$1&amp;CHAR(34)&amp;",","")</f>
        <v/>
      </c>
      <c r="EU2" s="48" t="str">
        <f>IF(AN2="y",CHAR(34)&amp;AN$1&amp;CHAR(34)&amp;",","")</f>
        <v/>
      </c>
      <c r="EV2" s="48" t="str">
        <f>IF(AO2="y",CHAR(34)&amp;AO$1&amp;CHAR(34)&amp;",","")</f>
        <v/>
      </c>
      <c r="EW2" s="48" t="str">
        <f>IF(AP2="y",CHAR(34)&amp;AP$1&amp;CHAR(34)&amp;",","")</f>
        <v/>
      </c>
      <c r="EX2" s="48" t="str">
        <f>IF(AQ2="y",CHAR(34)&amp;AQ$1&amp;CHAR(34)&amp;",","")</f>
        <v/>
      </c>
      <c r="EY2" s="48" t="str">
        <f>IF(AR2="y",CHAR(34)&amp;AR$1&amp;CHAR(34)&amp;",","")</f>
        <v/>
      </c>
      <c r="EZ2" s="48" t="str">
        <f>IF(AS2="y",CHAR(34)&amp;AS$1&amp;CHAR(34)&amp;",","")</f>
        <v/>
      </c>
      <c r="FA2" s="48" t="str">
        <f>IF(AT2&gt;0,CHAR(34)&amp;"sta"&amp;AZ2&amp;CHAR(34)&amp;",","")</f>
        <v>"staYEL",</v>
      </c>
      <c r="FB2" s="48" t="str">
        <f>IF(AND(AT2&gt;0,BA2&lt;&gt;""),CHAR(34)&amp;"sta"&amp;BA2&amp;CHAR(34)&amp;",","")</f>
        <v/>
      </c>
      <c r="FC2" s="48" t="str">
        <f>IF(AND(AT2&gt;0,BB2&lt;&gt;""),CHAR(34)&amp;"sta"&amp;BB2&amp;CHAR(34)&amp;",","")</f>
        <v/>
      </c>
      <c r="FD2" s="48" t="str">
        <f>IF(BV2="n",CHAR(34)&amp;"tcWHYE"&amp;CHAR(34)&amp;",",IF(BV2="y",CHAR(34)&amp;FD$1&amp;CHAR(34)&amp;",",""))</f>
        <v/>
      </c>
      <c r="FE2" s="48" t="str">
        <f>IF(COUNTIF(BL2:BT2,"BLU")=0,CHAR(34)&amp;"NO_BLU"&amp;CHAR(34)&amp;",", "")</f>
        <v/>
      </c>
      <c r="FF2" s="48" t="str">
        <f>IF(COUNTIF(BL2:BT2,"WHI")=0,CHAR(34)&amp;"NO_WHI"&amp;CHAR(34)&amp;",", "")</f>
        <v>"NO_WHI",</v>
      </c>
      <c r="FG2" s="48" t="str">
        <f>IF(COUNTIF(BL2:BT2,"RED")=0,CHAR(34)&amp;"NO_RED"&amp;CHAR(34)&amp;",", "")</f>
        <v/>
      </c>
      <c r="FH2" s="48" t="str">
        <f>IF(COUNTIF(BL2:BS2,"GRE")=0,CHAR(34)&amp;"NO_GRE"&amp;CHAR(34)&amp;",", "")</f>
        <v/>
      </c>
      <c r="FI2" s="48" t="str">
        <f>IF(COUNTIF(BL2:BT2,"YEL")=0,CHAR(34)&amp;"NO_YEL"&amp;CHAR(34)&amp;",", "")</f>
        <v/>
      </c>
      <c r="FJ2" s="48" t="str">
        <f>IF(COUNTIF(BL2:BT2,"BLA")=0,CHAR(34)&amp;"NO_BLA"&amp;CHAR(34)&amp;",", "")</f>
        <v>"NO_BLA",</v>
      </c>
      <c r="FK2" s="48" t="str">
        <f>IF(AND(FH2&lt;&gt;"",FF2&lt;&gt;""),CHAR(34)&amp;"WHGRNO"&amp;CHAR(34)&amp;",","")</f>
        <v/>
      </c>
      <c r="FL2" s="48" t="str">
        <f>IF(AND(FI2&lt;&gt;"",FF2&lt;&gt;""),CHAR(34)&amp;"WHYENO"&amp;CHAR(34)&amp;",","")</f>
        <v/>
      </c>
      <c r="FM2" s="48" t="str">
        <f>IF(AND(FJ2&lt;&gt;"",FF2&lt;&gt;""),CHAR(34)&amp;"BAWHNO"&amp;CHAR(34)&amp;",","")</f>
        <v>"BAWHNO",</v>
      </c>
      <c r="FN2" s="48" t="str">
        <f>IF(AND(FE2&lt;&gt;"",FF2&lt;&gt;""),CHAR(34)&amp;"BLWHNO"&amp;CHAR(34)&amp;",","")</f>
        <v/>
      </c>
      <c r="FO2" s="48" t="str">
        <f>IF(AND(FE2&lt;&gt;"",FG2&lt;&gt;""),CHAR(34)&amp;"BLRENO"&amp;CHAR(34)&amp;",","")</f>
        <v/>
      </c>
      <c r="FP2" s="48" t="str">
        <f>IF(AND(FF2&lt;&gt;"",FF2&lt;&gt;""),CHAR(34)&amp;"WHRENO"&amp;CHAR(34)&amp;",","")</f>
        <v>"WHRENO",</v>
      </c>
      <c r="FQ2" s="48" t="str">
        <f>IF(LEN(BF2)=3,CHAR(34)&amp;"001"&amp;BF2&amp;CHAR(34)&amp;",","")</f>
        <v>"001GRE",</v>
      </c>
      <c r="FR2" s="48" t="str">
        <f>IF(LEN(BG2)=3,CHAR(34)&amp;"002"&amp;BG2&amp;CHAR(34)&amp;",","")</f>
        <v>"002YEL",</v>
      </c>
      <c r="FS2" s="48" t="str">
        <f>IF(LEN(BH2)=3,CHAR(34)&amp;"003"&amp;BH2&amp;CHAR(34)&amp;",","")</f>
        <v>"003RED",</v>
      </c>
      <c r="FT2" s="48" t="str">
        <f>CHAR(34)&amp;"myr"&amp;BD2&amp;CHAR(34)&amp;","</f>
        <v>"myrEQ",</v>
      </c>
      <c r="FU2" s="48" t="str">
        <f>IF(AY2="y",CHAR(34)&amp;"island"&amp;CHAR(34)&amp;",","")</f>
        <v/>
      </c>
      <c r="FV2" s="48" t="str">
        <f>IF(BZ2="y",CHAR(34)&amp;"landlo"&amp;CHAR(34)&amp;",","")</f>
        <v>"landlo",</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
      </c>
      <c r="GA2" s="48" t="str">
        <f>IFERROR(IF(SEARCH("French",CB2)&gt;0,CHAR(34)&amp;"french"&amp;CHAR(34)&amp;",",""),"")</f>
        <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
      </c>
      <c r="GK2" s="48" t="str">
        <f>IF(GJ2="",CHAR(34)&amp;"HasSta"&amp;CHAR(34)&amp;",","")</f>
        <v>"HasSta",</v>
      </c>
      <c r="GL2" s="48" t="str">
        <f>IF(CQ2="y",CHAR(34)&amp;CQ$1&amp;CHAR(34)&amp;",","")</f>
        <v>"1Stars",</v>
      </c>
      <c r="GM2" s="48" t="str">
        <f>IF(CR2="y",CHAR(34)&amp;CR$1&amp;CHAR(34)&amp;",","")</f>
        <v/>
      </c>
      <c r="GN2" s="48" t="str">
        <f>IF(CS2="y",CHAR(34)&amp;CS$1&amp;CHAR(34)&amp;",","")</f>
        <v/>
      </c>
      <c r="GP2" s="48" t="str">
        <f>CHAR(34)&amp;AU2&amp;CHAR(34)</f>
        <v>""</v>
      </c>
      <c r="GS2" s="48" t="str">
        <f>SUBSTITUTE("["&amp;_xlfn.CONCAT(CW2:GN2)&amp;"]",",]","]")</f>
        <v>["4Color","lets08","startE","year19","year00","allhor","3Bands","Horizo","Circle","Center","staYEL","NO_WHI","NO_BLA","BAWHNO","WHRENO","001GRE","002YEL","003RED","myrEQ","landlo","HasSta","1Stars"]</v>
      </c>
      <c r="GT2" s="48" t="str">
        <f>IF(BL2&lt;&gt;"",CHAR(34)&amp;"cl_"&amp;BL2&amp;CHAR(34)&amp;",","")</f>
        <v>"cl_YEL",</v>
      </c>
      <c r="GU2" s="48" t="str">
        <f>IF(BM2&lt;&gt;"",CHAR(34)&amp;"cl_"&amp;BM2&amp;CHAR(34)&amp;",","")</f>
        <v>"cl_GRE",</v>
      </c>
      <c r="GV2" s="48" t="str">
        <f>IF(BN2&lt;&gt;"",CHAR(34)&amp;"cl_"&amp;BN2&amp;CHAR(34)&amp;",","")</f>
        <v>"cl_RED",</v>
      </c>
      <c r="GW2" s="48" t="str">
        <f>IF(BO2&lt;&gt;"",CHAR(34)&amp;"cl_"&amp;BO2&amp;CHAR(34)&amp;",","")</f>
        <v>"cl_BLU",</v>
      </c>
      <c r="GX2" s="48" t="str">
        <f>IF(BP2&lt;&gt;"",CHAR(34)&amp;"cl_"&amp;BP2&amp;CHAR(34)&amp;",","")</f>
        <v/>
      </c>
      <c r="GY2" s="48" t="str">
        <f>IF(BQ2&lt;&gt;"",CHAR(34)&amp;"cl_"&amp;BQ2&amp;CHAR(34)&amp;",","")</f>
        <v/>
      </c>
      <c r="GZ2" s="48" t="str">
        <f>IF(BR2&lt;&gt;"",CHAR(34)&amp;"cl_"&amp;BR2&amp;CHAR(34)&amp;",","")</f>
        <v/>
      </c>
      <c r="HA2" s="48" t="str">
        <f>IF(BS2&lt;&gt;"",CHAR(34)&amp;"cl_"&amp;BS2&amp;CHAR(34)&amp;",","")</f>
        <v/>
      </c>
      <c r="HB2" s="48" t="str">
        <f>IF(BT2&lt;&gt;"",CHAR(34)&amp;"cl_"&amp;BT2&amp;CHAR(34)&amp;",","")</f>
        <v/>
      </c>
      <c r="HC2" s="48" t="str">
        <f>SUBSTITUTE("["&amp;_xlfn.CONCAT(GT2:HB2)&amp;"]",",]","]")</f>
        <v>["cl_YEL","cl_GRE","cl_RED","cl_BLU"]</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{couname:"Ethiopia",year:"1996, 2009 ",region:"rgn_Africa",Colors:["cl_YEL","cl_GRE","cl_RED","cl_BLU"],Items:["4Color","lets08","startE","year19","year00","allhor","3Bands","Horizo","Circle","Center","staYEL","NO_WHI","NO_BLA","BAWHNO","WHRENO","001GRE","002YEL","003RED","myrEQ","landlo","HasSta","1Stars"],Flag:"https://i.ibb.co/BB0ZyxG/Ethiopia-Flag.png",HDFlag:"https://upload.wikimedia.org/wikipedia/commons/thumb/7/71/Flag_of_Ethiopia.svg/2560px-Flag_of_Ethiopia.svg.png",type:"", describe: "\nThe star represents the unity of all Ethiopian nationalities, its rays the bright prospects for their future. Blue is for peace, yellow for hope, justice, and equality. Red represents sacrifice for freedom and equality, while green is equated with labour, development, and fertility.", isnew:".", links: "https://en.wikipedia.org/wiki/Flag_of_Ethiopia"},</v>
      </c>
      <c r="HG2" s="73" t="str">
        <f>"{couname:"&amp;CT2&amp;(IF(HK2&lt;&gt;"",",subtype:"&amp;CHAR(34)&amp;HK2&amp;CHAR(34),""))&amp;",year:"&amp;HJ2&amp;",region:"&amp;CU2&amp;",Colors:"&amp;HC2&amp;",Items:"&amp;GS2&amp;",Flag:"&amp;CV2&amp;",HDFlag:"&amp;CHAR(34)&amp;E2&amp;CHAR(34)&amp;",type:"&amp;GP2&amp;", describe: "&amp;HI2&amp;", links: "&amp;HL2&amp;"},"</f>
        <v>{couname:"Ethiopia",year:"1996, 2009 ",region:"rgn_Africa",Colors:["cl_YEL","cl_GRE","cl_RED","cl_BLU"],Items:["4Color","lets08","startE","year19","year00","allhor","3Bands","Horizo","Circle","Center","staYEL","NO_WHI","NO_BLA","BAWHNO","WHRENO","001GRE","002YEL","003RED","myrEQ","landlo","HasSta","1Stars"],Flag:"https://i.ibb.co/BB0ZyxG/Ethiopia-Flag.png",HDFlag:"https://upload.wikimedia.org/wikipedia/commons/thumb/7/71/Flag_of_Ethiopia.svg/2560px-Flag_of_Ethiopia.svg.png",type:"", describe: "\nThe star represents the unity of all Ethiopian nationalities, its rays the bright prospects for their future. Blue is for peace, yellow for hope, justice, and equality. Red represents sacrifice for freedom and equality, while green is equated with labour, development, and fertility.", links: "https://en.wikipedia.org/wiki/Flag_of_Ethiopia"},</v>
      </c>
      <c r="HH2" s="48" t="str">
        <f>IF(P2&lt;&gt;"",CHAR(34)&amp;"\n"&amp;P2&amp;CHAR(34),CHAR(34)&amp;CHAR(34))</f>
        <v>"\nThe star represents the unity of all Ethiopian nationalities, its rays the bright prospects for their future. Blue is for peace, yellow for hope, justice, and equality. Red represents sacrifice for freedom and equality, while green is equated with labour, development, and fertility."</v>
      </c>
      <c r="HI2" s="48" t="str">
        <f>IF(J2=0,CHAR(34)&amp;CHAR(34),HH2)</f>
        <v>"\nThe star represents the unity of all Ethiopian nationalities, its rays the bright prospects for their future. Blue is for peace, yellow for hope, justice, and equality. Red represents sacrifice for freedom and equality, while green is equated with labour, development, and fertility."</v>
      </c>
      <c r="HJ2" s="48" t="str">
        <f>CHAR(34)&amp;O2&amp;CHAR(34)</f>
        <v>"1996, 2009 "</v>
      </c>
      <c r="HL2" s="48" t="str">
        <f>CHAR(34)&amp;I2&amp;CHAR(34)</f>
        <v>"https://en.wikipedia.org/wiki/Flag_of_Ethiopia"</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{"couname":"Ethiopia","year":"1996, 2009 ","region":"rgn_Africa","Colors":["cl_YEL","cl_GRE","cl_RED","cl_BLU"],"Items":["4Color","lets08","startE","year19","year00","allhor","3Bands","Horizo","Circle","Center","staYEL","NO_WHI","NO_BLA","BAWHNO","WHRENO","001GRE","002YEL","003RED","myrEQ","landlo","HasSta","1Stars"],"Flag":"https://i.ibb.co/BB0ZyxG/Ethiopia-Flag.png","HDFlag":"https://upload.wikimedia.org/wikipedia/commons/thumb/7/71/Flag_of_Ethiopia.svg/2560px-Flag_of_Ethiopia.svg.png","type":"", "describe": "\nThe star represents the unity of all Ethiopian nationalities, its rays the bright prospects for their future. Blue is for peace, yellow for hope, justice, and equality. Red represents sacrifice for freedom and equality, while green is equated with labour, development, and fertility.", "isnew": ".", "links": "https://en.wikipedia.org/wiki/Flag_of_Ethiopia"},</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{"couname":"Ethiopia","year":"1996, 2009 ","region":"rgn_Africa","Colors":["cl_YEL","cl_GRE","cl_RED","cl_BLU"],"Items":["4Color","lets08","startE","year19","year00","allhor","3Bands","Horizo","Circle","Center","staYEL","NO_WHI","NO_BLA","BAWHNO","WHRENO","001GRE","002YEL","003RED","myrEQ","landlo","HasSta","1Stars"],"Flag":"https://i.ibb.co/BB0ZyxG/Ethiopia-Flag.png","HDFlag":"https://upload.wikimedia.org/wikipedia/commons/thumb/7/71/Flag_of_Ethiopia.svg/2560px-Flag_of_Ethiopia.svg.png","type":"", "describe": "\nThe star represents the unity of all Ethiopian nationalities, its rays the bright prospects for their future. Blue is for peace, yellow for hope, justice, and equality. Red represents sacrifice for freedom and equality, while green is equated with labour, development, and fertility.", "isnew": ".", "links": "https://en.wikipedia.org/wiki/Flag_of_Ethiopia"},</v>
      </c>
      <c r="HO2" s="75"/>
      <c r="HP2" s="48" t="str" cm="1">
        <f t="array" ref="HP2">IF(_xlfn.TEXTJOIN(", ", TRUE, IF(ISNUMBER(SEARCH("BLA", BL2:BT2)), COLUMN(BL2:BT2) - COLUMN(BL2) + 1, ""))&lt;&gt;"","BLA","")</f>
        <v/>
      </c>
      <c r="HQ2" s="48" t="str" cm="1">
        <f t="array" ref="HQ2">IF(_xlfn.TEXTJOIN(", ", TRUE, IF(ISNUMBER(SEARCH("BLU", BL2:BT2)), COLUMN(BL2:BT2) - COLUMN(BL2) + 1, ""))&lt;&gt;"","BLU","")</f>
        <v>BLU</v>
      </c>
      <c r="HR2" s="48" t="str" cm="1">
        <f t="array" ref="HR2">IF(_xlfn.TEXTJOIN(", ", TRUE, IF(ISNUMBER(SEARCH("GRE", BL2:BT2)), COLUMN(BL2:BT2) - COLUMN(BL2) + 1, ""))&lt;&gt;"","GRE","")</f>
        <v>GRE</v>
      </c>
      <c r="HS2" s="48" t="str" cm="1">
        <f t="array" ref="HS2">IF(_xlfn.TEXTJOIN(", ", TRUE, IF(ISNUMBER(SEARCH("RED", BL2:BT2)), COLUMN(BL2:BT2) - COLUMN(BL2) + 1, ""))&lt;&gt;"","RED","")</f>
        <v>RED</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
      </c>
      <c r="HY2" s="76"/>
      <c r="HZ2" s="76"/>
      <c r="IA2" s="6"/>
      <c r="IB2" s="6"/>
      <c r="IC2" s="77"/>
      <c r="ID2" s="77"/>
      <c r="IE2" s="77"/>
      <c r="IF2" s="77"/>
      <c r="IG2" s="77"/>
      <c r="IH2" s="77"/>
      <c r="II2" s="77"/>
      <c r="IJ2" s="77"/>
      <c r="IK2" s="77"/>
      <c r="IL2" s="48">
        <f>SUM(IC2:IK2)</f>
        <v>0</v>
      </c>
      <c r="IM2" s="45">
        <f>COUNTIF(IC2:IK2,"&gt;0")-CG2</f>
        <v>-4</v>
      </c>
      <c r="IN2" s="78" t="str">
        <f>"http://mkweb.bcgsc.ca/color-summarizer/?url="&amp;D2&amp;"&amp;precision=low&amp;num_clusters="&amp;CG2&amp;"&amp;text=1"</f>
        <v>http://mkweb.bcgsc.ca/color-summarizer/?url=https://i.ibb.co/BB0ZyxG/Ethiopia-Flag.png&amp;precision=low&amp;num_clusters=4&amp;text=1</v>
      </c>
      <c r="IO2" s="48" t="str">
        <f>IF(HP2&lt;&gt;"",CHAR(34)&amp;"black"&amp;CHAR(34),"")</f>
        <v/>
      </c>
      <c r="IP2" s="48" t="str">
        <f>IF(HQ2&lt;&gt;"",CHAR(34)&amp;"blue"&amp;CHAR(34),"")</f>
        <v>"blue"</v>
      </c>
      <c r="IQ2" s="48" t="str">
        <f>IF(HR2&lt;&gt;"",CHAR(34)&amp;"green"&amp;CHAR(34),"")</f>
        <v>"green"</v>
      </c>
      <c r="IR2" s="48" t="str">
        <f>IF(HS2&lt;&gt;"",CHAR(34)&amp;"red"&amp;CHAR(34),"")</f>
        <v>"red"</v>
      </c>
      <c r="IS2" s="48" t="str">
        <f>IF(HT2&lt;&gt;"",CHAR(34)&amp;"yellow"&amp;CHAR(34),"")</f>
        <v>"yellow"</v>
      </c>
      <c r="IT2" s="48" t="str">
        <f>IF(HU2&lt;&gt;"",CHAR(34)&amp;"orange"&amp;CHAR(34),"")</f>
        <v/>
      </c>
      <c r="IU2" s="48" t="str">
        <f>IF(HV2&lt;&gt;"",CHAR(34)&amp;"brown"&amp;CHAR(34),"")</f>
        <v/>
      </c>
      <c r="IV2" s="48" t="str">
        <f>IF(HW2&lt;&gt;"",CHAR(34)&amp;"purple"&amp;CHAR(34),"")</f>
        <v/>
      </c>
      <c r="IW2" s="48" t="str">
        <f>IF(HX2&lt;&gt;"",CHAR(34)&amp;"white"&amp;CHAR(34),"")</f>
        <v/>
      </c>
      <c r="IX2" s="48" t="str">
        <f>"{"&amp;CHAR(34)&amp;"url"&amp;CHAR(34)&amp;":"&amp;CHAR(34)&amp;IN2&amp;CHAR(34)&amp;","&amp;CHAR(34)&amp;"name"&amp;CHAR(34)&amp;":"&amp;CHAR(34)&amp;A2&amp;CHAR(34)&amp;"},"</f>
        <v>{"url":"http://mkweb.bcgsc.ca/color-summarizer/?url=https://i.ibb.co/BB0ZyxG/Ethiopia-Flag.png&amp;precision=low&amp;num_clusters=4&amp;text=1","name":"Ethiopia"},</v>
      </c>
      <c r="IY2" s="48">
        <v>72</v>
      </c>
    </row>
    <row r="3" spans="1:259" s="48" customFormat="1" ht="38.4" customHeight="1" thickBot="1" x14ac:dyDescent="0.35">
      <c r="A3" s="79" t="s">
        <v>602</v>
      </c>
      <c r="B3" s="40" t="e" vm="43">
        <v>#VALUE!</v>
      </c>
      <c r="C3" s="41">
        <v>2</v>
      </c>
      <c r="D3" s="42" t="s">
        <v>603</v>
      </c>
      <c r="E3" s="43" t="s">
        <v>604</v>
      </c>
      <c r="F3" s="44" t="s">
        <v>163</v>
      </c>
      <c r="G3" s="45">
        <f>COUNTIF($A$1:$A$8379,A3)</f>
        <v>1</v>
      </c>
      <c r="H3" s="46"/>
      <c r="I3" s="47" t="s">
        <v>605</v>
      </c>
      <c r="J3" s="48" t="str">
        <f>""</f>
        <v/>
      </c>
      <c r="K3" s="49"/>
      <c r="L3" s="50"/>
      <c r="M3" s="50"/>
      <c r="N3" s="51" t="s">
        <v>180</v>
      </c>
      <c r="O3" s="52" t="s">
        <v>170</v>
      </c>
      <c r="P3" s="53" t="s">
        <v>606</v>
      </c>
      <c r="Q3" s="54">
        <v>2</v>
      </c>
      <c r="R3" s="55" t="s">
        <v>180</v>
      </c>
      <c r="S3" s="56">
        <v>0</v>
      </c>
      <c r="T3" s="57" t="s">
        <v>164</v>
      </c>
      <c r="U3" s="58" t="s">
        <v>164</v>
      </c>
      <c r="V3" s="58" t="s">
        <v>164</v>
      </c>
      <c r="W3" s="58" t="s">
        <v>164</v>
      </c>
      <c r="X3" s="58" t="s">
        <v>167</v>
      </c>
      <c r="Y3" s="58" t="s">
        <v>167</v>
      </c>
      <c r="Z3" s="58" t="s">
        <v>164</v>
      </c>
      <c r="AA3" s="58" t="s">
        <v>167</v>
      </c>
      <c r="AB3" s="58" t="s">
        <v>167</v>
      </c>
      <c r="AC3" s="58" t="s">
        <v>164</v>
      </c>
      <c r="AD3" s="58" t="s">
        <v>164</v>
      </c>
      <c r="AE3" s="58" t="s">
        <v>164</v>
      </c>
      <c r="AF3" s="59" t="s">
        <v>164</v>
      </c>
      <c r="AG3" s="59" t="s">
        <v>164</v>
      </c>
      <c r="AH3" s="59" t="s">
        <v>167</v>
      </c>
      <c r="AI3" s="59" t="s">
        <v>164</v>
      </c>
      <c r="AJ3" s="59" t="s">
        <v>164</v>
      </c>
      <c r="AK3" s="59" t="s">
        <v>164</v>
      </c>
      <c r="AL3" s="59" t="s">
        <v>164</v>
      </c>
      <c r="AM3" s="59" t="s">
        <v>164</v>
      </c>
      <c r="AN3" s="59" t="s">
        <v>164</v>
      </c>
      <c r="AO3" s="59" t="s">
        <v>167</v>
      </c>
      <c r="AP3" s="59" t="s">
        <v>164</v>
      </c>
      <c r="AQ3" s="59" t="s">
        <v>164</v>
      </c>
      <c r="AR3" s="59" t="s">
        <v>164</v>
      </c>
      <c r="AS3" s="59" t="s">
        <v>164</v>
      </c>
      <c r="AT3" s="60">
        <v>1</v>
      </c>
      <c r="AU3" s="59" t="s">
        <v>171</v>
      </c>
      <c r="AV3" s="59" t="str">
        <f>IF(LEFT(A3,1)="[",LEFT(A3,5)&amp;AU3&amp;A3,"")</f>
        <v>[ETH]Capital City[ETH] Addis Ababa</v>
      </c>
      <c r="AW3" s="59" t="str">
        <f t="shared" ref="AW3:AW4" si="1">C3&amp;H3&amp;A3</f>
        <v>2[ETH] Addis Ababa</v>
      </c>
      <c r="AX3" s="61"/>
      <c r="AY3" s="61"/>
      <c r="AZ3" s="62" t="s">
        <v>159</v>
      </c>
      <c r="BA3" s="62" t="s">
        <v>172</v>
      </c>
      <c r="BB3" s="62"/>
      <c r="BC3" s="63"/>
      <c r="BD3" s="64" t="s">
        <v>159</v>
      </c>
      <c r="BE3" s="47"/>
      <c r="BF3" s="64" t="s">
        <v>172</v>
      </c>
      <c r="BG3" s="64" t="s">
        <v>172</v>
      </c>
      <c r="BH3" s="64" t="s">
        <v>172</v>
      </c>
      <c r="BI3" s="64"/>
      <c r="BJ3" s="64"/>
      <c r="BK3" s="47"/>
      <c r="BL3" s="64" t="s">
        <v>172</v>
      </c>
      <c r="BM3" s="64" t="s">
        <v>152</v>
      </c>
      <c r="BN3" s="64" t="s">
        <v>153</v>
      </c>
      <c r="BO3" s="64" t="s">
        <v>154</v>
      </c>
      <c r="BP3" s="64" t="s">
        <v>155</v>
      </c>
      <c r="BQ3" s="64" t="s">
        <v>156</v>
      </c>
      <c r="BR3" s="64" t="s">
        <v>172</v>
      </c>
      <c r="BS3" s="64" t="s">
        <v>172</v>
      </c>
      <c r="BT3" s="64" t="s">
        <v>159</v>
      </c>
      <c r="BU3" s="65"/>
      <c r="BV3" s="66"/>
      <c r="BW3" s="66">
        <v>0</v>
      </c>
      <c r="BX3" s="47"/>
      <c r="CB3" s="6"/>
      <c r="CC3" s="6"/>
      <c r="CD3" s="67">
        <v>0</v>
      </c>
      <c r="CE3" s="67">
        <v>0</v>
      </c>
      <c r="CF3" s="67" t="e">
        <v>#REF!</v>
      </c>
      <c r="CG3" s="68" cm="1">
        <f t="array" ref="CG3">SUMPRODUCT(--(LEN(TRIM(BL3:BT3))&gt;0))</f>
        <v>6</v>
      </c>
      <c r="CH3" s="59" t="str">
        <f>IF(CG3=2,"y","n")</f>
        <v>n</v>
      </c>
      <c r="CI3" s="59" t="str">
        <f>IF(CG3=3,"y","n")</f>
        <v>n</v>
      </c>
      <c r="CJ3" s="59" t="str">
        <f>IF(CG3=4,"y","n")</f>
        <v>n</v>
      </c>
      <c r="CK3" s="59" t="str">
        <f>IF(CG3&gt;4,"y","n")</f>
        <v>y</v>
      </c>
      <c r="CL3" s="59" t="str">
        <f>IF(S3=0,"y","n")</f>
        <v>y</v>
      </c>
      <c r="CM3" s="59" t="str">
        <f>IF(S3=2,"y","n")</f>
        <v>n</v>
      </c>
      <c r="CN3" s="59" t="str">
        <f>IF(S3=3,"y","n")</f>
        <v>n</v>
      </c>
      <c r="CO3" s="59" t="str">
        <f>IF(S3&gt;=4,"y","n")</f>
        <v>n</v>
      </c>
      <c r="CP3" s="59" t="str">
        <f>IF(AT3=0,"y","n")</f>
        <v>n</v>
      </c>
      <c r="CQ3" s="59" t="str">
        <f>IF(AT3=1,"y","n")</f>
        <v>y</v>
      </c>
      <c r="CR3" s="59" t="str">
        <f>IF(AT3=2,"y","n")</f>
        <v>n</v>
      </c>
      <c r="CS3" s="59" t="str">
        <f>IF(AT3&gt;=3,"y","n")</f>
        <v>n</v>
      </c>
      <c r="CT3" s="69" t="str">
        <f>CHAR(34)&amp;A3&amp;CHAR(34)</f>
        <v>"[ETH] Addis Ababa"</v>
      </c>
      <c r="CU3" s="70" t="str">
        <f>CHAR(34)&amp;"rgn_"&amp;R3&amp;CHAR(34)</f>
        <v>"rgn_Africa"</v>
      </c>
      <c r="CV3" s="48" t="str">
        <f>CHAR(34)&amp;D3&amp;CHAR(34)</f>
        <v>"https://upload.wikimedia.org/wikipedia/commons/thumb/6/6f/Flag_of_Addis_Ababa.svg/640px-Flag_of_Addis_Ababa.svg.png"</v>
      </c>
      <c r="CW3" s="48" t="str">
        <f>IF(CH3="y",CHAR(34)&amp;CH$1&amp;CHAR(34)&amp;",","")</f>
        <v/>
      </c>
      <c r="CX3" s="48" t="str">
        <f>IF(CI3="y",CHAR(34)&amp;CI$1&amp;CHAR(34)&amp;",","")</f>
        <v/>
      </c>
      <c r="CY3" s="48" t="str">
        <f>IF(CJ3="y",CHAR(34)&amp;CJ$1&amp;CHAR(34)&amp;",","")</f>
        <v/>
      </c>
      <c r="CZ3" s="48" t="str">
        <f>IF(CK3="y",CHAR(34)&amp;CK$1&amp;CHAR(34)&amp;",","")</f>
        <v>"5+Colo",</v>
      </c>
      <c r="DA3" s="48" t="str">
        <f>IF(Q3&gt;1,CHAR(34)&amp;"words2"&amp;CHAR(34)&amp;",","")</f>
        <v>"words2",</v>
      </c>
      <c r="DB3" s="48" t="str">
        <f>IF(Q3&gt;2,CHAR(34)&amp;"words3"&amp;CHAR(34)&amp;",","")</f>
        <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"lets10",</v>
      </c>
      <c r="DE3" s="48" t="str">
        <f>CHAR(34)&amp;"start"&amp;IFERROR(LEFT(SUBSTITUTE(A3,"["&amp;MID(A3,FIND("[",A3)+1,FIND("]",A3)-FIND("[",A3)-1)&amp;"] ",""),1),LEFT(A3,1))&amp;CHAR(34)&amp;","</f>
        <v>"startA",</v>
      </c>
      <c r="DF3" s="48" t="str">
        <f>IFERROR(IF(SEARCH("tan",A3)&gt;0,CHAR(34)&amp;"withtn"&amp;CHAR(34)&amp;",",""),"")</f>
        <v/>
      </c>
      <c r="DG3" s="48" t="str">
        <f>IFERROR(IF(SEARCH("q",A3)&gt;0,CHAR(34)&amp;"with_q"&amp;CHAR(34)&amp;",",""),"")</f>
        <v/>
      </c>
      <c r="DH3" s="48" t="str">
        <f>IFERROR(IF(SEARCH("v",A3)&gt;0,CHAR(34)&amp;"with_v"&amp;CHAR(34)&amp;",",""),"")</f>
        <v/>
      </c>
      <c r="DI3" s="48" t="str">
        <f>IFERROR(IF(SEARCH("w",A3)&gt;0,CHAR(34)&amp;"with_w"&amp;CHAR(34)&amp;",",""),"")</f>
        <v/>
      </c>
      <c r="DJ3" s="48" t="str">
        <f>IFERROR(IF(SEARCH("y",A3)&gt;0,CHAR(34)&amp;"with_y"&amp;CHAR(34)&amp;",",""),"")</f>
        <v/>
      </c>
      <c r="DK3" s="48" t="str">
        <f>IFERROR(IF(SEARCH("z",A3)&gt;0,CHAR(34)&amp;"with_z"&amp;CHAR(34)&amp;",",""),"")</f>
        <v/>
      </c>
      <c r="DL3" s="48" t="str">
        <f>IF(CG3=2, CHAR(34) &amp; _xlfn.TEXTJOIN("", TRUE, _xlfn._xlws.SORT(HP3:HX3)) &amp; CHAR(34) &amp; ",", "")</f>
        <v/>
      </c>
      <c r="DM3" s="48" t="str" cm="1">
        <f t="array" ref="DM3">IF(CG3=3,CHAR(34) &amp; _xlfn.TEXTJOIN("", TRUE, RIGHT(HP3:HX3, 2)) &amp; CHAR(34) &amp; ",", "")</f>
        <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
      </c>
      <c r="DP3" s="6" t="str">
        <f>IF(AND(ISNUMBER(SEARCH("20", O3)), ISERROR(SEARCH("1920", O3))), CHAR(34)&amp;"year00"&amp;CHAR(34)&amp;",", "")</f>
        <v/>
      </c>
      <c r="DQ3" s="6" t="str">
        <f>IF(CC3="y",CHAR(34)&amp;"soviet"&amp;CHAR(34)&amp;",","")</f>
        <v/>
      </c>
      <c r="DR3" s="6" t="str">
        <f>IF(BY3="y",CHAR(34)&amp;"dgband"&amp;CHAR(34)&amp;",","")</f>
        <v/>
      </c>
      <c r="DS3" s="6" t="str">
        <f>IF(W3="y",IF(AND(V3="n",BY3&lt;&gt;"y"),CHAR(34)&amp;"allver"&amp;CHAR(34)&amp;",",""),"")</f>
        <v/>
      </c>
      <c r="DT3" s="6" t="str">
        <f>IF(V3="y",IF(AND(W3="n",BY3&lt;&gt;"y"),CHAR(34)&amp;"allhor"&amp;CHAR(34)&amp;",",""),"")</f>
        <v/>
      </c>
      <c r="DU3" s="6" t="str">
        <f>IF(BY3="y",IF(AND(W3="n",V3="n"),CHAR(34)&amp;"alldia"&amp;CHAR(34)&amp;",",""),"")</f>
        <v/>
      </c>
      <c r="DW3" s="48" t="str">
        <f>IF(CL3="y",CHAR(34)&amp;CL$1&amp;CHAR(34)&amp;",","")</f>
        <v>"NoBand",</v>
      </c>
      <c r="DX3" s="48" t="str">
        <f>IF(CM3="y",CHAR(34)&amp;CM$1&amp;CHAR(34)&amp;",","")</f>
        <v/>
      </c>
      <c r="DY3" s="48" t="str">
        <f>IF(CN3="y",CHAR(34)&amp;CN$1&amp;CHAR(34)&amp;",","")</f>
        <v/>
      </c>
      <c r="DZ3" s="48" t="str">
        <f>IF(CO3="y",CHAR(34)&amp;CO$1&amp;CHAR(34)&amp;",","")</f>
        <v/>
      </c>
      <c r="EA3" s="48" t="str">
        <f>IF(T3="y",CHAR(34)&amp;T$1&amp;CHAR(34)&amp;",","")</f>
        <v/>
      </c>
      <c r="EB3" s="48" t="str">
        <f>IF(U3="y",CHAR(34)&amp;U$1&amp;CHAR(34)&amp;",","")</f>
        <v/>
      </c>
      <c r="EC3" s="48" t="str">
        <f>IF(V3="y",CHAR(34)&amp;V$1&amp;CHAR(34)&amp;",","")</f>
        <v/>
      </c>
      <c r="ED3" s="48" t="str">
        <f>IF(W3="y",CHAR(34)&amp;W$1&amp;CHAR(34)&amp;",","")</f>
        <v/>
      </c>
      <c r="EE3" s="48" t="str">
        <f>IF(X3="y",CHAR(34)&amp;X$1&amp;CHAR(34)&amp;",","")</f>
        <v>"Circle",</v>
      </c>
      <c r="EF3" s="48" t="str">
        <f>IF(AND(Y3&lt;&gt;"n",Y3&lt;&gt;""),CHAR(34)&amp;Y$1&amp;CHAR(34)&amp;",","")</f>
        <v>"Animal",</v>
      </c>
      <c r="EG3" s="48" t="str">
        <f>IF(Z3="y",CHAR(34)&amp;Z$1&amp;CHAR(34)&amp;",","")</f>
        <v/>
      </c>
      <c r="EH3" s="48" t="str">
        <f>IF(AA3="y",CHAR(34)&amp;AA$1&amp;CHAR(34)&amp;",","")</f>
        <v>"Plants",</v>
      </c>
      <c r="EI3" s="48" t="str">
        <f>IF(AB3="y",CHAR(34)&amp;AB$1&amp;CHAR(34)&amp;",","")</f>
        <v>"Texted",</v>
      </c>
      <c r="EJ3" s="48" t="str">
        <f>IF(AC3="y",CHAR(34)&amp;AC$1&amp;CHAR(34)&amp;",","")</f>
        <v/>
      </c>
      <c r="EK3" s="48" t="str">
        <f>IF(AD3="y",CHAR(34)&amp;AD$1&amp;CHAR(34)&amp;",","")</f>
        <v/>
      </c>
      <c r="EL3" s="48" t="str">
        <f>IF(AE3="y",CHAR(34)&amp;AE$1&amp;CHAR(34)&amp;",","")</f>
        <v/>
      </c>
      <c r="EM3" s="48" t="str">
        <f>IF(AF3="y",CHAR(34)&amp;AF$1&amp;CHAR(34)&amp;",","")</f>
        <v/>
      </c>
      <c r="EN3" s="48" t="str">
        <f>IF(AG3="y",CHAR(34)&amp;AG$1&amp;CHAR(34)&amp;",","")</f>
        <v/>
      </c>
      <c r="EO3" s="48" t="str">
        <f>IF(AH3="y",CHAR(34)&amp;AH$1&amp;CHAR(34)&amp;",","")</f>
        <v>"Center",</v>
      </c>
      <c r="EP3" s="48" t="str">
        <f>IF(AI3="y",CHAR(34)&amp;AI$1&amp;CHAR(34)&amp;",","")</f>
        <v/>
      </c>
      <c r="EQ3" s="48" t="str">
        <f>IF(AJ3="y",CHAR(34)&amp;AJ$1&amp;CHAR(34)&amp;",","")</f>
        <v/>
      </c>
      <c r="ER3" s="48" t="str">
        <f>IF(AK3="y",CHAR(34)&amp;AK$1&amp;CHAR(34)&amp;",","")</f>
        <v/>
      </c>
      <c r="ES3" s="48" t="str">
        <f>IF(AL3="y",CHAR(34)&amp;AL$1&amp;CHAR(34)&amp;",","")</f>
        <v/>
      </c>
      <c r="ET3" s="48" t="str">
        <f>IF(AM3="y",CHAR(34)&amp;AM$1&amp;CHAR(34)&amp;",","")</f>
        <v/>
      </c>
      <c r="EU3" s="48" t="str">
        <f>IF(AN3="y",CHAR(34)&amp;AN$1&amp;CHAR(34)&amp;",","")</f>
        <v/>
      </c>
      <c r="EV3" s="48" t="str">
        <f>IF(AO3="y",CHAR(34)&amp;AO$1&amp;CHAR(34)&amp;",","")</f>
        <v>"Builds",</v>
      </c>
      <c r="EW3" s="48" t="str">
        <f>IF(AP3="y",CHAR(34)&amp;AP$1&amp;CHAR(34)&amp;",","")</f>
        <v/>
      </c>
      <c r="EX3" s="48" t="str">
        <f>IF(AQ3="y",CHAR(34)&amp;AQ$1&amp;CHAR(34)&amp;",","")</f>
        <v/>
      </c>
      <c r="EY3" s="48" t="str">
        <f>IF(AR3="y",CHAR(34)&amp;AR$1&amp;CHAR(34)&amp;",","")</f>
        <v/>
      </c>
      <c r="EZ3" s="48" t="str">
        <f>IF(AS3="y",CHAR(34)&amp;AS$1&amp;CHAR(34)&amp;",","")</f>
        <v/>
      </c>
      <c r="FA3" s="48" t="str">
        <f>IF(AT3&gt;0,CHAR(34)&amp;"sta"&amp;AZ3&amp;CHAR(34)&amp;",","")</f>
        <v>"staWHI",</v>
      </c>
      <c r="FB3" s="48" t="str">
        <f>IF(AND(AT3&gt;0,BA3&lt;&gt;""),CHAR(34)&amp;"sta"&amp;BA3&amp;CHAR(34)&amp;",","")</f>
        <v/>
      </c>
      <c r="FD3" s="48" t="str">
        <f>IF(BV3="n",CHAR(34)&amp;"tcWHYE"&amp;CHAR(34)&amp;",",IF(BV3="y",CHAR(34)&amp;FD$1&amp;CHAR(34)&amp;",",""))</f>
        <v/>
      </c>
      <c r="FE3" s="48" t="str">
        <f>IF(COUNTIF(BL3:BT3,"BLU")=0,CHAR(34)&amp;"NO_BLU"&amp;CHAR(34)&amp;",", "")</f>
        <v/>
      </c>
      <c r="FF3" s="48" t="str">
        <f>IF(COUNTIF(BL3:BT3,"WHI")=0,CHAR(34)&amp;"NO_WHI"&amp;CHAR(34)&amp;",", "")</f>
        <v/>
      </c>
      <c r="FG3" s="48" t="str">
        <f>IF(COUNTIF(BL3:BT3,"RED")=0,CHAR(34)&amp;"NO_RED"&amp;CHAR(34)&amp;",", "")</f>
        <v/>
      </c>
      <c r="FH3" s="48" t="str">
        <f>IF(COUNTIF(BL3:BS3,"GRE")=0,CHAR(34)&amp;"NO_GRE"&amp;CHAR(34)&amp;",", "")</f>
        <v/>
      </c>
      <c r="FI3" s="48" t="str">
        <f>IF(COUNTIF(BL3:BT3,"YEL")=0,CHAR(34)&amp;"NO_YEL"&amp;CHAR(34)&amp;",", "")</f>
        <v/>
      </c>
      <c r="FJ3" s="48" t="str">
        <f>IF(COUNTIF(BL3:BT3,"BLA")=0,CHAR(34)&amp;"NO_BLA"&amp;CHAR(34)&amp;",", "")</f>
        <v>"NO_BLA",</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
      </c>
      <c r="FQ3" s="48" t="str">
        <f>IF(LEN(BF3)=3,CHAR(34)&amp;"001"&amp;BF3&amp;CHAR(34)&amp;",","")</f>
        <v/>
      </c>
      <c r="FR3" s="48" t="str">
        <f>IF(LEN(BG3)=3,CHAR(34)&amp;"002"&amp;BG3&amp;CHAR(34)&amp;",","")</f>
        <v/>
      </c>
      <c r="FS3" s="48" t="str">
        <f>IF(LEN(BH3)=3,CHAR(34)&amp;"003"&amp;BH3&amp;CHAR(34)&amp;",","")</f>
        <v/>
      </c>
      <c r="FT3" s="48" t="str">
        <f>CHAR(34)&amp;"myr"&amp;BD3&amp;CHAR(34)&amp;","</f>
        <v>"myrWHI",</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
      </c>
      <c r="GG3" s="48" t="str">
        <f>IF(BU3="y",CHAR(34)&amp;"unjack"&amp;CHAR(34)&amp;",","")</f>
        <v/>
      </c>
      <c r="GH3" s="48" t="str">
        <f>IF(CD3=1,CHAR(34)&amp;"southc"&amp;CHAR(34)&amp;",","")</f>
        <v/>
      </c>
      <c r="GI3" s="48" t="str">
        <f>IF(CE3=1,CHAR(34)&amp;"hasmap"&amp;CHAR(34)&amp;",","")</f>
        <v/>
      </c>
      <c r="GJ3" s="48" t="str">
        <f>IF(CP3="y",CHAR(34)&amp;CP$1&amp;CHAR(34)&amp;",","")</f>
        <v/>
      </c>
      <c r="GK3" s="48" t="str">
        <f>IF(GJ3="",CHAR(34)&amp;"HasSta"&amp;CHAR(34)&amp;",","")</f>
        <v>"HasSta",</v>
      </c>
      <c r="GL3" s="48" t="str">
        <f>IF(CQ3="y",CHAR(34)&amp;CQ$1&amp;CHAR(34)&amp;",","")</f>
        <v>"1Stars",</v>
      </c>
      <c r="GM3" s="48" t="str">
        <f>IF(CR3="y",CHAR(34)&amp;CR$1&amp;CHAR(34)&amp;",","")</f>
        <v/>
      </c>
      <c r="GN3" s="48" t="str">
        <f>IF(CS3="y",CHAR(34)&amp;CS$1&amp;CHAR(34)&amp;",","")</f>
        <v/>
      </c>
      <c r="GP3" s="48" t="str">
        <f>CHAR(34)&amp;AU3&amp;CHAR(34)</f>
        <v>"Capital City"</v>
      </c>
      <c r="GS3" s="48" t="str">
        <f>SUBSTITUTE("["&amp;_xlfn.CONCAT(CW3:GN3)&amp;"]",",]","]")</f>
        <v>["5+Colo","words2","lets10","startA","NoBand","Circle","Animal","Plants","Texted","Center","Builds","staWHI","NO_BLA","myrWHI","HasSta","1Stars"]</v>
      </c>
      <c r="GT3" s="48" t="str">
        <f>IF(BL3&lt;&gt;"",CHAR(34)&amp;"cl_"&amp;BL3&amp;CHAR(34)&amp;",","")</f>
        <v/>
      </c>
      <c r="GU3" s="48" t="str">
        <f>IF(BM3&lt;&gt;"",CHAR(34)&amp;"cl_"&amp;BM3&amp;CHAR(34)&amp;",","")</f>
        <v>"cl_BLU",</v>
      </c>
      <c r="GV3" s="48" t="str">
        <f>IF(BN3&lt;&gt;"",CHAR(34)&amp;"cl_"&amp;BN3&amp;CHAR(34)&amp;",","")</f>
        <v>"cl_GRE",</v>
      </c>
      <c r="GW3" s="48" t="str">
        <f>IF(BO3&lt;&gt;"",CHAR(34)&amp;"cl_"&amp;BO3&amp;CHAR(34)&amp;",","")</f>
        <v>"cl_RED",</v>
      </c>
      <c r="GX3" s="48" t="str">
        <f>IF(BP3&lt;&gt;"",CHAR(34)&amp;"cl_"&amp;BP3&amp;CHAR(34)&amp;",","")</f>
        <v>"cl_YEL",</v>
      </c>
      <c r="GY3" s="48" t="str">
        <f>IF(BQ3&lt;&gt;"",CHAR(34)&amp;"cl_"&amp;BQ3&amp;CHAR(34)&amp;",","")</f>
        <v>"cl_ORA",</v>
      </c>
      <c r="GZ3" s="48" t="str">
        <f>IF(BR3&lt;&gt;"",CHAR(34)&amp;"cl_"&amp;BR3&amp;CHAR(34)&amp;",","")</f>
        <v/>
      </c>
      <c r="HA3" s="48" t="str">
        <f>IF(BS3&lt;&gt;"",CHAR(34)&amp;"cl_"&amp;BS3&amp;CHAR(34)&amp;",","")</f>
        <v/>
      </c>
      <c r="HB3" s="48" t="str">
        <f>IF(BT3&lt;&gt;"",CHAR(34)&amp;"cl_"&amp;BT3&amp;CHAR(34)&amp;",","")</f>
        <v>"cl_WHI",</v>
      </c>
      <c r="HC3" s="48" t="str">
        <f>SUBSTITUTE("["&amp;_xlfn.CONCAT(GT3:HB3)&amp;"]",",]","]")</f>
        <v>["cl_BLU","cl_GRE","cl_RED","cl_YEL","cl_ORA","cl_WHI"]</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{couname:"[ETH] Addis Ababa",year:"???",region:"rgn_Africa",Colors:["cl_BLU","cl_GRE","cl_RED","cl_YEL","cl_ORA","cl_WHI"],Items:["5+Colo","words2","lets10","startA","NoBand","Circle","Animal","Plants","Texted","Center","Builds","staWHI","NO_BLA","myrWHI","HasSta","1Stars"],Flag:"https://upload.wikimedia.org/wikipedia/commons/thumb/6/6f/Flag_of_Addis_Ababa.svg/640px-Flag_of_Addis_Ababa.svg.png",HDFlag:"https://upload.wikimedia.org/wikipedia/commons/thumb/6/6f/Flag_of_Addis_Ababa.svg/2560px-Flag_of_Addis_Ababa.svg.png",type:"Capital City", describe: "\nSeal of the City on a white Background", isnew:".", links: "https://en.wikipedia.org/wiki/Addis_Ababa"},</v>
      </c>
      <c r="HG3" s="73" t="str">
        <f>"{couname:"&amp;CT3&amp;(IF(HK3&lt;&gt;"",",subtype:"&amp;CHAR(34)&amp;HK3&amp;CHAR(34),""))&amp;",year:"&amp;HJ3&amp;",region:"&amp;CU3&amp;",Colors:"&amp;HC3&amp;",Items:"&amp;GS3&amp;",Flag:"&amp;CV3&amp;",HDFlag:"&amp;CHAR(34)&amp;E3&amp;CHAR(34)&amp;",type:"&amp;GP3&amp;", describe: "&amp;HI3&amp;", links: "&amp;HL3&amp;"},"</f>
        <v>{couname:"[ETH] Addis Ababa",year:"???",region:"rgn_Africa",Colors:["cl_BLU","cl_GRE","cl_RED","cl_YEL","cl_ORA","cl_WHI"],Items:["5+Colo","words2","lets10","startA","NoBand","Circle","Animal","Plants","Texted","Center","Builds","staWHI","NO_BLA","myrWHI","HasSta","1Stars"],Flag:"https://upload.wikimedia.org/wikipedia/commons/thumb/6/6f/Flag_of_Addis_Ababa.svg/640px-Flag_of_Addis_Ababa.svg.png",HDFlag:"https://upload.wikimedia.org/wikipedia/commons/thumb/6/6f/Flag_of_Addis_Ababa.svg/2560px-Flag_of_Addis_Ababa.svg.png",type:"Capital City", describe: "\nSeal of the City on a white Background", links: "https://en.wikipedia.org/wiki/Addis_Ababa"},</v>
      </c>
      <c r="HH3" s="48" t="str">
        <f>IF(P3&lt;&gt;"",CHAR(34)&amp;"\n"&amp;P3&amp;CHAR(34),CHAR(34)&amp;CHAR(34))</f>
        <v>"\nSeal of the City on a white Background"</v>
      </c>
      <c r="HI3" s="48" t="str">
        <f>IF(J3=0,CHAR(34)&amp;CHAR(34),HH3)</f>
        <v>"\nSeal of the City on a white Background"</v>
      </c>
      <c r="HJ3" s="48" t="str">
        <f>CHAR(34)&amp;O3&amp;CHAR(34)</f>
        <v>"???"</v>
      </c>
      <c r="HL3" s="48" t="str">
        <f>CHAR(34)&amp;I3&amp;CHAR(34)</f>
        <v>"https://en.wikipedia.org/wiki/Addis_Ababa"</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{"couname":"[ETH] Addis Ababa","year":"???","region":"rgn_Africa","Colors":["cl_BLU","cl_GRE","cl_RED","cl_YEL","cl_ORA","cl_WHI"],"Items":["5+Colo","words2","lets10","startA","NoBand","Circle","Animal","Plants","Texted","Center","Builds","staWHI","NO_BLA","myrWHI","HasSta","1Stars"],"Flag":"https://upload.wikimedia.org/wikipedia/commons/thumb/6/6f/Flag_of_Addis_Ababa.svg/640px-Flag_of_Addis_Ababa.svg.png","HDFlag":"https://upload.wikimedia.org/wikipedia/commons/thumb/6/6f/Flag_of_Addis_Ababa.svg/2560px-Flag_of_Addis_Ababa.svg.png","type":"Capital City", "describe": "\nSeal of the City on a white Background", "isnew": ".", "links": "https://en.wikipedia.org/wiki/Addis_Ababa"},</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{"couname":"[ETH] Addis Ababa","year":"???","region":"rgn_Africa","Colors":["cl_BLU","cl_GRE","cl_RED","cl_YEL","cl_ORA","cl_WHI"],"Items":["5+Colo","words2","lets10","startA","NoBand","Circle","Animal","Plants","Texted","Center","Builds","staWHI","NO_BLA","myrWHI","HasSta","1Stars"],"Flag":"https://upload.wikimedia.org/wikipedia/commons/thumb/6/6f/Flag_of_Addis_Ababa.svg/640px-Flag_of_Addis_Ababa.svg.png","HDFlag":"https://upload.wikimedia.org/wikipedia/commons/thumb/6/6f/Flag_of_Addis_Ababa.svg/2560px-Flag_of_Addis_Ababa.svg.png","type":"Capital City", "describe": "\nSeal of the City on a white Background", "isnew": ".", "links": "https://en.wikipedia.org/wiki/Addis_Ababa"},</v>
      </c>
      <c r="HO3" s="75">
        <v>45596</v>
      </c>
      <c r="HP3" s="48" t="str" cm="1">
        <f t="array" ref="HP3">IF(_xlfn.TEXTJOIN(", ", TRUE, IF(ISNUMBER(SEARCH("BLA", BL3:BT3)), COLUMN(BL3:BT3) - COLUMN(BL3) + 1, ""))&lt;&gt;"","BLA","")</f>
        <v/>
      </c>
      <c r="HQ3" s="48" t="str" cm="1">
        <f t="array" ref="HQ3">IF(_xlfn.TEXTJOIN(", ", TRUE, IF(ISNUMBER(SEARCH("BLU", BL3:BT3)), COLUMN(BL3:BT3) - COLUMN(BL3) + 1, ""))&lt;&gt;"","BLU","")</f>
        <v>BLU</v>
      </c>
      <c r="HR3" s="48" t="str" cm="1">
        <f t="array" ref="HR3">IF(_xlfn.TEXTJOIN(", ", TRUE, IF(ISNUMBER(SEARCH("GRE", BL3:BT3)), COLUMN(BL3:BT3) - COLUMN(BL3) + 1, ""))&lt;&gt;"","GRE","")</f>
        <v>GRE</v>
      </c>
      <c r="HS3" s="48" t="str" cm="1">
        <f t="array" ref="HS3">IF(_xlfn.TEXTJOIN(", ", TRUE, IF(ISNUMBER(SEARCH("RED", BL3:BT3)), COLUMN(BL3:BT3) - COLUMN(BL3) + 1, ""))&lt;&gt;"","RED","")</f>
        <v>RED</v>
      </c>
      <c r="HT3" s="48" t="str" cm="1">
        <f t="array" ref="HT3">IF(_xlfn.TEXTJOIN(", ", TRUE, IF(ISNUMBER(SEARCH("YEL", BL3:BT3)), COLUMN(BL3:BT3) - COLUMN(BL3) + 1, ""))&lt;&gt;"","YEL","")</f>
        <v>YEL</v>
      </c>
      <c r="HU3" s="48" t="str" cm="1">
        <f t="array" ref="HU3">IF(_xlfn.TEXTJOIN(", ", TRUE, IF(ISNUMBER(SEARCH("ORA", BL3:BT3)), COLUMN(BL3:BT3) - COLUMN(BL3) + 1, ""))&lt;&gt;"","ORA","")</f>
        <v>ORA</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M3" s="45">
        <f>COUNTIF(IC3:IK3,"&gt;0")-CG3</f>
        <v>-6</v>
      </c>
      <c r="IN3" s="78" t="str">
        <f>"http://mkweb.bcgsc.ca/color-summarizer/?url="&amp;D3&amp;"&amp;precision=low&amp;num_clusters="&amp;CG3&amp;"&amp;text=1"</f>
        <v>http://mkweb.bcgsc.ca/color-summarizer/?url=https://upload.wikimedia.org/wikipedia/commons/thumb/6/6f/Flag_of_Addis_Ababa.svg/640px-Flag_of_Addis_Ababa.svg.png&amp;precision=low&amp;num_clusters=6&amp;text=1</v>
      </c>
      <c r="IO3" s="48" t="str">
        <f>IF(HP3&lt;&gt;"",CHAR(34)&amp;"black"&amp;CHAR(34),"")</f>
        <v/>
      </c>
      <c r="IP3" s="48" t="str">
        <f>IF(HQ3&lt;&gt;"",CHAR(34)&amp;"blue"&amp;CHAR(34),"")</f>
        <v>"blue"</v>
      </c>
      <c r="IQ3" s="48" t="str">
        <f>IF(HR3&lt;&gt;"",CHAR(34)&amp;"green"&amp;CHAR(34),"")</f>
        <v>"green"</v>
      </c>
      <c r="IR3" s="48" t="str">
        <f>IF(HS3&lt;&gt;"",CHAR(34)&amp;"red"&amp;CHAR(34),"")</f>
        <v>"red"</v>
      </c>
      <c r="IS3" s="48" t="str">
        <f>IF(HT3&lt;&gt;"",CHAR(34)&amp;"yellow"&amp;CHAR(34),"")</f>
        <v>"yellow"</v>
      </c>
      <c r="IT3" s="48" t="str">
        <f>IF(HU3&lt;&gt;"",CHAR(34)&amp;"orange"&amp;CHAR(34),"")</f>
        <v>"orange"</v>
      </c>
      <c r="IU3" s="48" t="str">
        <f>IF(HV3&lt;&gt;"",CHAR(34)&amp;"brown"&amp;CHAR(34),"")</f>
        <v/>
      </c>
      <c r="IV3" s="48" t="str">
        <f>IF(HW3&lt;&gt;"",CHAR(34)&amp;"purple"&amp;CHAR(34),"")</f>
        <v/>
      </c>
      <c r="IW3" s="48" t="str">
        <f>IF(HX3&lt;&gt;"",CHAR(34)&amp;"white"&amp;CHAR(34),"")</f>
        <v>"white"</v>
      </c>
      <c r="IX3" s="48" t="str">
        <f>"{"&amp;CHAR(34)&amp;"url"&amp;CHAR(34)&amp;":"&amp;CHAR(34)&amp;IN3&amp;CHAR(34)&amp;","&amp;CHAR(34)&amp;"name"&amp;CHAR(34)&amp;":"&amp;CHAR(34)&amp;A3&amp;CHAR(34)&amp;"},"</f>
        <v>{"url":"http://mkweb.bcgsc.ca/color-summarizer/?url=https://upload.wikimedia.org/wikipedia/commons/thumb/6/6f/Flag_of_Addis_Ababa.svg/640px-Flag_of_Addis_Ababa.svg.png&amp;precision=low&amp;num_clusters=6&amp;text=1","name":"[ETH] Addis Ababa"},</v>
      </c>
      <c r="IY3" s="48">
        <v>1277</v>
      </c>
    </row>
    <row r="4" spans="1:259" s="48" customFormat="1" ht="38.4" customHeight="1" thickBot="1" x14ac:dyDescent="0.35">
      <c r="A4" s="80" t="s">
        <v>607</v>
      </c>
      <c r="B4" s="40" t="e" vm="44">
        <v>#VALUE!</v>
      </c>
      <c r="C4" s="41" t="s">
        <v>173</v>
      </c>
      <c r="D4" s="42" t="s">
        <v>608</v>
      </c>
      <c r="E4" s="43" t="s">
        <v>609</v>
      </c>
      <c r="F4" s="44" t="s">
        <v>163</v>
      </c>
      <c r="G4" s="45">
        <f>COUNTIF($A$1:$A$8379,A4)</f>
        <v>1</v>
      </c>
      <c r="H4" s="46" t="s">
        <v>613</v>
      </c>
      <c r="I4" s="47" t="s">
        <v>610</v>
      </c>
      <c r="J4" s="48" t="str">
        <f>""</f>
        <v/>
      </c>
      <c r="K4" s="49"/>
      <c r="L4" s="50"/>
      <c r="M4" s="50"/>
      <c r="N4" s="51" t="s">
        <v>180</v>
      </c>
      <c r="O4" s="52" t="s">
        <v>611</v>
      </c>
      <c r="P4" s="53" t="s">
        <v>612</v>
      </c>
      <c r="Q4" s="54">
        <v>2</v>
      </c>
      <c r="R4" s="55" t="s">
        <v>180</v>
      </c>
      <c r="S4" s="56">
        <v>3</v>
      </c>
      <c r="T4" s="57" t="s">
        <v>164</v>
      </c>
      <c r="U4" s="58" t="s">
        <v>167</v>
      </c>
      <c r="V4" s="58" t="s">
        <v>167</v>
      </c>
      <c r="W4" s="58" t="s">
        <v>164</v>
      </c>
      <c r="X4" s="58" t="s">
        <v>164</v>
      </c>
      <c r="Y4" s="58" t="s">
        <v>167</v>
      </c>
      <c r="Z4" s="58" t="s">
        <v>167</v>
      </c>
      <c r="AA4" s="58" t="s">
        <v>164</v>
      </c>
      <c r="AB4" s="58" t="s">
        <v>164</v>
      </c>
      <c r="AC4" s="58" t="s">
        <v>164</v>
      </c>
      <c r="AD4" s="58" t="s">
        <v>164</v>
      </c>
      <c r="AE4" s="58" t="s">
        <v>164</v>
      </c>
      <c r="AF4" s="59" t="s">
        <v>164</v>
      </c>
      <c r="AG4" s="59" t="s">
        <v>167</v>
      </c>
      <c r="AH4" s="59" t="s">
        <v>167</v>
      </c>
      <c r="AI4" s="59" t="s">
        <v>164</v>
      </c>
      <c r="AJ4" s="59" t="s">
        <v>164</v>
      </c>
      <c r="AK4" s="59" t="s">
        <v>164</v>
      </c>
      <c r="AL4" s="59" t="s">
        <v>164</v>
      </c>
      <c r="AM4" s="59" t="s">
        <v>164</v>
      </c>
      <c r="AN4" s="59" t="s">
        <v>164</v>
      </c>
      <c r="AO4" s="59" t="s">
        <v>164</v>
      </c>
      <c r="AP4" s="59" t="s">
        <v>164</v>
      </c>
      <c r="AQ4" s="59" t="s">
        <v>167</v>
      </c>
      <c r="AR4" s="59" t="s">
        <v>164</v>
      </c>
      <c r="AS4" s="59" t="s">
        <v>164</v>
      </c>
      <c r="AT4" s="60">
        <v>0</v>
      </c>
      <c r="AU4" s="59" t="s">
        <v>174</v>
      </c>
      <c r="AV4" s="59" t="str">
        <f>IF(LEFT(A4,1)="[",LEFT(A4,5)&amp;AU4&amp;A4,"")</f>
        <v>[ETH]Historical[ETH] Ethiopian Empire</v>
      </c>
      <c r="AW4" s="59" t="str">
        <f t="shared" si="1"/>
        <v>3b[ETH] Other[ETH] Ethiopian Empire</v>
      </c>
      <c r="AX4" s="61"/>
      <c r="AY4" s="61"/>
      <c r="AZ4" s="62" t="s">
        <v>172</v>
      </c>
      <c r="BA4" s="62"/>
      <c r="BB4" s="62"/>
      <c r="BC4" s="63"/>
      <c r="BD4" s="64" t="s">
        <v>154</v>
      </c>
      <c r="BE4" s="47"/>
      <c r="BF4" s="64" t="s">
        <v>153</v>
      </c>
      <c r="BG4" s="64" t="s">
        <v>155</v>
      </c>
      <c r="BH4" s="64" t="s">
        <v>154</v>
      </c>
      <c r="BI4" s="64"/>
      <c r="BJ4" s="64"/>
      <c r="BK4" s="47"/>
      <c r="BL4" s="64" t="s">
        <v>151</v>
      </c>
      <c r="BM4" s="64" t="s">
        <v>172</v>
      </c>
      <c r="BN4" s="64" t="s">
        <v>153</v>
      </c>
      <c r="BO4" s="64" t="s">
        <v>154</v>
      </c>
      <c r="BP4" s="64" t="s">
        <v>155</v>
      </c>
      <c r="BQ4" s="64" t="s">
        <v>172</v>
      </c>
      <c r="BR4" s="64" t="s">
        <v>157</v>
      </c>
      <c r="BS4" s="64" t="s">
        <v>172</v>
      </c>
      <c r="BT4" s="64" t="s">
        <v>172</v>
      </c>
      <c r="BU4" s="65"/>
      <c r="BV4" s="66"/>
      <c r="BW4" s="66">
        <v>0</v>
      </c>
      <c r="BX4" s="47"/>
      <c r="CB4" s="6"/>
      <c r="CC4" s="6"/>
      <c r="CD4" s="67">
        <v>0</v>
      </c>
      <c r="CE4" s="67">
        <v>0</v>
      </c>
      <c r="CF4" s="67" t="e">
        <v>#REF!</v>
      </c>
      <c r="CG4" s="68" cm="1">
        <f t="array" ref="CG4">SUMPRODUCT(--(LEN(TRIM(BL4:BT4))&gt;0))</f>
        <v>5</v>
      </c>
      <c r="CH4" s="59" t="str">
        <f>IF(CG4=2,"y","n")</f>
        <v>n</v>
      </c>
      <c r="CI4" s="59" t="str">
        <f>IF(CG4=3,"y","n")</f>
        <v>n</v>
      </c>
      <c r="CJ4" s="59" t="str">
        <f>IF(CG4=4,"y","n")</f>
        <v>n</v>
      </c>
      <c r="CK4" s="59" t="str">
        <f>IF(CG4&gt;4,"y","n")</f>
        <v>y</v>
      </c>
      <c r="CL4" s="59" t="str">
        <f>IF(S4=0,"y","n")</f>
        <v>n</v>
      </c>
      <c r="CM4" s="59" t="str">
        <f>IF(S4=2,"y","n")</f>
        <v>n</v>
      </c>
      <c r="CN4" s="59" t="str">
        <f>IF(S4=3,"y","n")</f>
        <v>y</v>
      </c>
      <c r="CO4" s="59" t="str">
        <f>IF(S4&gt;=4,"y","n")</f>
        <v>n</v>
      </c>
      <c r="CP4" s="59" t="str">
        <f>IF(AT4=0,"y","n")</f>
        <v>y</v>
      </c>
      <c r="CQ4" s="59" t="str">
        <f>IF(AT4=1,"y","n")</f>
        <v>n</v>
      </c>
      <c r="CR4" s="59" t="str">
        <f>IF(AT4=2,"y","n")</f>
        <v>n</v>
      </c>
      <c r="CS4" s="59" t="str">
        <f>IF(AT4&gt;=3,"y","n")</f>
        <v>n</v>
      </c>
      <c r="CT4" s="69" t="str">
        <f>CHAR(34)&amp;A4&amp;CHAR(34)</f>
        <v>"[ETH] Ethiopian Empire"</v>
      </c>
      <c r="CU4" s="70" t="str">
        <f>CHAR(34)&amp;"rgn_"&amp;R4&amp;CHAR(34)</f>
        <v>"rgn_Africa"</v>
      </c>
      <c r="CV4" s="48" t="str">
        <f>CHAR(34)&amp;D4&amp;CHAR(34)</f>
        <v>"https://upload.wikimedia.org/wikipedia/commons/thumb/f/ff/Flag_of_Ethiopia_%281897%E2%80%931974%29.svg/640px-Flag_of_Ethiopia_%281897%E2%80%931974%29.svg.png"</v>
      </c>
      <c r="CW4" s="48" t="str">
        <f>IF(CH4="y",CHAR(34)&amp;CH$1&amp;CHAR(34)&amp;",","")</f>
        <v/>
      </c>
      <c r="CX4" s="48" t="str">
        <f>IF(CI4="y",CHAR(34)&amp;CI$1&amp;CHAR(34)&amp;",","")</f>
        <v/>
      </c>
      <c r="CY4" s="48" t="str">
        <f>IF(CJ4="y",CHAR(34)&amp;CJ$1&amp;CHAR(34)&amp;",","")</f>
        <v/>
      </c>
      <c r="CZ4" s="48" t="str">
        <f>IF(CK4="y",CHAR(34)&amp;CK$1&amp;CHAR(34)&amp;",","")</f>
        <v>"5+Colo",</v>
      </c>
      <c r="DA4" s="48" t="str">
        <f>IF(Q4&gt;1,CHAR(34)&amp;"words2"&amp;CHAR(34)&amp;",","")</f>
        <v>"words2",</v>
      </c>
      <c r="DB4" s="48" t="str">
        <f>IF(Q4&gt;2,CHAR(34)&amp;"words3"&amp;CHAR(34)&amp;",","")</f>
        <v/>
      </c>
      <c r="DC4" s="48" t="str">
        <f>IF(Q4=2,CHAR(34)&amp;"exact2"&amp;CHAR(34)&amp;",","")</f>
        <v>"exact2",</v>
      </c>
      <c r="DD4" s="48" t="str">
        <f>IF(LEN(CHAR(34)&amp;"lets"&amp;LEN(SUBSTITUTE(SUBSTITUTE(IFERROR(TRIM(SUBSTITUTE(SUBSTITUTE(SUBSTITUTE(IFERROR(TRIM(SUBSTITUTE(A4,MID(A4,FIND("(",A4),FIND(")",A4)-FIND("(",A4)+1),"")),A4)," ",""),"-",""),MID(SUBSTITUTE(SUBSTITUTE(IFERROR(TRIM(SUBSTITUTE(A4,MID(A4,FIND("(",A4),FIND(")",A4)-FIND("(",A4)+1),"")),A4)," ",""),"-",""),FIND("[",SUBSTITUTE(SUBSTITUTE(IFERROR(TRIM(SUBSTITUTE(A4,MID(A4,FIND("(",A4),FIND(")",A4)-FIND("(",A4)+1),"")),A4)," ",""),"-","")),FIND("]",SUBSTITUTE(SUBSTITUTE(IFERROR(TRIM(SUBSTITUTE(A4,MID(A4,FIND("(",A4),FIND(")",A4)-FIND("(",A4)+1),"")),A4)," ",""),"-",""))-FIND("[",SUBSTITUTE(SUBSTITUTE(IFERROR(TRIM(SUBSTITUTE(A4,MID(A4,FIND("(",A4),FIND(")",A4)-FIND("(",A4)+1),"")),A4)," ",""),"-",""))+1),"")),SUBSTITUTE(SUBSTITUTE(IFERROR(TRIM(SUBSTITUTE(A4,MID(A4,FIND("(",A4),FIND(")",A4)-FIND("(",A4)+1),"")),A4)," ",""),"-",""))," ",""),"-",""))&amp;CHAR(34)&amp;",")=9,CHAR(34)&amp;"lets"&amp;LEN(SUBSTITUTE(SUBSTITUTE(IFERROR(TRIM(SUBSTITUTE(SUBSTITUTE(SUBSTITUTE(IFERROR(TRIM(SUBSTITUTE(A4,MID(A4,FIND("(",A4),FIND(")",A4)-FIND("(",A4)+1),"")),A4)," ",""),"-",""),MID(SUBSTITUTE(SUBSTITUTE(IFERROR(TRIM(SUBSTITUTE(A4,MID(A4,FIND("(",A4),FIND(")",A4)-FIND("(",A4)+1),"")),A4)," ",""),"-",""),FIND("[",SUBSTITUTE(SUBSTITUTE(IFERROR(TRIM(SUBSTITUTE(A4,MID(A4,FIND("(",A4),FIND(")",A4)-FIND("(",A4)+1),"")),A4)," ",""),"-","")),FIND("]",SUBSTITUTE(SUBSTITUTE(IFERROR(TRIM(SUBSTITUTE(A4,MID(A4,FIND("(",A4),FIND(")",A4)-FIND("(",A4)+1),"")),A4)," ",""),"-",""))-FIND("[",SUBSTITUTE(SUBSTITUTE(IFERROR(TRIM(SUBSTITUTE(A4,MID(A4,FIND("(",A4),FIND(")",A4)-FIND("(",A4)+1),"")),A4)," ",""),"-",""))+1),"")),SUBSTITUTE(SUBSTITUTE(IFERROR(TRIM(SUBSTITUTE(A4,MID(A4,FIND("(",A4),FIND(")",A4)-FIND("(",A4)+1),"")),A4)," ",""),"-",""))," ",""),"-",""))&amp;CHAR(34)&amp;",",CHAR(34)&amp;"lets0"&amp;LEN(SUBSTITUTE(SUBSTITUTE(IFERROR(TRIM(SUBSTITUTE(SUBSTITUTE(SUBSTITUTE(IFERROR(TRIM(SUBSTITUTE(A4,MID(A4,FIND("(",A4),FIND(")",A4)-FIND("(",A4)+1),"")),A4)," ",""),"-",""),MID(SUBSTITUTE(SUBSTITUTE(IFERROR(TRIM(SUBSTITUTE(A4,MID(A4,FIND("(",A4),FIND(")",A4)-FIND("(",A4)+1),"")),A4)," ",""),"-",""),FIND("[",SUBSTITUTE(SUBSTITUTE(IFERROR(TRIM(SUBSTITUTE(A4,MID(A4,FIND("(",A4),FIND(")",A4)-FIND("(",A4)+1),"")),A4)," ",""),"-","")),FIND("]",SUBSTITUTE(SUBSTITUTE(IFERROR(TRIM(SUBSTITUTE(A4,MID(A4,FIND("(",A4),FIND(")",A4)-FIND("(",A4)+1),"")),A4)," ",""),"-",""))-FIND("[",SUBSTITUTE(SUBSTITUTE(IFERROR(TRIM(SUBSTITUTE(A4,MID(A4,FIND("(",A4),FIND(")",A4)-FIND("(",A4)+1),"")),A4)," ",""),"-",""))+1),"")),SUBSTITUTE(SUBSTITUTE(IFERROR(TRIM(SUBSTITUTE(A4,MID(A4,FIND("(",A4),FIND(")",A4)-FIND("(",A4)+1),"")),A4)," ",""),"-",""))," ",""),"-",""))&amp;CHAR(34)&amp;",")</f>
        <v>"lets15",</v>
      </c>
      <c r="DE4" s="48" t="str">
        <f>IFERROR(CHAR(34)&amp;"start"&amp;LEFT(TRIM(SUBSTITUTE(SUBSTITUTE(TRIM(SUBSTITUTE(SUBSTITUTE(A4, MID(A4, FIND("[", A4), FIND("]", A4) - FIND("[", A4) + 1), ""), "  ", " ")), MID(TRIM(SUBSTITUTE(SUBSTITUTE(A4, MID(A4, FIND("[", A4), FIND("]", A4) - FIND("[", A4) + 1), ""), "  ", " ")), FIND("[", TRIM(SUBSTITUTE(SUBSTITUTE(A4, MID(A4, FIND("[", A4), FIND("]", A4) - FIND("[", A4) + 1), ""), "  ", " "))), FIND("]", TRIM(SUBSTITUTE(SUBSTITUTE(A4, MID(A4, FIND("[", A4), FIND("]", A4) - FIND("[", A4) + 1), ""), "  ", " "))) - FIND("[", TRIM(SUBSTITUTE(SUBSTITUTE(A4, MID(A4, FIND("[", A4), FIND("]", A4) - FIND("[", A4) + 1), ""), "  ", " "))) + 1), ""), "  ", " ")),1)&amp;CHAR(34)&amp;",",CHAR(34)&amp;"start"&amp;IFERROR(LEFT(SUBSTITUTE(A4,"["&amp;MID(A4,FIND("[",A4)+1,FIND("]",A4)-FIND("[",A4)-1)&amp;"] ",""),1),LEFT(A4,1))&amp;CHAR(34)&amp;",")</f>
        <v>"startE",</v>
      </c>
      <c r="DF4" s="48" t="str">
        <f>IFERROR(IF(SEARCH("tan",A4)&gt;0,CHAR(34)&amp;"withtn"&amp;CHAR(34)&amp;",",""),"")</f>
        <v/>
      </c>
      <c r="DG4" s="48" t="str">
        <f>IFERROR(IF(SEARCH("q",A4)&gt;0,CHAR(34)&amp;"with_q"&amp;CHAR(34)&amp;",",""),"")</f>
        <v/>
      </c>
      <c r="DH4" s="48" t="str">
        <f>IFERROR(IF(SEARCH("v",A4)&gt;0,CHAR(34)&amp;"with_v"&amp;CHAR(34)&amp;",",""),"")</f>
        <v/>
      </c>
      <c r="DI4" s="48" t="str">
        <f>IFERROR(IF(SEARCH("w",A4)&gt;0,CHAR(34)&amp;"with_w"&amp;CHAR(34)&amp;",",""),"")</f>
        <v/>
      </c>
      <c r="DJ4" s="48" t="str">
        <f>IFERROR(IF(SEARCH("y",A4)&gt;0,CHAR(34)&amp;"with_y"&amp;CHAR(34)&amp;",",""),"")</f>
        <v/>
      </c>
      <c r="DK4" s="48" t="str">
        <f>IFERROR(IF(SEARCH("z",A4)&gt;0,CHAR(34)&amp;"with_z"&amp;CHAR(34)&amp;",",""),"")</f>
        <v/>
      </c>
      <c r="DL4" s="48" t="str">
        <f>IF(CG4=2, CHAR(34) &amp; _xlfn.TEXTJOIN("", TRUE, _xlfn._xlws.SORT(HP4:HX4)) &amp; CHAR(34) &amp; ",", "")</f>
        <v/>
      </c>
      <c r="DM4" s="48" t="str" cm="1">
        <f t="array" ref="DM4">IF(CG4=3,CHAR(34) &amp; _xlfn.TEXTJOIN("", TRUE, RIGHT(HP4:HX4, 2)) &amp; CHAR(34) &amp; ",", "")</f>
        <v/>
      </c>
      <c r="DN4" s="48" t="str">
        <f>IF(AND(ISNUMBER(SEARCH("18", O4)), ISERROR(SEARCH("1918", O4)), ISERROR(SEARCH("2018", O4))), CHAR(34) &amp; "year18" &amp; CHAR(34) &amp; ",", "")</f>
        <v/>
      </c>
      <c r="DO4" s="48" t="str">
        <f>IF(AND(ISNUMBER(SEARCH("19", O4)), ISERROR(SEARCH("1819", O4)),  ISERROR(SEARCH("1219", O4)),ISERROR(SEARCH("1119", O4)),ISERROR(SEARCH("1190", O4)),ISERROR(SEARCH("2019", O4))), CHAR(34) &amp; "year19" &amp; CHAR(34) &amp; ",", "")</f>
        <v>"year19",</v>
      </c>
      <c r="DP4" s="6" t="str">
        <f>IF(AND(ISNUMBER(SEARCH("20", O4)), ISERROR(SEARCH("1920", O4))), CHAR(34)&amp;"year00"&amp;CHAR(34)&amp;",", "")</f>
        <v/>
      </c>
      <c r="DQ4" s="6" t="str">
        <f>IF(CC4="y",CHAR(34)&amp;"soviet"&amp;CHAR(34)&amp;",","")</f>
        <v/>
      </c>
      <c r="DR4" s="6" t="str">
        <f>IF(BY4="y",CHAR(34)&amp;"dgband"&amp;CHAR(34)&amp;",","")</f>
        <v/>
      </c>
      <c r="DS4" s="6" t="str">
        <f>IF(W4="y",IF(AND(V4="n",BY4&lt;&gt;"y"),CHAR(34)&amp;"allver"&amp;CHAR(34)&amp;",",""),"")</f>
        <v/>
      </c>
      <c r="DT4" s="6" t="str">
        <f>IF(V4="y",IF(AND(W4="n",BY4&lt;&gt;"y"),CHAR(34)&amp;"allhor"&amp;CHAR(34)&amp;",",""),"")</f>
        <v>"allhor",</v>
      </c>
      <c r="DU4" s="6" t="str">
        <f>IF(BY4="y",IF(AND(W4="n",V4="n"),CHAR(34)&amp;"alldia"&amp;CHAR(34)&amp;",",""),"")</f>
        <v/>
      </c>
      <c r="DV4" s="48" t="str">
        <f>IF(IA4&lt;&gt;"",(IF(IA4="y",CHAR(34)&amp;"largec"&amp;CHAR(34)&amp;",",CHAR(34)&amp;"smallc"&amp;CHAR(34)&amp;",")),"")</f>
        <v>"smallc",</v>
      </c>
      <c r="DW4" s="48" t="str">
        <f>IF(CL4="y",CHAR(34)&amp;CL$1&amp;CHAR(34)&amp;",","")</f>
        <v/>
      </c>
      <c r="DX4" s="48" t="str">
        <f>IF(CM4="y",CHAR(34)&amp;CM$1&amp;CHAR(34)&amp;",","")</f>
        <v/>
      </c>
      <c r="DY4" s="48" t="str">
        <f>IF(CN4="y",CHAR(34)&amp;CN$1&amp;CHAR(34)&amp;",","")</f>
        <v>"3Bands",</v>
      </c>
      <c r="DZ4" s="48" t="str">
        <f>IF(CO4="y",CHAR(34)&amp;CO$1&amp;CHAR(34)&amp;",","")</f>
        <v/>
      </c>
      <c r="EA4" s="48" t="str">
        <f>IF(T4="y",CHAR(34)&amp;T$1&amp;CHAR(34)&amp;",","")</f>
        <v/>
      </c>
      <c r="EB4" s="48" t="str">
        <f>IF(U4="y",CHAR(34)&amp;U$1&amp;CHAR(34)&amp;",","")</f>
        <v>"Crosse",</v>
      </c>
      <c r="EC4" s="48" t="str">
        <f>IF(V4="y",CHAR(34)&amp;V$1&amp;CHAR(34)&amp;",","")</f>
        <v>"Horizo",</v>
      </c>
      <c r="ED4" s="48" t="str">
        <f>IF(W4="y",CHAR(34)&amp;W$1&amp;CHAR(34)&amp;",","")</f>
        <v/>
      </c>
      <c r="EE4" s="48" t="str">
        <f>IF(X4="y",CHAR(34)&amp;X$1&amp;CHAR(34)&amp;",","")</f>
        <v/>
      </c>
      <c r="EF4" s="48" t="str">
        <f>IF(AND(Y4&lt;&gt;"n",Y4&lt;&gt;""),CHAR(34)&amp;Y$1&amp;CHAR(34)&amp;",","")</f>
        <v>"Animal",</v>
      </c>
      <c r="EG4" s="48" t="str">
        <f>IF(Z4="y",CHAR(34)&amp;Z$1&amp;CHAR(34)&amp;",","")</f>
        <v>"Bird",</v>
      </c>
      <c r="EH4" s="48" t="str">
        <f>IF(AA4="y",CHAR(34)&amp;AA$1&amp;CHAR(34)&amp;",","")</f>
        <v/>
      </c>
      <c r="EI4" s="48" t="str">
        <f>IF(AB4="y",CHAR(34)&amp;AB$1&amp;CHAR(34)&amp;",","")</f>
        <v/>
      </c>
      <c r="EJ4" s="48" t="str">
        <f>IF(AC4="y",CHAR(34)&amp;AC$1&amp;CHAR(34)&amp;",","")</f>
        <v/>
      </c>
      <c r="EK4" s="48" t="str">
        <f>IF(AD4="y",CHAR(34)&amp;AD$1&amp;CHAR(34)&amp;",","")</f>
        <v/>
      </c>
      <c r="EL4" s="48" t="str">
        <f>IF(AE4="y",CHAR(34)&amp;AE$1&amp;CHAR(34)&amp;",","")</f>
        <v/>
      </c>
      <c r="EM4" s="48" t="str">
        <f>IF(AF4="y",CHAR(34)&amp;AF$1&amp;CHAR(34)&amp;",","")</f>
        <v/>
      </c>
      <c r="EN4" s="48" t="str">
        <f>IF(AG4="y",CHAR(34)&amp;AG$1&amp;CHAR(34)&amp;",","")</f>
        <v>"Unequa",</v>
      </c>
      <c r="EO4" s="48" t="str">
        <f>IF(AH4="y",CHAR(34)&amp;AH$1&amp;CHAR(34)&amp;",","")</f>
        <v>"Center",</v>
      </c>
      <c r="EP4" s="48" t="str">
        <f>IF(AI4="y",CHAR(34)&amp;AI$1&amp;CHAR(34)&amp;",","")</f>
        <v/>
      </c>
      <c r="EQ4" s="48" t="str">
        <f>IF(AJ4="y",CHAR(34)&amp;AJ$1&amp;CHAR(34)&amp;",","")</f>
        <v/>
      </c>
      <c r="ER4" s="48" t="str">
        <f>IF(AK4="y",CHAR(34)&amp;AK$1&amp;CHAR(34)&amp;",","")</f>
        <v/>
      </c>
      <c r="ES4" s="48" t="str">
        <f>IF(AL4="y",CHAR(34)&amp;AL$1&amp;CHAR(34)&amp;",","")</f>
        <v/>
      </c>
      <c r="ET4" s="48" t="str">
        <f>IF(AM4="y",CHAR(34)&amp;AM$1&amp;CHAR(34)&amp;",","")</f>
        <v/>
      </c>
      <c r="EU4" s="48" t="str">
        <f>IF(AN4="y",CHAR(34)&amp;AN$1&amp;CHAR(34)&amp;",","")</f>
        <v/>
      </c>
      <c r="EV4" s="48" t="str">
        <f>IF(AO4="y",CHAR(34)&amp;AO$1&amp;CHAR(34)&amp;",","")</f>
        <v/>
      </c>
      <c r="EW4" s="48" t="str">
        <f>IF(AP4="y",CHAR(34)&amp;AP$1&amp;CHAR(34)&amp;",","")</f>
        <v/>
      </c>
      <c r="EX4" s="48" t="str">
        <f>IF(AQ4="y",CHAR(34)&amp;AQ$1&amp;CHAR(34)&amp;",","")</f>
        <v>"Crowns",</v>
      </c>
      <c r="EY4" s="48" t="str">
        <f>IF(AR4="y",CHAR(34)&amp;AR$1&amp;CHAR(34)&amp;",","")</f>
        <v/>
      </c>
      <c r="EZ4" s="48" t="str">
        <f>IF(AS4="y",CHAR(34)&amp;AS$1&amp;CHAR(34)&amp;",","")</f>
        <v/>
      </c>
      <c r="FA4" s="48" t="str">
        <f>IF(AT4&gt;0,CHAR(34)&amp;"sta"&amp;AZ4&amp;CHAR(34)&amp;",","")</f>
        <v/>
      </c>
      <c r="FB4" s="48" t="str">
        <f>IF(AND(AT4&gt;0,BA4&lt;&gt;""),CHAR(34)&amp;"sta"&amp;BA4&amp;CHAR(34)&amp;",","")</f>
        <v/>
      </c>
      <c r="FC4" s="48" t="str">
        <f>IF(AND(AT4&gt;0,BB4&lt;&gt;""),CHAR(34)&amp;"sta"&amp;BB4&amp;CHAR(34)&amp;",","")</f>
        <v/>
      </c>
      <c r="FD4" s="48" t="str">
        <f>IF(BV4="n",CHAR(34)&amp;"tcWHYE"&amp;CHAR(34)&amp;",",IF(BV4="y",CHAR(34)&amp;FD$1&amp;CHAR(34)&amp;",",""))</f>
        <v/>
      </c>
      <c r="FE4" s="48" t="str">
        <f>IF(COUNTIF(BL4:BT4,"BLU")=0,CHAR(34)&amp;"NO_BLU"&amp;CHAR(34)&amp;",", "")</f>
        <v>"NO_BLU",</v>
      </c>
      <c r="FF4" s="48" t="str">
        <f>IF(COUNTIF(BL4:BT4,"WHI")=0,CHAR(34)&amp;"NO_WHI"&amp;CHAR(34)&amp;",", "")</f>
        <v>"NO_WHI",</v>
      </c>
      <c r="FG4" s="48" t="str">
        <f>IF(COUNTIF(BL4:BT4,"RED")=0,CHAR(34)&amp;"NO_RED"&amp;CHAR(34)&amp;",", "")</f>
        <v/>
      </c>
      <c r="FH4" s="48" t="str">
        <f>IF(COUNTIF(BL4:BS4,"GRE")=0,CHAR(34)&amp;"NO_GRE"&amp;CHAR(34)&amp;",", "")</f>
        <v/>
      </c>
      <c r="FI4" s="48" t="str">
        <f>IF(COUNTIF(BL4:BT4,"YEL")=0,CHAR(34)&amp;"NO_YEL"&amp;CHAR(34)&amp;",", "")</f>
        <v/>
      </c>
      <c r="FJ4" s="48" t="str">
        <f>IF(COUNTIF(BL4:BT4,"BLA")=0,CHAR(34)&amp;"NO_BLA"&amp;CHAR(34)&amp;",", "")</f>
        <v/>
      </c>
      <c r="FK4" s="48" t="str">
        <f>IF(AND(FH4&lt;&gt;"",FF4&lt;&gt;""),CHAR(34)&amp;"WHGRNO"&amp;CHAR(34)&amp;",","")</f>
        <v/>
      </c>
      <c r="FL4" s="48" t="str">
        <f>IF(AND(FI4&lt;&gt;"",FF4&lt;&gt;""),CHAR(34)&amp;"WHYENO"&amp;CHAR(34)&amp;",","")</f>
        <v/>
      </c>
      <c r="FM4" s="48" t="str">
        <f>IF(AND(FJ4&lt;&gt;"",FF4&lt;&gt;""),CHAR(34)&amp;"BAWHNO"&amp;CHAR(34)&amp;",","")</f>
        <v/>
      </c>
      <c r="FN4" s="48" t="str">
        <f>IF(AND(FE4&lt;&gt;"",FF4&lt;&gt;""),CHAR(34)&amp;"BLWHNO"&amp;CHAR(34)&amp;",","")</f>
        <v>"BLWHNO",</v>
      </c>
      <c r="FO4" s="48" t="str">
        <f>IF(AND(FE4&lt;&gt;"",FG4&lt;&gt;""),CHAR(34)&amp;"BLRENO"&amp;CHAR(34)&amp;",","")</f>
        <v/>
      </c>
      <c r="FP4" s="48" t="str">
        <f>IF(AND(FF4&lt;&gt;"",FF4&lt;&gt;""),CHAR(34)&amp;"WHRENO"&amp;CHAR(34)&amp;",","")</f>
        <v>"WHRENO",</v>
      </c>
      <c r="FQ4" s="48" t="str">
        <f>IF(LEN(BF4)=3,CHAR(34)&amp;"001"&amp;BF4&amp;CHAR(34)&amp;",","")</f>
        <v>"001GRE",</v>
      </c>
      <c r="FR4" s="48" t="str">
        <f>IF(LEN(BG4)=3,CHAR(34)&amp;"002"&amp;BG4&amp;CHAR(34)&amp;",","")</f>
        <v>"002YEL",</v>
      </c>
      <c r="FS4" s="48" t="str">
        <f>IF(LEN(BH4)=3,CHAR(34)&amp;"003"&amp;BH4&amp;CHAR(34)&amp;",","")</f>
        <v>"003RED",</v>
      </c>
      <c r="FT4" s="48" t="str">
        <f>CHAR(34)&amp;"myr"&amp;BD4&amp;CHAR(34)&amp;","</f>
        <v>"myrRED",</v>
      </c>
      <c r="FU4" s="48" t="str">
        <f>IF(AY4="y",CHAR(34)&amp;"island"&amp;CHAR(34)&amp;",","")</f>
        <v/>
      </c>
      <c r="FV4" s="48" t="str">
        <f>IF(BZ4="y",CHAR(34)&amp;"landlo"&amp;CHAR(34)&amp;",","")</f>
        <v/>
      </c>
      <c r="FW4" s="48" t="str">
        <f>IF(CA4="y",CHAR(34)&amp;"eunion"&amp;CHAR(34)&amp;",","")</f>
        <v/>
      </c>
      <c r="FX4" s="48" t="str">
        <f>SUBSTITUTE(IFERROR(SEARCH("[",A4),IFERROR(IF(AND(CA4&lt;&gt;"y",SEARCH("Europe",R4)&gt;0),CHAR(34)&amp;"noeuni"&amp;CHAR(34)&amp;",",""),"")),"1","")</f>
        <v/>
      </c>
      <c r="FY4" s="48" t="str">
        <f>IFERROR(IF(SEARCH("Arabic",CB4)&gt;0,CHAR(34)&amp;"arabic"&amp;CHAR(34)&amp;",",""),"")</f>
        <v/>
      </c>
      <c r="FZ4" s="48" t="str">
        <f>IFERROR(IF(SEARCH("English",CB4)&gt;0,CHAR(34)&amp;"englis"&amp;CHAR(34)&amp;",",""),"")</f>
        <v/>
      </c>
      <c r="GA4" s="48" t="str">
        <f>IFERROR(IF(SEARCH("French",CB4)&gt;0,CHAR(34)&amp;"french"&amp;CHAR(34)&amp;",",""),"")</f>
        <v/>
      </c>
      <c r="GB4" s="48" t="str">
        <f>IFERROR(IF(SEARCH("Spanish",CB4)&gt;0,CHAR(34)&amp;"spanis"&amp;CHAR(34)&amp;",",""),"")</f>
        <v/>
      </c>
      <c r="GC4" s="48" t="str">
        <f>IFERROR(IF(SEARCH("Portuguese",CB4)&gt;0,CHAR(34)&amp;"portug"&amp;CHAR(34)&amp;",",""),"")</f>
        <v/>
      </c>
      <c r="GD4" s="48" t="str">
        <f>IFERROR(IF(SEARCH("German",CB4)&gt;0,CHAR(34)&amp;"german"&amp;CHAR(34)&amp;",",""),"")</f>
        <v/>
      </c>
      <c r="GE4" s="48" t="str">
        <f>IFERROR(IF(SEARCH("Dutch",CB4)&gt;0,CHAR(34)&amp;"dutchs"&amp;CHAR(34)&amp;",",""),"")</f>
        <v/>
      </c>
      <c r="GF4" s="48" t="str">
        <f>IFERROR(IF(SEARCH("Historical",AU4)&gt;0,CHAR(34)&amp;"histor"&amp;CHAR(34)&amp;",",""),"")</f>
        <v>"histor",</v>
      </c>
      <c r="GG4" s="48" t="str">
        <f>IF(BU4="y",CHAR(34)&amp;"unjack"&amp;CHAR(34)&amp;",","")</f>
        <v/>
      </c>
      <c r="GH4" s="48" t="str">
        <f>IF(CD4=1,CHAR(34)&amp;"southc"&amp;CHAR(34)&amp;",","")</f>
        <v/>
      </c>
      <c r="GI4" s="48" t="str">
        <f>IF(CE4=1,CHAR(34)&amp;"hasmap"&amp;CHAR(34)&amp;",","")</f>
        <v/>
      </c>
      <c r="GJ4" s="48" t="str">
        <f>IF(CP4="y",CHAR(34)&amp;CP$1&amp;CHAR(34)&amp;",","")</f>
        <v>"NoStar",</v>
      </c>
      <c r="GK4" s="48" t="str">
        <f>IF(GJ4="",CHAR(34)&amp;"HasSta"&amp;CHAR(34)&amp;",","")</f>
        <v/>
      </c>
      <c r="GL4" s="48" t="str">
        <f>IF(CQ4="y",CHAR(34)&amp;CQ$1&amp;CHAR(34)&amp;",","")</f>
        <v/>
      </c>
      <c r="GM4" s="48" t="str">
        <f>IF(CR4="y",CHAR(34)&amp;CR$1&amp;CHAR(34)&amp;",","")</f>
        <v/>
      </c>
      <c r="GN4" s="48" t="str">
        <f>IF(CS4="y",CHAR(34)&amp;CS$1&amp;CHAR(34)&amp;",","")</f>
        <v/>
      </c>
      <c r="GP4" s="48" t="str">
        <f>CHAR(34)&amp;AU4&amp;CHAR(34)</f>
        <v>"Historical"</v>
      </c>
      <c r="GS4" s="48" t="str">
        <f>SUBSTITUTE("["&amp;_xlfn.CONCAT(CW4:GN4)&amp;"]",",]","]")</f>
        <v>["5+Colo","words2","exact2","lets15","startE","year19","allhor","smallc","3Bands","Crosse","Horizo","Animal","Bird","Unequa","Center","Crowns","NO_BLU","NO_WHI","BLWHNO","WHRENO","001GRE","002YEL","003RED","myrRED","histor","NoStar"]</v>
      </c>
      <c r="GT4" s="48" t="str">
        <f>IF(BL4&lt;&gt;"",CHAR(34)&amp;"cl_"&amp;BL4&amp;CHAR(34)&amp;",","")</f>
        <v>"cl_BLA",</v>
      </c>
      <c r="GU4" s="48" t="str">
        <f>IF(BM4&lt;&gt;"",CHAR(34)&amp;"cl_"&amp;BM4&amp;CHAR(34)&amp;",","")</f>
        <v/>
      </c>
      <c r="GV4" s="48" t="str">
        <f>IF(BN4&lt;&gt;"",CHAR(34)&amp;"cl_"&amp;BN4&amp;CHAR(34)&amp;",","")</f>
        <v>"cl_GRE",</v>
      </c>
      <c r="GW4" s="48" t="str">
        <f>IF(BO4&lt;&gt;"",CHAR(34)&amp;"cl_"&amp;BO4&amp;CHAR(34)&amp;",","")</f>
        <v>"cl_RED",</v>
      </c>
      <c r="GX4" s="48" t="str">
        <f>IF(BP4&lt;&gt;"",CHAR(34)&amp;"cl_"&amp;BP4&amp;CHAR(34)&amp;",","")</f>
        <v>"cl_YEL",</v>
      </c>
      <c r="GY4" s="48" t="str">
        <f>IF(BQ4&lt;&gt;"",CHAR(34)&amp;"cl_"&amp;BQ4&amp;CHAR(34)&amp;",","")</f>
        <v/>
      </c>
      <c r="GZ4" s="48" t="str">
        <f>IF(BR4&lt;&gt;"",CHAR(34)&amp;"cl_"&amp;BR4&amp;CHAR(34)&amp;",","")</f>
        <v>"cl_BRO",</v>
      </c>
      <c r="HA4" s="48" t="str">
        <f>IF(BS4&lt;&gt;"",CHAR(34)&amp;"cl_"&amp;BS4&amp;CHAR(34)&amp;",","")</f>
        <v/>
      </c>
      <c r="HB4" s="48" t="str">
        <f>IF(BT4&lt;&gt;"",CHAR(34)&amp;"cl_"&amp;BT4&amp;CHAR(34)&amp;",","")</f>
        <v/>
      </c>
      <c r="HC4" s="48" t="str">
        <f>SUBSTITUTE("["&amp;_xlfn.CONCAT(GT4:HB4)&amp;"]",",]","]")</f>
        <v>["cl_BLA","cl_GRE","cl_RED","cl_YEL","cl_BRO"]</v>
      </c>
      <c r="HE4" s="71"/>
      <c r="HF4" s="72" t="str">
        <f>"{couname:"&amp;CT4&amp;(IF(HK4&lt;&gt;"",",subtype:"&amp;CHAR(34)&amp;HK4&amp;CHAR(34),""))&amp;",year:"&amp;HJ4&amp;",region:"&amp;CU4&amp;",Colors:"&amp;HC4&amp;",Items:"&amp;GS4&amp;",Flag:"&amp;CV4&amp;",HDFlag:"&amp;CHAR(34)&amp;E4&amp;CHAR(34)&amp;",type:"&amp;GP4&amp;", describe: "&amp;HH4&amp;", isnew:"&amp;CHAR(34)&amp;F4&amp;CHAR(34)&amp;", links: "&amp;HL4&amp;"},"</f>
        <v>{couname:"[ETH] Ethiopian Empire",year:"1913, 1941",region:"rgn_Africa",Colors:["cl_BLA","cl_GRE","cl_RED","cl_YEL","cl_BRO"],Items:["5+Colo","words2","exact2","lets15","startE","year19","allhor","smallc","3Bands","Crosse","Horizo","Animal","Bird","Unequa","Center","Crowns","NO_BLU","NO_WHI","BLWHNO","WHRENO","001GRE","002YEL","003RED","myrRED","histor","NoStar"],Flag:"https://upload.wikimedia.org/wikipedia/commons/thumb/f/ff/Flag_of_Ethiopia_%281897%E2%80%931974%29.svg/640px-Flag_of_Ethiopia_%281897%E2%80%931974%29.svg.png",HDFlag:"https://upload.wikimedia.org/wikipedia/commons/thumb/f/ff/Flag_of_Ethiopia_%281897%E2%80%931974%29.svg/2560px-Flag_of_Ethiopia_%281897%E2%80%931974%29.svg.png",type:"Historical", describe: "\nThe flag is the Flag of Ethiopia but with the Lion of Judah", isnew:".", links: "https://en.wikipedia.org/wiki/Flag_of_Ethiopia#"},</v>
      </c>
      <c r="HG4" s="73" t="str">
        <f>"{couname:"&amp;CT4&amp;(IF(HK4&lt;&gt;"",",subtype:"&amp;CHAR(34)&amp;HK4&amp;CHAR(34),""))&amp;",year:"&amp;HJ4&amp;",region:"&amp;CU4&amp;",Colors:"&amp;HC4&amp;",Items:"&amp;GS4&amp;",Flag:"&amp;CV4&amp;",HDFlag:"&amp;CHAR(34)&amp;E4&amp;CHAR(34)&amp;",type:"&amp;GP4&amp;", describe: "&amp;HI4&amp;", links: "&amp;HL4&amp;"},"</f>
        <v>{couname:"[ETH] Ethiopian Empire",year:"1913, 1941",region:"rgn_Africa",Colors:["cl_BLA","cl_GRE","cl_RED","cl_YEL","cl_BRO"],Items:["5+Colo","words2","exact2","lets15","startE","year19","allhor","smallc","3Bands","Crosse","Horizo","Animal","Bird","Unequa","Center","Crowns","NO_BLU","NO_WHI","BLWHNO","WHRENO","001GRE","002YEL","003RED","myrRED","histor","NoStar"],Flag:"https://upload.wikimedia.org/wikipedia/commons/thumb/f/ff/Flag_of_Ethiopia_%281897%E2%80%931974%29.svg/640px-Flag_of_Ethiopia_%281897%E2%80%931974%29.svg.png",HDFlag:"https://upload.wikimedia.org/wikipedia/commons/thumb/f/ff/Flag_of_Ethiopia_%281897%E2%80%931974%29.svg/2560px-Flag_of_Ethiopia_%281897%E2%80%931974%29.svg.png",type:"Historical", describe: "\nThe flag is the Flag of Ethiopia but with the Lion of Judah", links: "https://en.wikipedia.org/wiki/Flag_of_Ethiopia#"},</v>
      </c>
      <c r="HH4" s="48" t="str">
        <f>IF(P4&lt;&gt;"",CHAR(34)&amp;"\n"&amp;P4&amp;CHAR(34),CHAR(34)&amp;CHAR(34))</f>
        <v>"\nThe flag is the Flag of Ethiopia but with the Lion of Judah"</v>
      </c>
      <c r="HI4" s="48" t="str">
        <f>IF(J4=0,CHAR(34)&amp;CHAR(34),HH4)</f>
        <v>"\nThe flag is the Flag of Ethiopia but with the Lion of Judah"</v>
      </c>
      <c r="HJ4" s="48" t="str">
        <f>CHAR(34)&amp;O4&amp;CHAR(34)</f>
        <v>"1913, 1941"</v>
      </c>
      <c r="HL4" s="48" t="str">
        <f>CHAR(34)&amp;I4&amp;CHAR(34)</f>
        <v>"https://en.wikipedia.org/wiki/Flag_of_Ethiopia#"</v>
      </c>
      <c r="HM4" s="72"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"&amp;HH4&amp;", "&amp;CHAR(34)&amp;"isnew"&amp;CHAR(34)&amp;": "&amp;CHAR(34)&amp;F4&amp;CHAR(34)&amp;", "&amp;CHAR(34)&amp;"links"&amp;CHAR(34)&amp;": "&amp;HL4&amp;"},"</f>
        <v>{"couname":"[ETH] Ethiopian Empire","subtype":"[ETH] Other","year":"1913, 1941","region":"rgn_Africa","Colors":["cl_BLA","cl_GRE","cl_RED","cl_YEL","cl_BRO"],"Items":["5+Colo","words2","exact2","lets15","startE","year19","allhor","smallc","3Bands","Crosse","Horizo","Animal","Bird","Unequa","Center","Crowns","NO_BLU","NO_WHI","BLWHNO","WHRENO","001GRE","002YEL","003RED","myrRED","histor","NoStar"],"Flag":"https://upload.wikimedia.org/wikipedia/commons/thumb/f/ff/Flag_of_Ethiopia_%281897%E2%80%931974%29.svg/640px-Flag_of_Ethiopia_%281897%E2%80%931974%29.svg.png","HDFlag":"https://upload.wikimedia.org/wikipedia/commons/thumb/f/ff/Flag_of_Ethiopia_%281897%E2%80%931974%29.svg/2560px-Flag_of_Ethiopia_%281897%E2%80%931974%29.svg.png","type":"Historical", "describe": "\nThe flag is the Flag of Ethiopia but with the Lion of Judah", "isnew": ".", "links": "https://en.wikipedia.org/wiki/Flag_of_Ethiopia#"},</v>
      </c>
      <c r="HN4" s="74"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"&amp;HI4&amp;", "&amp;CHAR(34)&amp;"isnew"&amp;CHAR(34)&amp;": "&amp;CHAR(34)&amp;F4&amp;CHAR(34)&amp;", "&amp;CHAR(34)&amp;"links"&amp;CHAR(34)&amp;": "&amp;HL4&amp;"},"</f>
        <v>{"couname":"[ETH] Ethiopian Empire","subtype":"[ETH] Other","year":"1913, 1941","region":"rgn_Africa","Colors":["cl_BLA","cl_GRE","cl_RED","cl_YEL","cl_BRO"],"Items":["5+Colo","words2","exact2","lets15","startE","year19","allhor","smallc","3Bands","Crosse","Horizo","Animal","Bird","Unequa","Center","Crowns","NO_BLU","NO_WHI","BLWHNO","WHRENO","001GRE","002YEL","003RED","myrRED","histor","NoStar"],"Flag":"https://upload.wikimedia.org/wikipedia/commons/thumb/f/ff/Flag_of_Ethiopia_%281897%E2%80%931974%29.svg/640px-Flag_of_Ethiopia_%281897%E2%80%931974%29.svg.png","HDFlag":"https://upload.wikimedia.org/wikipedia/commons/thumb/f/ff/Flag_of_Ethiopia_%281897%E2%80%931974%29.svg/2560px-Flag_of_Ethiopia_%281897%E2%80%931974%29.svg.png","type":"Historical", "describe": "\nThe flag is the Flag of Ethiopia but with the Lion of Judah", "isnew": ".", "links": "https://en.wikipedia.org/wiki/Flag_of_Ethiopia#"},</v>
      </c>
      <c r="HO4" s="75"/>
      <c r="HP4" s="48" t="str" cm="1">
        <f t="array" ref="HP4">IF(_xlfn.TEXTJOIN(", ", TRUE, IF(ISNUMBER(SEARCH("BLA", BL4:BT4)), COLUMN(BL4:BT4) - COLUMN(BL4) + 1, ""))&lt;&gt;"","BLA","")</f>
        <v>BLA</v>
      </c>
      <c r="HQ4" s="48" t="str" cm="1">
        <f t="array" ref="HQ4">IF(_xlfn.TEXTJOIN(", ", TRUE, IF(ISNUMBER(SEARCH("BLU", BL4:BT4)), COLUMN(BL4:BT4) - COLUMN(BL4) + 1, ""))&lt;&gt;"","BLU","")</f>
        <v/>
      </c>
      <c r="HR4" s="48" t="str" cm="1">
        <f t="array" ref="HR4">IF(_xlfn.TEXTJOIN(", ", TRUE, IF(ISNUMBER(SEARCH("GRE", BL4:BT4)), COLUMN(BL4:BT4) - COLUMN(BL4) + 1, ""))&lt;&gt;"","GRE","")</f>
        <v>GRE</v>
      </c>
      <c r="HS4" s="48" t="str" cm="1">
        <f t="array" ref="HS4">IF(_xlfn.TEXTJOIN(", ", TRUE, IF(ISNUMBER(SEARCH("RED", BL4:BT4)), COLUMN(BL4:BT4) - COLUMN(BL4) + 1, ""))&lt;&gt;"","RED","")</f>
        <v>RED</v>
      </c>
      <c r="HT4" s="48" t="str" cm="1">
        <f t="array" ref="HT4">IF(_xlfn.TEXTJOIN(", ", TRUE, IF(ISNUMBER(SEARCH("YEL", BL4:BT4)), COLUMN(BL4:BT4) - COLUMN(BL4) + 1, ""))&lt;&gt;"","YEL","")</f>
        <v>YEL</v>
      </c>
      <c r="HU4" s="48" t="str" cm="1">
        <f t="array" ref="HU4">IF(_xlfn.TEXTJOIN(", ", TRUE, IF(ISNUMBER(SEARCH("ORA", BL4:BT4)), COLUMN(BL4:BT4) - COLUMN(BL4) + 1, ""))&lt;&gt;"","ORA","")</f>
        <v/>
      </c>
      <c r="HV4" s="48" t="str" cm="1">
        <f t="array" ref="HV4">IF(_xlfn.TEXTJOIN(", ", TRUE, IF(ISNUMBER(SEARCH("BRO", BL4:BT4)), COLUMN(BL4:BT4) - COLUMN(BL4) + 1, ""))&lt;&gt;"","BRO","")</f>
        <v>BRO</v>
      </c>
      <c r="HW4" s="48" t="str" cm="1">
        <f t="array" ref="HW4">IF(_xlfn.TEXTJOIN(", ", TRUE, IF(ISNUMBER(SEARCH("PUR", BL4:BT4)), COLUMN(BL4:BT4) - COLUMN(BL4) + 1, ""))&lt;&gt;"","PUR","")</f>
        <v/>
      </c>
      <c r="HX4" s="48" t="str" cm="1">
        <f t="array" ref="HX4">IF(_xlfn.TEXTJOIN(", ", TRUE, IF(ISNUMBER(SEARCH("WHI", BL4:BT4)), COLUMN(BL4:BT4) - COLUMN(BL4) + 1, ""))&lt;&gt;"","WHI","")</f>
        <v/>
      </c>
      <c r="HY4" s="76"/>
      <c r="HZ4" s="76"/>
      <c r="IA4" s="6" t="s">
        <v>164</v>
      </c>
      <c r="IB4" s="6"/>
      <c r="IC4" s="77"/>
      <c r="ID4" s="77"/>
      <c r="IE4" s="77"/>
      <c r="IF4" s="77"/>
      <c r="IG4" s="77"/>
      <c r="IH4" s="77"/>
      <c r="II4" s="77"/>
      <c r="IJ4" s="77"/>
      <c r="IK4" s="77"/>
      <c r="IL4" s="48">
        <f>SUM(IC4:IK4)</f>
        <v>0</v>
      </c>
      <c r="IM4" s="45">
        <f>COUNTIF(IC4:IK4,"&gt;0")-CG4</f>
        <v>-5</v>
      </c>
      <c r="IN4" s="78" t="str">
        <f>"http://mkweb.bcgsc.ca/color-summarizer/?url="&amp;D4&amp;"&amp;precision=low&amp;num_clusters="&amp;CG4&amp;"&amp;text=1"</f>
        <v>http://mkweb.bcgsc.ca/color-summarizer/?url=https://upload.wikimedia.org/wikipedia/commons/thumb/f/ff/Flag_of_Ethiopia_%281897%E2%80%931974%29.svg/640px-Flag_of_Ethiopia_%281897%E2%80%931974%29.svg.png&amp;precision=low&amp;num_clusters=5&amp;text=1</v>
      </c>
      <c r="IO4" s="48" t="str">
        <f>IF(HP4&lt;&gt;"",CHAR(34)&amp;"black"&amp;CHAR(34),"")</f>
        <v>"black"</v>
      </c>
      <c r="IP4" s="48" t="str">
        <f>IF(HQ4&lt;&gt;"",CHAR(34)&amp;"blue"&amp;CHAR(34),"")</f>
        <v/>
      </c>
      <c r="IQ4" s="48" t="str">
        <f>IF(HR4&lt;&gt;"",CHAR(34)&amp;"green"&amp;CHAR(34),"")</f>
        <v>"green"</v>
      </c>
      <c r="IR4" s="48" t="str">
        <f>IF(HS4&lt;&gt;"",CHAR(34)&amp;"red"&amp;CHAR(34),"")</f>
        <v>"red"</v>
      </c>
      <c r="IS4" s="48" t="str">
        <f>IF(HT4&lt;&gt;"",CHAR(34)&amp;"yellow"&amp;CHAR(34),"")</f>
        <v>"yellow"</v>
      </c>
      <c r="IT4" s="48" t="str">
        <f>IF(HU4&lt;&gt;"",CHAR(34)&amp;"orange"&amp;CHAR(34),"")</f>
        <v/>
      </c>
      <c r="IU4" s="48" t="str">
        <f>IF(HV4&lt;&gt;"",CHAR(34)&amp;"brown"&amp;CHAR(34),"")</f>
        <v>"brown"</v>
      </c>
      <c r="IV4" s="48" t="str">
        <f>IF(HW4&lt;&gt;"",CHAR(34)&amp;"purple"&amp;CHAR(34),"")</f>
        <v/>
      </c>
      <c r="IW4" s="48" t="str">
        <f>IF(HX4&lt;&gt;"",CHAR(34)&amp;"white"&amp;CHAR(34),"")</f>
        <v/>
      </c>
      <c r="IX4" s="48" t="str">
        <f>"{"&amp;CHAR(34)&amp;"url"&amp;CHAR(34)&amp;":"&amp;CHAR(34)&amp;IN4&amp;CHAR(34)&amp;","&amp;CHAR(34)&amp;"name"&amp;CHAR(34)&amp;":"&amp;CHAR(34)&amp;A4&amp;CHAR(34)&amp;"},"</f>
        <v>{"url":"http://mkweb.bcgsc.ca/color-summarizer/?url=https://upload.wikimedia.org/wikipedia/commons/thumb/f/ff/Flag_of_Ethiopia_%281897%E2%80%931974%29.svg/640px-Flag_of_Ethiopia_%281897%E2%80%931974%29.svg.png&amp;precision=low&amp;num_clusters=5&amp;text=1","name":"[ETH] Ethiopian Empire"},</v>
      </c>
      <c r="IY4" s="48">
        <v>458</v>
      </c>
    </row>
    <row r="5" spans="1:259" ht="38.4" customHeight="1" x14ac:dyDescent="0.3">
      <c r="F5" s="82"/>
      <c r="G5" s="82"/>
      <c r="H5" s="82"/>
      <c r="I5" s="82"/>
      <c r="J5" s="82"/>
      <c r="K5" s="82"/>
    </row>
    <row r="6" spans="1:259" ht="38.4" customHeight="1" x14ac:dyDescent="0.3">
      <c r="F6" s="82"/>
      <c r="G6" s="82"/>
      <c r="H6" s="82"/>
      <c r="I6" s="82"/>
      <c r="J6" s="82"/>
      <c r="K6" s="82"/>
    </row>
    <row r="7" spans="1:259" ht="38.4" customHeight="1" x14ac:dyDescent="0.3">
      <c r="K7" s="81"/>
    </row>
    <row r="8" spans="1:259" ht="38.4" customHeight="1" x14ac:dyDescent="0.3">
      <c r="K8" s="81"/>
    </row>
    <row r="9" spans="1:259" ht="38.4" customHeight="1" x14ac:dyDescent="0.3">
      <c r="K9" s="81"/>
    </row>
    <row r="10" spans="1:259" ht="38.4" customHeight="1" x14ac:dyDescent="0.3">
      <c r="K10" s="81"/>
    </row>
  </sheetData>
  <autoFilter ref="A1:IY1" xr:uid="{A1051193-A95B-4CFB-A73C-F0184620C81F}">
    <sortState xmlns:xlrd2="http://schemas.microsoft.com/office/spreadsheetml/2017/richdata2" ref="A2:IY5">
      <sortCondition ref="AW1"/>
    </sortState>
  </autoFilter>
  <conditionalFormatting sqref="H1 CW1:GS1 IA1:IB1">
    <cfRule type="cellIs" dxfId="4635" priority="118" operator="greaterThan">
      <formula>0</formula>
    </cfRule>
  </conditionalFormatting>
  <conditionalFormatting sqref="H1 H11:H1048576">
    <cfRule type="cellIs" dxfId="4634" priority="84" stopIfTrue="1" operator="notEqual">
      <formula>""</formula>
    </cfRule>
  </conditionalFormatting>
  <conditionalFormatting sqref="T1:BK1">
    <cfRule type="cellIs" dxfId="4633" priority="121" operator="greaterThan">
      <formula>0</formula>
    </cfRule>
  </conditionalFormatting>
  <conditionalFormatting sqref="BV1:BW1 BV5:BW1048576">
    <cfRule type="cellIs" dxfId="4632" priority="120" operator="equal">
      <formula>"nc"</formula>
    </cfRule>
  </conditionalFormatting>
  <conditionalFormatting sqref="HF1:HG1">
    <cfRule type="cellIs" dxfId="4631" priority="122" operator="greaterThan">
      <formula>0</formula>
    </cfRule>
  </conditionalFormatting>
  <conditionalFormatting sqref="HK1">
    <cfRule type="cellIs" dxfId="4630" priority="119" operator="greaterThan">
      <formula>0</formula>
    </cfRule>
  </conditionalFormatting>
  <conditionalFormatting sqref="HP1:HX1">
    <cfRule type="cellIs" dxfId="4629" priority="96" operator="equal">
      <formula>"PIN"</formula>
    </cfRule>
    <cfRule type="cellIs" dxfId="4628" priority="97" operator="equal">
      <formula>"ORA"</formula>
    </cfRule>
    <cfRule type="cellIs" dxfId="4627" priority="98" operator="equal">
      <formula>"GRA"</formula>
    </cfRule>
    <cfRule type="cellIs" dxfId="4626" priority="99" operator="equal">
      <formula>"PUR"</formula>
    </cfRule>
    <cfRule type="cellIs" dxfId="4625" priority="100" operator="equal">
      <formula>"BRO"</formula>
    </cfRule>
    <cfRule type="cellIs" dxfId="4624" priority="101" operator="equal">
      <formula>"YEL"</formula>
    </cfRule>
    <cfRule type="cellIs" dxfId="4623" priority="102" operator="equal">
      <formula>"BLU"</formula>
    </cfRule>
    <cfRule type="cellIs" dxfId="4622" priority="103" operator="equal">
      <formula>"WHI"</formula>
    </cfRule>
    <cfRule type="cellIs" dxfId="4621" priority="104" operator="equal">
      <formula>"GRE"</formula>
    </cfRule>
    <cfRule type="cellIs" dxfId="4620" priority="105" operator="equal">
      <formula>"RED"</formula>
    </cfRule>
    <cfRule type="cellIs" dxfId="4619" priority="106" operator="equal">
      <formula>"BLA"</formula>
    </cfRule>
  </conditionalFormatting>
  <conditionalFormatting sqref="IC1:IK1">
    <cfRule type="cellIs" dxfId="4618" priority="107" operator="equal">
      <formula>"PIN"</formula>
    </cfRule>
    <cfRule type="cellIs" dxfId="4617" priority="108" operator="equal">
      <formula>"ORA"</formula>
    </cfRule>
    <cfRule type="cellIs" dxfId="4616" priority="109" operator="equal">
      <formula>"GRA"</formula>
    </cfRule>
    <cfRule type="cellIs" dxfId="4615" priority="110" operator="equal">
      <formula>"PUR"</formula>
    </cfRule>
    <cfRule type="cellIs" dxfId="4614" priority="111" operator="equal">
      <formula>"BRO"</formula>
    </cfRule>
    <cfRule type="cellIs" dxfId="4613" priority="112" operator="equal">
      <formula>"YEL"</formula>
    </cfRule>
    <cfRule type="cellIs" dxfId="4612" priority="113" operator="equal">
      <formula>"BLU"</formula>
    </cfRule>
    <cfRule type="cellIs" dxfId="4611" priority="114" operator="equal">
      <formula>"WHI"</formula>
    </cfRule>
    <cfRule type="cellIs" dxfId="4610" priority="115" operator="equal">
      <formula>"GRE"</formula>
    </cfRule>
    <cfRule type="cellIs" dxfId="4609" priority="116" operator="equal">
      <formula>"RED"</formula>
    </cfRule>
    <cfRule type="cellIs" dxfId="4608" priority="117" operator="equal">
      <formula>"BLA"</formula>
    </cfRule>
  </conditionalFormatting>
  <conditionalFormatting sqref="IO1:IW1">
    <cfRule type="cellIs" dxfId="4607" priority="85" operator="equal">
      <formula>"PIN"</formula>
    </cfRule>
    <cfRule type="cellIs" dxfId="4606" priority="86" operator="equal">
      <formula>"ORA"</formula>
    </cfRule>
    <cfRule type="cellIs" dxfId="4605" priority="87" operator="equal">
      <formula>"GRA"</formula>
    </cfRule>
    <cfRule type="cellIs" dxfId="4604" priority="88" operator="equal">
      <formula>"PUR"</formula>
    </cfRule>
    <cfRule type="cellIs" dxfId="4603" priority="89" operator="equal">
      <formula>"BRO"</formula>
    </cfRule>
    <cfRule type="cellIs" dxfId="4602" priority="90" operator="equal">
      <formula>"YEL"</formula>
    </cfRule>
    <cfRule type="cellIs" dxfId="4601" priority="91" operator="equal">
      <formula>"BLU"</formula>
    </cfRule>
    <cfRule type="cellIs" dxfId="4600" priority="92" operator="equal">
      <formula>"WHI"</formula>
    </cfRule>
    <cfRule type="cellIs" dxfId="4599" priority="93" operator="equal">
      <formula>"GRE"</formula>
    </cfRule>
    <cfRule type="cellIs" dxfId="4598" priority="94" operator="equal">
      <formula>"RED"</formula>
    </cfRule>
    <cfRule type="cellIs" dxfId="4597" priority="95" operator="equal">
      <formula>"BLA"</formula>
    </cfRule>
  </conditionalFormatting>
  <conditionalFormatting sqref="H3:H4">
    <cfRule type="cellIs" dxfId="4596" priority="76" stopIfTrue="1" operator="notEqual">
      <formula>""</formula>
    </cfRule>
  </conditionalFormatting>
  <conditionalFormatting sqref="R3:R4 CU3:CU4">
    <cfRule type="cellIs" dxfId="4595" priority="79" operator="greaterThan">
      <formula>0</formula>
    </cfRule>
  </conditionalFormatting>
  <conditionalFormatting sqref="T3:AS4 CH3:CS4">
    <cfRule type="cellIs" dxfId="4594" priority="73" stopIfTrue="1" operator="equal">
      <formula>"n"</formula>
    </cfRule>
    <cfRule type="cellIs" dxfId="4593" priority="74" stopIfTrue="1" operator="equal">
      <formula>"y"</formula>
    </cfRule>
    <cfRule type="cellIs" dxfId="4592" priority="75" operator="greaterThan">
      <formula>0</formula>
    </cfRule>
  </conditionalFormatting>
  <conditionalFormatting sqref="AZ3:BB4">
    <cfRule type="expression" dxfId="4591" priority="60">
      <formula>$AT3=0</formula>
    </cfRule>
  </conditionalFormatting>
  <conditionalFormatting sqref="CD3:CF4 BX3:CA4 AZ3:BU4">
    <cfRule type="cellIs" dxfId="4590" priority="61" operator="equal">
      <formula>"PIN"</formula>
    </cfRule>
    <cfRule type="cellIs" dxfId="4589" priority="62" operator="equal">
      <formula>"ORA"</formula>
    </cfRule>
    <cfRule type="cellIs" dxfId="4588" priority="63" operator="equal">
      <formula>"GRA"</formula>
    </cfRule>
    <cfRule type="cellIs" dxfId="4587" priority="64" operator="equal">
      <formula>"PUR"</formula>
    </cfRule>
    <cfRule type="cellIs" dxfId="4586" priority="65" operator="equal">
      <formula>"BRO"</formula>
    </cfRule>
    <cfRule type="cellIs" dxfId="4585" priority="66" operator="equal">
      <formula>"YEL"</formula>
    </cfRule>
    <cfRule type="cellIs" dxfId="4584" priority="67" operator="equal">
      <formula>"BLU"</formula>
    </cfRule>
    <cfRule type="cellIs" dxfId="4583" priority="68" operator="equal">
      <formula>"WHI"</formula>
    </cfRule>
    <cfRule type="cellIs" dxfId="4582" priority="69" operator="equal">
      <formula>"GRE"</formula>
    </cfRule>
    <cfRule type="cellIs" dxfId="4581" priority="70" operator="equal">
      <formula>"RED"</formula>
    </cfRule>
    <cfRule type="cellIs" dxfId="4580" priority="71" operator="equal">
      <formula>"BLA"</formula>
    </cfRule>
  </conditionalFormatting>
  <conditionalFormatting sqref="BV3:BV4">
    <cfRule type="cellIs" dxfId="4579" priority="78" operator="equal">
      <formula>"nc"</formula>
    </cfRule>
  </conditionalFormatting>
  <conditionalFormatting sqref="CD3:CF4 BX3:CA4">
    <cfRule type="cellIs" dxfId="4578" priority="77" operator="equal">
      <formula>"y"</formula>
    </cfRule>
  </conditionalFormatting>
  <conditionalFormatting sqref="CD3:CF4 BZ3:CA4">
    <cfRule type="cellIs" dxfId="4577" priority="72" operator="greaterThan">
      <formula>0</formula>
    </cfRule>
  </conditionalFormatting>
  <conditionalFormatting sqref="IC3:IK4">
    <cfRule type="expression" dxfId="4576" priority="59">
      <formula>$IL3&gt;0</formula>
    </cfRule>
  </conditionalFormatting>
  <conditionalFormatting sqref="IC3:IC4">
    <cfRule type="cellIs" dxfId="4575" priority="53" stopIfTrue="1" operator="greaterThan">
      <formula>0</formula>
    </cfRule>
  </conditionalFormatting>
  <conditionalFormatting sqref="ID3:ID4">
    <cfRule type="cellIs" dxfId="4574" priority="51" stopIfTrue="1" operator="greaterThan">
      <formula>0</formula>
    </cfRule>
  </conditionalFormatting>
  <conditionalFormatting sqref="II3:II4 IE3:IF4">
    <cfRule type="cellIs" dxfId="4573" priority="58" operator="greaterThan">
      <formula>0</formula>
    </cfRule>
  </conditionalFormatting>
  <conditionalFormatting sqref="II3:II4 IF3:IF4">
    <cfRule type="cellIs" dxfId="4572" priority="52" stopIfTrue="1" operator="greaterThan">
      <formula>0</formula>
    </cfRule>
  </conditionalFormatting>
  <conditionalFormatting sqref="IG3:IG4">
    <cfRule type="cellIs" dxfId="4571" priority="57" operator="greaterThan">
      <formula>0</formula>
    </cfRule>
  </conditionalFormatting>
  <conditionalFormatting sqref="IH3:II4">
    <cfRule type="cellIs" dxfId="4570" priority="56" operator="greaterThan">
      <formula>0</formula>
    </cfRule>
  </conditionalFormatting>
  <conditionalFormatting sqref="IJ3:IJ4">
    <cfRule type="cellIs" dxfId="4569" priority="55" operator="greaterThan">
      <formula>0</formula>
    </cfRule>
  </conditionalFormatting>
  <conditionalFormatting sqref="IK3:IK4">
    <cfRule type="cellIs" dxfId="4568" priority="54" operator="greaterThan">
      <formula>0</formula>
    </cfRule>
  </conditionalFormatting>
  <conditionalFormatting sqref="IF3:IF4">
    <cfRule type="cellIs" dxfId="4567" priority="50" stopIfTrue="1" operator="greaterThan">
      <formula>0</formula>
    </cfRule>
  </conditionalFormatting>
  <conditionalFormatting sqref="IM3:IM4">
    <cfRule type="cellIs" dxfId="4566" priority="49" operator="equal">
      <formula>0</formula>
    </cfRule>
  </conditionalFormatting>
  <conditionalFormatting sqref="BX3:CA4 CD3:CF4">
    <cfRule type="cellIs" dxfId="4565" priority="37" operator="equal">
      <formula>"y"</formula>
    </cfRule>
    <cfRule type="cellIs" dxfId="4564" priority="38" operator="equal">
      <formula>"PIN"</formula>
    </cfRule>
    <cfRule type="cellIs" dxfId="4563" priority="39" operator="equal">
      <formula>"ORA"</formula>
    </cfRule>
    <cfRule type="cellIs" dxfId="4562" priority="40" operator="equal">
      <formula>"GRA"</formula>
    </cfRule>
    <cfRule type="cellIs" dxfId="4561" priority="41" operator="equal">
      <formula>"PUR"</formula>
    </cfRule>
    <cfRule type="cellIs" dxfId="4560" priority="42" operator="equal">
      <formula>"BRO"</formula>
    </cfRule>
    <cfRule type="cellIs" dxfId="4559" priority="43" operator="equal">
      <formula>"YEL"</formula>
    </cfRule>
    <cfRule type="cellIs" dxfId="4558" priority="44" operator="equal">
      <formula>"BLU"</formula>
    </cfRule>
    <cfRule type="cellIs" dxfId="4557" priority="45" operator="equal">
      <formula>"WHI"</formula>
    </cfRule>
    <cfRule type="cellIs" dxfId="4556" priority="46" operator="equal">
      <formula>"GRE"</formula>
    </cfRule>
    <cfRule type="cellIs" dxfId="4555" priority="47" operator="equal">
      <formula>"RED"</formula>
    </cfRule>
    <cfRule type="cellIs" dxfId="4554" priority="48" operator="equal">
      <formula>"BLA"</formula>
    </cfRule>
  </conditionalFormatting>
  <conditionalFormatting sqref="AT3:AT4">
    <cfRule type="colorScale" priority="80">
      <colorScale>
        <cfvo type="min"/>
        <cfvo type="max"/>
        <color rgb="FFFCFCFF"/>
        <color theme="8" tint="0.39997558519241921"/>
      </colorScale>
    </cfRule>
  </conditionalFormatting>
  <conditionalFormatting sqref="S3:S4">
    <cfRule type="colorScale" priority="81">
      <colorScale>
        <cfvo type="min"/>
        <cfvo type="max"/>
        <color rgb="FFFCFCFF"/>
        <color rgb="FF754BFB"/>
      </colorScale>
    </cfRule>
  </conditionalFormatting>
  <conditionalFormatting sqref="J3:J4">
    <cfRule type="colorScale" priority="82">
      <colorScale>
        <cfvo type="min"/>
        <cfvo type="percentile" val="50"/>
        <cfvo type="max"/>
        <color rgb="FFF8696B"/>
        <color rgb="FFFFEB84"/>
        <color rgb="FF63BE7B"/>
      </colorScale>
    </cfRule>
  </conditionalFormatting>
  <conditionalFormatting sqref="CG3:CG4">
    <cfRule type="colorScale" priority="83">
      <colorScale>
        <cfvo type="min"/>
        <cfvo type="max"/>
        <color rgb="FFFCFCFF"/>
        <color rgb="FF63BE7B"/>
      </colorScale>
    </cfRule>
  </conditionalFormatting>
  <conditionalFormatting sqref="H2">
    <cfRule type="cellIs" dxfId="4553" priority="30" stopIfTrue="1" operator="notEqual">
      <formula>""</formula>
    </cfRule>
  </conditionalFormatting>
  <conditionalFormatting sqref="R2 CU2">
    <cfRule type="cellIs" dxfId="4552" priority="32" operator="greaterThan">
      <formula>0</formula>
    </cfRule>
  </conditionalFormatting>
  <conditionalFormatting sqref="T2:AS2 CH2:CS2">
    <cfRule type="cellIs" dxfId="4551" priority="27" stopIfTrue="1" operator="equal">
      <formula>"n"</formula>
    </cfRule>
    <cfRule type="cellIs" dxfId="4550" priority="28" stopIfTrue="1" operator="equal">
      <formula>"y"</formula>
    </cfRule>
    <cfRule type="cellIs" dxfId="4549" priority="29" operator="greaterThan">
      <formula>0</formula>
    </cfRule>
  </conditionalFormatting>
  <conditionalFormatting sqref="AZ2:BB2">
    <cfRule type="expression" dxfId="4548" priority="14">
      <formula>$AT2=0</formula>
    </cfRule>
  </conditionalFormatting>
  <conditionalFormatting sqref="AZ2:BU2">
    <cfRule type="cellIs" dxfId="4547" priority="15" operator="equal">
      <formula>"PIN"</formula>
    </cfRule>
    <cfRule type="cellIs" dxfId="4546" priority="16" operator="equal">
      <formula>"ORA"</formula>
    </cfRule>
    <cfRule type="cellIs" dxfId="4545" priority="17" operator="equal">
      <formula>"GRA"</formula>
    </cfRule>
    <cfRule type="cellIs" dxfId="4544" priority="18" operator="equal">
      <formula>"PUR"</formula>
    </cfRule>
    <cfRule type="cellIs" dxfId="4543" priority="19" operator="equal">
      <formula>"BRO"</formula>
    </cfRule>
    <cfRule type="cellIs" dxfId="4542" priority="20" operator="equal">
      <formula>"YEL"</formula>
    </cfRule>
    <cfRule type="cellIs" dxfId="4541" priority="21" operator="equal">
      <formula>"BLU"</formula>
    </cfRule>
    <cfRule type="cellIs" dxfId="4540" priority="22" operator="equal">
      <formula>"WHI"</formula>
    </cfRule>
    <cfRule type="cellIs" dxfId="4539" priority="23" operator="equal">
      <formula>"GRE"</formula>
    </cfRule>
    <cfRule type="cellIs" dxfId="4538" priority="24" operator="equal">
      <formula>"RED"</formula>
    </cfRule>
    <cfRule type="cellIs" dxfId="4537" priority="25" operator="equal">
      <formula>"BLA"</formula>
    </cfRule>
  </conditionalFormatting>
  <conditionalFormatting sqref="BV2">
    <cfRule type="cellIs" dxfId="4536" priority="31" operator="equal">
      <formula>"nc"</formula>
    </cfRule>
  </conditionalFormatting>
  <conditionalFormatting sqref="CD2:CF2 BZ2:CA2">
    <cfRule type="cellIs" dxfId="4535" priority="26" operator="greaterThan">
      <formula>0</formula>
    </cfRule>
  </conditionalFormatting>
  <conditionalFormatting sqref="IC2:IK2">
    <cfRule type="expression" dxfId="4534" priority="13">
      <formula>$IL2&gt;0</formula>
    </cfRule>
  </conditionalFormatting>
  <conditionalFormatting sqref="BX2:CA2 CD2:CF2">
    <cfRule type="cellIs" dxfId="4533" priority="1" operator="equal">
      <formula>"y"</formula>
    </cfRule>
    <cfRule type="cellIs" dxfId="4532" priority="2" operator="equal">
      <formula>"PIN"</formula>
    </cfRule>
    <cfRule type="cellIs" dxfId="4531" priority="3" operator="equal">
      <formula>"ORA"</formula>
    </cfRule>
    <cfRule type="cellIs" dxfId="4530" priority="4" operator="equal">
      <formula>"GRA"</formula>
    </cfRule>
    <cfRule type="cellIs" dxfId="4529" priority="5" operator="equal">
      <formula>"PUR"</formula>
    </cfRule>
    <cfRule type="cellIs" dxfId="4528" priority="6" operator="equal">
      <formula>"BRO"</formula>
    </cfRule>
    <cfRule type="cellIs" dxfId="4527" priority="7" operator="equal">
      <formula>"YEL"</formula>
    </cfRule>
    <cfRule type="cellIs" dxfId="4526" priority="8" operator="equal">
      <formula>"BLU"</formula>
    </cfRule>
    <cfRule type="cellIs" dxfId="4525" priority="9" operator="equal">
      <formula>"WHI"</formula>
    </cfRule>
    <cfRule type="cellIs" dxfId="4524" priority="10" operator="equal">
      <formula>"GRE"</formula>
    </cfRule>
    <cfRule type="cellIs" dxfId="4523" priority="11" operator="equal">
      <formula>"RED"</formula>
    </cfRule>
    <cfRule type="cellIs" dxfId="4522" priority="12" operator="equal">
      <formula>"BLA"</formula>
    </cfRule>
  </conditionalFormatting>
  <conditionalFormatting sqref="J2">
    <cfRule type="colorScale" priority="33">
      <colorScale>
        <cfvo type="min"/>
        <cfvo type="percentile" val="50"/>
        <cfvo type="max"/>
        <color rgb="FFF8696B"/>
        <color rgb="FFFFEB84"/>
        <color rgb="FF63BE7B"/>
      </colorScale>
    </cfRule>
  </conditionalFormatting>
  <conditionalFormatting sqref="S2">
    <cfRule type="colorScale" priority="34">
      <colorScale>
        <cfvo type="min"/>
        <cfvo type="max"/>
        <color rgb="FFFCFCFF"/>
        <color rgb="FF754BFB"/>
      </colorScale>
    </cfRule>
  </conditionalFormatting>
  <conditionalFormatting sqref="AT2">
    <cfRule type="colorScale" priority="35">
      <colorScale>
        <cfvo type="min"/>
        <cfvo type="max"/>
        <color rgb="FFFCFCFF"/>
        <color theme="8" tint="0.39997558519241921"/>
      </colorScale>
    </cfRule>
  </conditionalFormatting>
  <conditionalFormatting sqref="CG2">
    <cfRule type="colorScale" priority="36">
      <colorScale>
        <cfvo type="min"/>
        <cfvo type="max"/>
        <color rgb="FFFCFCFF"/>
        <color rgb="FF63BE7B"/>
      </colorScale>
    </cfRule>
  </conditionalFormatting>
  <hyperlinks>
    <hyperlink ref="E3" r:id="rId1" xr:uid="{F4A58186-B443-45DA-B246-A84860EC1A04}"/>
    <hyperlink ref="A2" r:id="rId2" display="https://fbref.com/en/country/ETH/Ethiopia-Football" xr:uid="{7BE622E7-B76B-40AF-8E5F-B2A6460266AE}"/>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8913" r:id="rId6"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38914" r:id="rId7"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38915" r:id="rId8"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F8216-0E58-4D21-9E47-99FC6C04D074}">
  <sheetPr codeName="Sheet50"/>
  <dimension ref="A1:IY10"/>
  <sheetViews>
    <sheetView zoomScale="70" zoomScaleNormal="70" workbookViewId="0">
      <pane xSplit="5" ySplit="1" topLeftCell="F2" activePane="bottomRight" state="frozen"/>
      <selection pane="topRight" activeCell="F1" sqref="F1"/>
      <selection pane="bottomLeft" activeCell="A2" sqref="A2"/>
      <selection pane="bottomRight" activeCell="M3" sqref="M3"/>
    </sheetView>
  </sheetViews>
  <sheetFormatPr defaultRowHeight="38.4" customHeight="1" x14ac:dyDescent="0.3"/>
  <cols>
    <col min="1" max="1" width="52.44140625" style="81" bestFit="1" customWidth="1"/>
    <col min="2" max="2" width="10.109375" style="81" customWidth="1"/>
    <col min="3" max="3" width="7.44140625" style="82" customWidth="1"/>
    <col min="4" max="4" width="4.77734375" style="83" customWidth="1"/>
    <col min="5" max="5" width="4.5546875" style="83" customWidth="1"/>
    <col min="6" max="6" width="5.77734375" style="83" customWidth="1"/>
    <col min="7" max="7" width="7.44140625" style="81" customWidth="1"/>
    <col min="8" max="8" width="11.44140625" style="81" customWidth="1"/>
    <col min="9" max="9" width="10" style="81" customWidth="1"/>
    <col min="10" max="10" width="4.21875" style="81" customWidth="1"/>
    <col min="11" max="11" width="5.6640625" style="83" customWidth="1"/>
    <col min="12" max="12" width="2.88671875" style="83" customWidth="1"/>
    <col min="13" max="13" width="6.44140625" style="83" customWidth="1"/>
    <col min="14" max="14" width="4.5546875" style="83" customWidth="1"/>
    <col min="15" max="15" width="10.5546875" style="84" customWidth="1"/>
    <col min="16" max="16" width="6.88671875" style="83" customWidth="1"/>
    <col min="17" max="17" width="4.77734375" style="83" customWidth="1"/>
    <col min="18" max="18" width="13.109375" style="82" customWidth="1"/>
    <col min="19" max="19" width="6.77734375" style="82" customWidth="1"/>
    <col min="20" max="46" width="8.44140625" style="81" customWidth="1"/>
    <col min="47" max="47" width="24.5546875" style="81" customWidth="1"/>
    <col min="48" max="51" width="16.6640625" style="81" customWidth="1"/>
    <col min="52" max="52" width="6.5546875" style="81" customWidth="1"/>
    <col min="53" max="54" width="5.88671875" style="81" customWidth="1"/>
    <col min="55" max="55" width="1.33203125" style="81" customWidth="1"/>
    <col min="56" max="56" width="7.44140625" style="81" customWidth="1"/>
    <col min="57" max="57" width="2.33203125" style="81" customWidth="1"/>
    <col min="58" max="62" width="6.109375" style="81" customWidth="1"/>
    <col min="63" max="63" width="2.33203125" style="81" customWidth="1"/>
    <col min="64" max="64" width="7" style="81" bestFit="1" customWidth="1"/>
    <col min="65" max="65" width="6.44140625" style="81" bestFit="1" customWidth="1"/>
    <col min="66" max="66" width="7.109375" style="81" bestFit="1" customWidth="1"/>
    <col min="67" max="71" width="6.44140625" style="81" bestFit="1" customWidth="1"/>
    <col min="72" max="73" width="6.44140625" style="81" customWidth="1"/>
    <col min="74" max="75" width="13.44140625" style="81" customWidth="1"/>
    <col min="76" max="84" width="14.6640625" style="81" customWidth="1"/>
    <col min="85" max="85" width="6.44140625" style="81" customWidth="1"/>
    <col min="86" max="87" width="11.6640625" style="81" bestFit="1" customWidth="1"/>
    <col min="88" max="88" width="11.6640625" style="81" customWidth="1"/>
    <col min="89" max="89" width="12.77734375" style="81" bestFit="1" customWidth="1"/>
    <col min="90" max="90" width="16.44140625" style="82" bestFit="1" customWidth="1"/>
    <col min="91" max="92" width="14.88671875" style="82" bestFit="1" customWidth="1"/>
    <col min="93" max="93" width="16" style="82" bestFit="1" customWidth="1"/>
    <col min="94" max="97" width="7.77734375" style="81" customWidth="1"/>
    <col min="98" max="98" width="33.21875" style="81" customWidth="1"/>
    <col min="99" max="99" width="18" style="81" customWidth="1"/>
    <col min="100" max="100" width="75.6640625" style="81" customWidth="1"/>
    <col min="101" max="125" width="33" style="81" customWidth="1"/>
    <col min="126" max="126" width="8.88671875" style="81"/>
    <col min="127" max="128" width="9.44140625" style="81" bestFit="1" customWidth="1"/>
    <col min="129" max="129" width="10.77734375" style="81" bestFit="1" customWidth="1"/>
    <col min="130" max="134" width="10.77734375" style="81" customWidth="1"/>
    <col min="135" max="135" width="10.109375" style="81" bestFit="1" customWidth="1"/>
    <col min="136" max="136" width="7.77734375" style="81" bestFit="1" customWidth="1"/>
    <col min="137" max="137" width="7.77734375" style="81" customWidth="1"/>
    <col min="138" max="138" width="9" style="81" bestFit="1" customWidth="1"/>
    <col min="139" max="139" width="11.33203125" style="81" bestFit="1" customWidth="1"/>
    <col min="140" max="140" width="9.109375" style="81" bestFit="1" customWidth="1"/>
    <col min="141" max="141" width="9" style="81" bestFit="1" customWidth="1"/>
    <col min="142" max="142" width="12" style="81" bestFit="1" customWidth="1"/>
    <col min="143" max="166" width="12" style="81" customWidth="1"/>
    <col min="167" max="167" width="17.21875" style="81" customWidth="1"/>
    <col min="168" max="191" width="12" style="81" customWidth="1"/>
    <col min="192" max="192" width="8.5546875" style="81" bestFit="1" customWidth="1"/>
    <col min="193" max="193" width="8.5546875" style="81" customWidth="1"/>
    <col min="194" max="194" width="7.109375" style="81" bestFit="1" customWidth="1"/>
    <col min="195" max="195" width="7.5546875" style="81" bestFit="1" customWidth="1"/>
    <col min="196" max="196" width="8.5546875" style="81" bestFit="1" customWidth="1"/>
    <col min="197" max="200" width="8.5546875" style="81" customWidth="1"/>
    <col min="201" max="201" width="188.88671875" style="81" customWidth="1"/>
    <col min="202" max="202" width="9.5546875" style="81" bestFit="1" customWidth="1"/>
    <col min="203" max="203" width="10.44140625" style="81" bestFit="1" customWidth="1"/>
    <col min="204" max="204" width="11.109375" style="81" bestFit="1" customWidth="1"/>
    <col min="205" max="205" width="10.44140625" style="81" bestFit="1" customWidth="1"/>
    <col min="206" max="210" width="10.44140625" style="81" customWidth="1"/>
    <col min="211" max="211" width="45.44140625" style="81" customWidth="1"/>
    <col min="212" max="212" width="47.5546875" style="81" bestFit="1" customWidth="1"/>
    <col min="213" max="213" width="9.33203125" style="85" customWidth="1"/>
    <col min="214" max="214" width="119.5546875" style="81" customWidth="1"/>
    <col min="215" max="215" width="69.6640625" style="81" customWidth="1"/>
    <col min="216" max="218" width="8.88671875" style="81"/>
    <col min="219" max="219" width="37.109375" style="81" customWidth="1"/>
    <col min="220" max="220" width="16.33203125" style="81" customWidth="1"/>
    <col min="221" max="222" width="8.88671875" style="81"/>
    <col min="223" max="223" width="10.109375" style="81" bestFit="1" customWidth="1"/>
    <col min="224" max="232" width="10.88671875" style="81" customWidth="1"/>
    <col min="233" max="234" width="30.77734375" style="81" customWidth="1"/>
    <col min="235" max="235" width="5.109375" style="81" customWidth="1"/>
    <col min="236" max="236" width="3" style="81" customWidth="1"/>
    <col min="237" max="245" width="6.77734375" style="86" customWidth="1"/>
    <col min="246" max="247" width="8.88671875" style="81"/>
    <col min="248" max="248" width="61.5546875" style="81" customWidth="1"/>
    <col min="249" max="253" width="8.88671875" style="81"/>
    <col min="254" max="254" width="9" style="81" customWidth="1"/>
    <col min="255" max="16384" width="8.88671875" style="8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821</v>
      </c>
      <c r="B2" s="40" t="e" vm="45">
        <v>#VALUE!</v>
      </c>
      <c r="C2" s="41">
        <v>1</v>
      </c>
      <c r="D2" s="42" t="s">
        <v>822</v>
      </c>
      <c r="E2" s="43" t="s">
        <v>823</v>
      </c>
      <c r="F2" s="44" t="s">
        <v>163</v>
      </c>
      <c r="G2" s="45">
        <f>COUNTIF($A$1:$A$8352,A2)</f>
        <v>1</v>
      </c>
      <c r="H2" s="46"/>
      <c r="I2" s="47" t="s">
        <v>824</v>
      </c>
      <c r="J2" s="48" t="str">
        <f>""</f>
        <v/>
      </c>
      <c r="K2" s="49">
        <v>2436566</v>
      </c>
      <c r="L2" s="50">
        <v>269000</v>
      </c>
      <c r="M2" s="50" t="s">
        <v>831</v>
      </c>
      <c r="N2" s="51" t="s">
        <v>180</v>
      </c>
      <c r="O2" s="52" t="s">
        <v>422</v>
      </c>
      <c r="P2" s="53" t="s">
        <v>825</v>
      </c>
      <c r="Q2" s="54">
        <v>1</v>
      </c>
      <c r="R2" s="55" t="s">
        <v>180</v>
      </c>
      <c r="S2" s="56">
        <v>3</v>
      </c>
      <c r="T2" s="57" t="s">
        <v>164</v>
      </c>
      <c r="U2" s="58" t="s">
        <v>164</v>
      </c>
      <c r="V2" s="58" t="s">
        <v>167</v>
      </c>
      <c r="W2" s="58" t="s">
        <v>164</v>
      </c>
      <c r="X2" s="58" t="s">
        <v>164</v>
      </c>
      <c r="Y2" s="58" t="s">
        <v>164</v>
      </c>
      <c r="Z2" s="58" t="s">
        <v>164</v>
      </c>
      <c r="AA2" s="58" t="s">
        <v>164</v>
      </c>
      <c r="AB2" s="58" t="s">
        <v>164</v>
      </c>
      <c r="AC2" s="58" t="s">
        <v>164</v>
      </c>
      <c r="AD2" s="58" t="s">
        <v>164</v>
      </c>
      <c r="AE2" s="58" t="s">
        <v>164</v>
      </c>
      <c r="AF2" s="59" t="s">
        <v>164</v>
      </c>
      <c r="AG2" s="59" t="s">
        <v>164</v>
      </c>
      <c r="AH2" s="59" t="s">
        <v>164</v>
      </c>
      <c r="AI2" s="59" t="s">
        <v>164</v>
      </c>
      <c r="AJ2" s="59" t="s">
        <v>164</v>
      </c>
      <c r="AK2" s="59" t="s">
        <v>167</v>
      </c>
      <c r="AL2" s="59" t="s">
        <v>164</v>
      </c>
      <c r="AM2" s="59" t="s">
        <v>164</v>
      </c>
      <c r="AN2" s="59" t="s">
        <v>164</v>
      </c>
      <c r="AO2" s="59" t="s">
        <v>164</v>
      </c>
      <c r="AP2" s="59" t="s">
        <v>164</v>
      </c>
      <c r="AQ2" s="59" t="s">
        <v>164</v>
      </c>
      <c r="AR2" s="59" t="s">
        <v>164</v>
      </c>
      <c r="AS2" s="59" t="s">
        <v>164</v>
      </c>
      <c r="AT2" s="60">
        <v>0</v>
      </c>
      <c r="AU2" s="59"/>
      <c r="AV2" s="59" t="str">
        <f>IF(LEFT(A2,1)="[",LEFT(A2,5)&amp;AU2&amp;A2,"")</f>
        <v/>
      </c>
      <c r="AW2" s="59" t="str">
        <f t="shared" ref="AW2:AW3" si="0">C2&amp;H2&amp;A2</f>
        <v>1Gabon</v>
      </c>
      <c r="AX2" s="61" t="str">
        <f>_xlfn.TEXTJOIN(";",TRUE,AU2:AW2)</f>
        <v>1Gabon</v>
      </c>
      <c r="AY2" s="61"/>
      <c r="AZ2" s="62"/>
      <c r="BA2" s="62"/>
      <c r="BB2" s="62"/>
      <c r="BC2" s="63"/>
      <c r="BD2" s="64" t="s">
        <v>169</v>
      </c>
      <c r="BE2" s="47"/>
      <c r="BF2" s="64" t="s">
        <v>153</v>
      </c>
      <c r="BG2" s="64" t="s">
        <v>155</v>
      </c>
      <c r="BH2" s="64" t="s">
        <v>152</v>
      </c>
      <c r="BI2" s="64"/>
      <c r="BJ2" s="64"/>
      <c r="BK2" s="47"/>
      <c r="BL2" s="64" t="s">
        <v>153</v>
      </c>
      <c r="BM2" s="64" t="s">
        <v>155</v>
      </c>
      <c r="BN2" s="64" t="s">
        <v>152</v>
      </c>
      <c r="BO2" s="64"/>
      <c r="BP2" s="64"/>
      <c r="BQ2" s="64"/>
      <c r="BR2" s="64"/>
      <c r="BS2" s="64"/>
      <c r="BT2" s="64"/>
      <c r="BU2" s="65"/>
      <c r="BV2" s="66" t="s">
        <v>165</v>
      </c>
      <c r="BW2" s="66">
        <v>0</v>
      </c>
      <c r="BX2" s="47"/>
      <c r="CB2" s="6" t="s">
        <v>137</v>
      </c>
      <c r="CC2" s="6"/>
      <c r="CD2" s="67">
        <v>0</v>
      </c>
      <c r="CE2" s="67">
        <v>0</v>
      </c>
      <c r="CF2" s="67" t="e">
        <v>#REF!</v>
      </c>
      <c r="CG2" s="68" cm="1">
        <f t="array" ref="CG2">SUMPRODUCT(--(LEN(TRIM(BL2:BT2))&gt;0))</f>
        <v>3</v>
      </c>
      <c r="CH2" s="59" t="str">
        <f>IF(CG2=2,"y","n")</f>
        <v>n</v>
      </c>
      <c r="CI2" s="59" t="str">
        <f>IF(CG2=3,"y","n")</f>
        <v>y</v>
      </c>
      <c r="CJ2" s="59" t="str">
        <f>IF(CG2=4,"y","n")</f>
        <v>n</v>
      </c>
      <c r="CK2" s="59" t="str">
        <f>IF(CG2&gt;4,"y","n")</f>
        <v>n</v>
      </c>
      <c r="CL2" s="59" t="str">
        <f>IF(S2=0,"y","n")</f>
        <v>n</v>
      </c>
      <c r="CM2" s="59" t="str">
        <f>IF(S2=2,"y","n")</f>
        <v>n</v>
      </c>
      <c r="CN2" s="59" t="str">
        <f>IF(S2=3,"y","n")</f>
        <v>y</v>
      </c>
      <c r="CO2" s="59" t="str">
        <f>IF(S2&gt;=4,"y","n")</f>
        <v>n</v>
      </c>
      <c r="CP2" s="59" t="str">
        <f>IF(AT2=0,"y","n")</f>
        <v>y</v>
      </c>
      <c r="CQ2" s="59" t="str">
        <f>IF(AT2=1,"y","n")</f>
        <v>n</v>
      </c>
      <c r="CR2" s="59" t="str">
        <f>IF(AT2=2,"y","n")</f>
        <v>n</v>
      </c>
      <c r="CS2" s="59" t="str">
        <f>IF(AT2&gt;=3,"y","n")</f>
        <v>n</v>
      </c>
      <c r="CT2" s="69" t="str">
        <f>CHAR(34)&amp;A2&amp;CHAR(34)</f>
        <v>"Gabon"</v>
      </c>
      <c r="CU2" s="70" t="str">
        <f>CHAR(34)&amp;"rgn_"&amp;R2&amp;CHAR(34)</f>
        <v>"rgn_Africa"</v>
      </c>
      <c r="CV2" s="48" t="str">
        <f>CHAR(34)&amp;D2&amp;CHAR(34)</f>
        <v>"https://i.ibb.co/0V5HtgH/Gabon-Flag.png"</v>
      </c>
      <c r="CW2" s="48" t="str">
        <f>IF(CH2="y",CHAR(34)&amp;CH$1&amp;CHAR(34)&amp;",","")</f>
        <v/>
      </c>
      <c r="CX2" s="48" t="str">
        <f>IF(CI2="y",CHAR(34)&amp;CI$1&amp;CHAR(34)&amp;",","")</f>
        <v>"3Color",</v>
      </c>
      <c r="CY2" s="48" t="str">
        <f>IF(CJ2="y",CHAR(34)&amp;CJ$1&amp;CHAR(34)&amp;",","")</f>
        <v/>
      </c>
      <c r="CZ2" s="48" t="str">
        <f>IF(CK2="y",CHAR(34)&amp;CK$1&amp;CHAR(34)&amp;",","")</f>
        <v/>
      </c>
      <c r="DA2" s="48" t="str">
        <f>IF(Q2&gt;1,CHAR(34)&amp;"words2"&amp;CHAR(34)&amp;",","")</f>
        <v/>
      </c>
      <c r="DB2" s="48" t="str">
        <f>IF(Q2&gt;2,CHAR(34)&amp;"words3"&amp;CHAR(34)&amp;",","")</f>
        <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"lets05",</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"startG",</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"LUREEL",</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
      </c>
      <c r="DS2" s="6" t="str">
        <f>IF(W2="y",IF(AND(V2="n",BY2&lt;&gt;"y"),CHAR(34)&amp;"allver"&amp;CHAR(34)&amp;",",""),"")</f>
        <v/>
      </c>
      <c r="DT2" s="6" t="str">
        <f>IF(V2="y",IF(AND(W2="n",BY2&lt;&gt;"y"),CHAR(34)&amp;"allhor"&amp;CHAR(34)&amp;",",""),"")</f>
        <v>"allhor",</v>
      </c>
      <c r="DU2" s="6" t="str">
        <f>IF(BY2="y",IF(AND(W2="n",V2="n"),CHAR(34)&amp;"alldia"&amp;CHAR(34)&amp;",",""),"")</f>
        <v/>
      </c>
      <c r="DV2" s="48" t="str">
        <f>IF(IA2&lt;&gt;"",(IF(IA2="y",CHAR(34)&amp;"largec"&amp;CHAR(34)&amp;",",CHAR(34)&amp;"smallc"&amp;CHAR(34)&amp;",")),"")</f>
        <v/>
      </c>
      <c r="DW2" s="48" t="str">
        <f>IF(CL2="y",CHAR(34)&amp;CL$1&amp;CHAR(34)&amp;",","")</f>
        <v/>
      </c>
      <c r="DX2" s="48" t="str">
        <f>IF(CM2="y",CHAR(34)&amp;CM$1&amp;CHAR(34)&amp;",","")</f>
        <v/>
      </c>
      <c r="DY2" s="48" t="str">
        <f>IF(CN2="y",CHAR(34)&amp;CN$1&amp;CHAR(34)&amp;",","")</f>
        <v>"3Bands",</v>
      </c>
      <c r="DZ2" s="48" t="str">
        <f>IF(CO2="y",CHAR(34)&amp;CO$1&amp;CHAR(34)&amp;",","")</f>
        <v/>
      </c>
      <c r="EA2" s="48" t="str">
        <f>IF(T2="y",CHAR(34)&amp;T$1&amp;CHAR(34)&amp;",","")</f>
        <v/>
      </c>
      <c r="EB2" s="48" t="str">
        <f>IF(U2="y",CHAR(34)&amp;U$1&amp;CHAR(34)&amp;",","")</f>
        <v/>
      </c>
      <c r="EC2" s="48" t="str">
        <f>IF(V2="y",CHAR(34)&amp;V$1&amp;CHAR(34)&amp;",","")</f>
        <v>"Horizo",</v>
      </c>
      <c r="ED2" s="48" t="str">
        <f>IF(W2="y",CHAR(34)&amp;W$1&amp;CHAR(34)&amp;",","")</f>
        <v/>
      </c>
      <c r="EE2" s="48" t="str">
        <f>IF(X2="y",CHAR(34)&amp;X$1&amp;CHAR(34)&amp;",","")</f>
        <v/>
      </c>
      <c r="EF2" s="48" t="str">
        <f>IF(AND(Y2&lt;&gt;"n",Y2&lt;&gt;""),CHAR(34)&amp;Y$1&amp;CHAR(34)&amp;",","")</f>
        <v/>
      </c>
      <c r="EG2" s="48" t="str">
        <f>IF(Z2="y",CHAR(34)&amp;Z$1&amp;CHAR(34)&amp;",","")</f>
        <v/>
      </c>
      <c r="EH2" s="48" t="str">
        <f>IF(AA2="y",CHAR(34)&amp;AA$1&amp;CHAR(34)&amp;",","")</f>
        <v/>
      </c>
      <c r="EI2" s="48" t="str">
        <f>IF(AB2="y",CHAR(34)&amp;AB$1&amp;CHAR(34)&amp;",","")</f>
        <v/>
      </c>
      <c r="EJ2" s="48" t="str">
        <f>IF(AC2="y",CHAR(34)&amp;AC$1&amp;CHAR(34)&amp;",","")</f>
        <v/>
      </c>
      <c r="EK2" s="48" t="str">
        <f>IF(AD2="y",CHAR(34)&amp;AD$1&amp;CHAR(34)&amp;",","")</f>
        <v/>
      </c>
      <c r="EL2" s="48" t="str">
        <f>IF(AE2="y",CHAR(34)&amp;AE$1&amp;CHAR(34)&amp;",","")</f>
        <v/>
      </c>
      <c r="EM2" s="48" t="str">
        <f>IF(AF2="y",CHAR(34)&amp;AF$1&amp;CHAR(34)&amp;",","")</f>
        <v/>
      </c>
      <c r="EN2" s="48" t="str">
        <f>IF(AG2="y",CHAR(34)&amp;AG$1&amp;CHAR(34)&amp;",","")</f>
        <v/>
      </c>
      <c r="EO2" s="48" t="str">
        <f>IF(AH2="y",CHAR(34)&amp;AH$1&amp;CHAR(34)&amp;",","")</f>
        <v/>
      </c>
      <c r="EP2" s="48" t="str">
        <f>IF(AI2="y",CHAR(34)&amp;AI$1&amp;CHAR(34)&amp;",","")</f>
        <v/>
      </c>
      <c r="EQ2" s="48" t="str">
        <f>IF(AJ2="y",CHAR(34)&amp;AJ$1&amp;CHAR(34)&amp;",","")</f>
        <v/>
      </c>
      <c r="ER2" s="48" t="str">
        <f>IF(AK2="y",CHAR(34)&amp;AK$1&amp;CHAR(34)&amp;",","")</f>
        <v>"OnlyBa",</v>
      </c>
      <c r="ES2" s="48" t="str">
        <f>IF(AL2="y",CHAR(34)&amp;AL$1&amp;CHAR(34)&amp;",","")</f>
        <v/>
      </c>
      <c r="ET2" s="48" t="str">
        <f>IF(AM2="y",CHAR(34)&amp;AM$1&amp;CHAR(34)&amp;",","")</f>
        <v/>
      </c>
      <c r="EU2" s="48" t="str">
        <f>IF(AN2="y",CHAR(34)&amp;AN$1&amp;CHAR(34)&amp;",","")</f>
        <v/>
      </c>
      <c r="EV2" s="48" t="str">
        <f>IF(AO2="y",CHAR(34)&amp;AO$1&amp;CHAR(34)&amp;",","")</f>
        <v/>
      </c>
      <c r="EW2" s="48" t="str">
        <f>IF(AP2="y",CHAR(34)&amp;AP$1&amp;CHAR(34)&amp;",","")</f>
        <v/>
      </c>
      <c r="EX2" s="48" t="str">
        <f>IF(AQ2="y",CHAR(34)&amp;AQ$1&amp;CHAR(34)&amp;",","")</f>
        <v/>
      </c>
      <c r="EY2" s="48" t="str">
        <f>IF(AR2="y",CHAR(34)&amp;AR$1&amp;CHAR(34)&amp;",","")</f>
        <v/>
      </c>
      <c r="EZ2" s="48" t="str">
        <f>IF(AS2="y",CHAR(34)&amp;AS$1&amp;CHAR(34)&amp;",","")</f>
        <v/>
      </c>
      <c r="FA2" s="48" t="str">
        <f>IF(AT2&gt;0,CHAR(34)&amp;"sta"&amp;AZ2&amp;CHAR(34)&amp;",","")</f>
        <v/>
      </c>
      <c r="FB2" s="48" t="str">
        <f>IF(AND(AT2&gt;0,BA2&lt;&gt;""),CHAR(34)&amp;"sta"&amp;BA2&amp;CHAR(34)&amp;",","")</f>
        <v/>
      </c>
      <c r="FC2" s="48" t="str">
        <f>IF(AND(AT2&gt;0,BB2&lt;&gt;""),CHAR(34)&amp;"sta"&amp;BB2&amp;CHAR(34)&amp;",","")</f>
        <v/>
      </c>
      <c r="FD2" s="48" t="str">
        <f>IF(BV2="n",CHAR(34)&amp;"tcWHYE"&amp;CHAR(34)&amp;",",IF(BV2="y",CHAR(34)&amp;FD$1&amp;CHAR(34)&amp;",",""))</f>
        <v/>
      </c>
      <c r="FE2" s="48" t="str">
        <f>IF(COUNTIF(BL2:BT2,"BLU")=0,CHAR(34)&amp;"NO_BLU"&amp;CHAR(34)&amp;",", "")</f>
        <v/>
      </c>
      <c r="FF2" s="48" t="str">
        <f>IF(COUNTIF(BL2:BT2,"WHI")=0,CHAR(34)&amp;"NO_WHI"&amp;CHAR(34)&amp;",", "")</f>
        <v>"NO_WHI",</v>
      </c>
      <c r="FG2" s="48" t="str">
        <f>IF(COUNTIF(BL2:BT2,"RED")=0,CHAR(34)&amp;"NO_RED"&amp;CHAR(34)&amp;",", "")</f>
        <v>"NO_RED",</v>
      </c>
      <c r="FH2" s="48" t="str">
        <f>IF(COUNTIF(BL2:BS2,"GRE")=0,CHAR(34)&amp;"NO_GRE"&amp;CHAR(34)&amp;",", "")</f>
        <v/>
      </c>
      <c r="FI2" s="48" t="str">
        <f>IF(COUNTIF(BL2:BT2,"YEL")=0,CHAR(34)&amp;"NO_YEL"&amp;CHAR(34)&amp;",", "")</f>
        <v/>
      </c>
      <c r="FJ2" s="48" t="str">
        <f>IF(COUNTIF(BL2:BT2,"BLA")=0,CHAR(34)&amp;"NO_BLA"&amp;CHAR(34)&amp;",", "")</f>
        <v>"NO_BLA",</v>
      </c>
      <c r="FK2" s="48" t="str">
        <f>IF(AND(FH2&lt;&gt;"",FF2&lt;&gt;""),CHAR(34)&amp;"WHGRNO"&amp;CHAR(34)&amp;",","")</f>
        <v/>
      </c>
      <c r="FL2" s="48" t="str">
        <f>IF(AND(FI2&lt;&gt;"",FF2&lt;&gt;""),CHAR(34)&amp;"WHYENO"&amp;CHAR(34)&amp;",","")</f>
        <v/>
      </c>
      <c r="FM2" s="48" t="str">
        <f>IF(AND(FJ2&lt;&gt;"",FF2&lt;&gt;""),CHAR(34)&amp;"BAWHNO"&amp;CHAR(34)&amp;",","")</f>
        <v>"BAWHNO",</v>
      </c>
      <c r="FN2" s="48" t="str">
        <f>IF(AND(FE2&lt;&gt;"",FF2&lt;&gt;""),CHAR(34)&amp;"BLWHNO"&amp;CHAR(34)&amp;",","")</f>
        <v/>
      </c>
      <c r="FO2" s="48" t="str">
        <f>IF(AND(FE2&lt;&gt;"",FG2&lt;&gt;""),CHAR(34)&amp;"BLRENO"&amp;CHAR(34)&amp;",","")</f>
        <v/>
      </c>
      <c r="FP2" s="48" t="str">
        <f>IF(AND(FF2&lt;&gt;"",FF2&lt;&gt;""),CHAR(34)&amp;"WHRENO"&amp;CHAR(34)&amp;",","")</f>
        <v>"WHRENO",</v>
      </c>
      <c r="FQ2" s="48" t="str">
        <f>IF(LEN(BF2)=3,CHAR(34)&amp;"001"&amp;BF2&amp;CHAR(34)&amp;",","")</f>
        <v>"001GRE",</v>
      </c>
      <c r="FR2" s="48" t="str">
        <f>IF(LEN(BG2)=3,CHAR(34)&amp;"002"&amp;BG2&amp;CHAR(34)&amp;",","")</f>
        <v>"002YEL",</v>
      </c>
      <c r="FS2" s="48" t="str">
        <f>IF(LEN(BH2)=3,CHAR(34)&amp;"003"&amp;BH2&amp;CHAR(34)&amp;",","")</f>
        <v>"003BLU",</v>
      </c>
      <c r="FT2" s="48" t="str">
        <f>CHAR(34)&amp;"myr"&amp;BD2&amp;CHAR(34)&amp;","</f>
        <v>"myrEQ",</v>
      </c>
      <c r="FU2" s="48" t="str">
        <f>IF(AY2="y",CHAR(34)&amp;"island"&amp;CHAR(34)&amp;",","")</f>
        <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
      </c>
      <c r="GA2" s="48" t="str">
        <f>IFERROR(IF(SEARCH("French",CB2)&gt;0,CHAR(34)&amp;"french"&amp;CHAR(34)&amp;",",""),"")</f>
        <v>"french",</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"NoStar",</v>
      </c>
      <c r="GK2" s="48" t="str">
        <f>IF(GJ2="",CHAR(34)&amp;"HasSta"&amp;CHAR(34)&amp;",","")</f>
        <v/>
      </c>
      <c r="GL2" s="48" t="str">
        <f>IF(CQ2="y",CHAR(34)&amp;CQ$1&amp;CHAR(34)&amp;",","")</f>
        <v/>
      </c>
      <c r="GM2" s="48" t="str">
        <f>IF(CR2="y",CHAR(34)&amp;CR$1&amp;CHAR(34)&amp;",","")</f>
        <v/>
      </c>
      <c r="GN2" s="48" t="str">
        <f>IF(CS2="y",CHAR(34)&amp;CS$1&amp;CHAR(34)&amp;",","")</f>
        <v/>
      </c>
      <c r="GP2" s="48" t="str">
        <f>CHAR(34)&amp;AU2&amp;CHAR(34)</f>
        <v>""</v>
      </c>
      <c r="GS2" s="48" t="str">
        <f>SUBSTITUTE("["&amp;_xlfn.CONCAT(CW2:GN2)&amp;"]",",]","]")</f>
        <v>["3Color","lets05","startG","LUREEL","year19","allhor","3Bands","Horizo","OnlyBa","NO_WHI","NO_RED","NO_BLA","BAWHNO","WHRENO","001GRE","002YEL","003BLU","myrEQ","french","NoStar"]</v>
      </c>
      <c r="GT2" s="48" t="str">
        <f>IF(BL2&lt;&gt;"",CHAR(34)&amp;"cl_"&amp;BL2&amp;CHAR(34)&amp;",","")</f>
        <v>"cl_GRE",</v>
      </c>
      <c r="GU2" s="48" t="str">
        <f>IF(BM2&lt;&gt;"",CHAR(34)&amp;"cl_"&amp;BM2&amp;CHAR(34)&amp;",","")</f>
        <v>"cl_YEL",</v>
      </c>
      <c r="GV2" s="48" t="str">
        <f>IF(BN2&lt;&gt;"",CHAR(34)&amp;"cl_"&amp;BN2&amp;CHAR(34)&amp;",","")</f>
        <v>"cl_BLU",</v>
      </c>
      <c r="GW2" s="48" t="str">
        <f>IF(BO2&lt;&gt;"",CHAR(34)&amp;"cl_"&amp;BO2&amp;CHAR(34)&amp;",","")</f>
        <v/>
      </c>
      <c r="GX2" s="48" t="str">
        <f>IF(BP2&lt;&gt;"",CHAR(34)&amp;"cl_"&amp;BP2&amp;CHAR(34)&amp;",","")</f>
        <v/>
      </c>
      <c r="GY2" s="48" t="str">
        <f>IF(BQ2&lt;&gt;"",CHAR(34)&amp;"cl_"&amp;BQ2&amp;CHAR(34)&amp;",","")</f>
        <v/>
      </c>
      <c r="GZ2" s="48" t="str">
        <f>IF(BR2&lt;&gt;"",CHAR(34)&amp;"cl_"&amp;BR2&amp;CHAR(34)&amp;",","")</f>
        <v/>
      </c>
      <c r="HA2" s="48" t="str">
        <f>IF(BS2&lt;&gt;"",CHAR(34)&amp;"cl_"&amp;BS2&amp;CHAR(34)&amp;",","")</f>
        <v/>
      </c>
      <c r="HB2" s="48" t="str">
        <f>IF(BT2&lt;&gt;"",CHAR(34)&amp;"cl_"&amp;BT2&amp;CHAR(34)&amp;",","")</f>
        <v/>
      </c>
      <c r="HC2" s="48" t="str">
        <f>SUBSTITUTE("["&amp;_xlfn.CONCAT(GT2:HB2)&amp;"]",",]","]")</f>
        <v>["cl_GRE","cl_YEL","cl_BLU"]</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{couname:"Gabon",year:"1960 ",region:"rgn_Africa",Colors:["cl_GRE","cl_YEL","cl_BLU"],Items:["3Color","lets05","startG","LUREEL","year19","allhor","3Bands","Horizo","OnlyBa","NO_WHI","NO_RED","NO_BLA","BAWHNO","WHRENO","001GRE","002YEL","003BLU","myrEQ","french","NoStar"],Flag:"https://i.ibb.co/0V5HtgH/Gabon-Flag.png",HDFlag:"https://upload.wikimedia.org/wikipedia/commons/thumb/0/04/Flag_of_Gabon.svg/2560px-Flag_of_Gabon.svg.png",type:"", describe: "\nThe yellow alludes to the Equator – which cuts across the country – and also symbolizes the sun. The green epitomizes the natural resources of Gabon, as well as its extensive forested area that the Gabonese people are economically dependent on in the form of lumber. The blue represents the sea, specifically the South Atlantic Ocean along which the country has an extensive coast.", isnew:".", links: "https://en.wikipedia.org/wiki/Flag_of_Gabon"},</v>
      </c>
      <c r="HG2" s="73" t="str">
        <f>"{couname:"&amp;CT2&amp;(IF(HK2&lt;&gt;"",",subtype:"&amp;CHAR(34)&amp;HK2&amp;CHAR(34),""))&amp;",year:"&amp;HJ2&amp;",region:"&amp;CU2&amp;",Colors:"&amp;HC2&amp;",Items:"&amp;GS2&amp;",Flag:"&amp;CV2&amp;",HDFlag:"&amp;CHAR(34)&amp;E2&amp;CHAR(34)&amp;",type:"&amp;GP2&amp;", describe: "&amp;HI2&amp;", links: "&amp;HL2&amp;"},"</f>
        <v>{couname:"Gabon",year:"1960 ",region:"rgn_Africa",Colors:["cl_GRE","cl_YEL","cl_BLU"],Items:["3Color","lets05","startG","LUREEL","year19","allhor","3Bands","Horizo","OnlyBa","NO_WHI","NO_RED","NO_BLA","BAWHNO","WHRENO","001GRE","002YEL","003BLU","myrEQ","french","NoStar"],Flag:"https://i.ibb.co/0V5HtgH/Gabon-Flag.png",HDFlag:"https://upload.wikimedia.org/wikipedia/commons/thumb/0/04/Flag_of_Gabon.svg/2560px-Flag_of_Gabon.svg.png",type:"", describe: "\nThe yellow alludes to the Equator – which cuts across the country – and also symbolizes the sun. The green epitomizes the natural resources of Gabon, as well as its extensive forested area that the Gabonese people are economically dependent on in the form of lumber. The blue represents the sea, specifically the South Atlantic Ocean along which the country has an extensive coast.", links: "https://en.wikipedia.org/wiki/Flag_of_Gabon"},</v>
      </c>
      <c r="HH2" s="48" t="str">
        <f>IF(P2&lt;&gt;"",CHAR(34)&amp;"\n"&amp;P2&amp;CHAR(34),CHAR(34)&amp;CHAR(34))</f>
        <v>"\nThe yellow alludes to the Equator – which cuts across the country – and also symbolizes the sun. The green epitomizes the natural resources of Gabon, as well as its extensive forested area that the Gabonese people are economically dependent on in the form of lumber. The blue represents the sea, specifically the South Atlantic Ocean along which the country has an extensive coast."</v>
      </c>
      <c r="HI2" s="48" t="str">
        <f>IF(J2=0,CHAR(34)&amp;CHAR(34),HH2)</f>
        <v>"\nThe yellow alludes to the Equator – which cuts across the country – and also symbolizes the sun. The green epitomizes the natural resources of Gabon, as well as its extensive forested area that the Gabonese people are economically dependent on in the form of lumber. The blue represents the sea, specifically the South Atlantic Ocean along which the country has an extensive coast."</v>
      </c>
      <c r="HJ2" s="48" t="str">
        <f>CHAR(34)&amp;O2&amp;CHAR(34)</f>
        <v>"1960 "</v>
      </c>
      <c r="HL2" s="48" t="str">
        <f>CHAR(34)&amp;I2&amp;CHAR(34)</f>
        <v>"https://en.wikipedia.org/wiki/Flag_of_Gabon"</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{"couname":"Gabon","year":"1960 ","region":"rgn_Africa","Colors":["cl_GRE","cl_YEL","cl_BLU"],"Items":["3Color","lets05","startG","LUREEL","year19","allhor","3Bands","Horizo","OnlyBa","NO_WHI","NO_RED","NO_BLA","BAWHNO","WHRENO","001GRE","002YEL","003BLU","myrEQ","french","NoStar"],"Flag":"https://i.ibb.co/0V5HtgH/Gabon-Flag.png","HDFlag":"https://upload.wikimedia.org/wikipedia/commons/thumb/0/04/Flag_of_Gabon.svg/2560px-Flag_of_Gabon.svg.png","type":"", "describe": "\nThe yellow alludes to the Equator – which cuts across the country – and also symbolizes the sun. The green epitomizes the natural resources of Gabon, as well as its extensive forested area that the Gabonese people are economically dependent on in the form of lumber. The blue represents the sea, specifically the South Atlantic Ocean along which the country has an extensive coast.", "isnew": ".", "links": "https://en.wikipedia.org/wiki/Flag_of_Gabon"},</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{"couname":"Gabon","year":"1960 ","region":"rgn_Africa","Colors":["cl_GRE","cl_YEL","cl_BLU"],"Items":["3Color","lets05","startG","LUREEL","year19","allhor","3Bands","Horizo","OnlyBa","NO_WHI","NO_RED","NO_BLA","BAWHNO","WHRENO","001GRE","002YEL","003BLU","myrEQ","french","NoStar"],"Flag":"https://i.ibb.co/0V5HtgH/Gabon-Flag.png","HDFlag":"https://upload.wikimedia.org/wikipedia/commons/thumb/0/04/Flag_of_Gabon.svg/2560px-Flag_of_Gabon.svg.png","type":"", "describe": "\nThe yellow alludes to the Equator – which cuts across the country – and also symbolizes the sun. The green epitomizes the natural resources of Gabon, as well as its extensive forested area that the Gabonese people are economically dependent on in the form of lumber. The blue represents the sea, specifically the South Atlantic Ocean along which the country has an extensive coast.", "isnew": ".", "links": "https://en.wikipedia.org/wiki/Flag_of_Gabon"},</v>
      </c>
      <c r="HO2" s="75"/>
      <c r="HP2" s="48" t="str" cm="1">
        <f t="array" ref="HP2">IF(_xlfn.TEXTJOIN(", ", TRUE, IF(ISNUMBER(SEARCH("BLA", BL2:BT2)), COLUMN(BL2:BT2) - COLUMN(BL2) + 1, ""))&lt;&gt;"","BLA","")</f>
        <v/>
      </c>
      <c r="HQ2" s="48" t="str" cm="1">
        <f t="array" ref="HQ2">IF(_xlfn.TEXTJOIN(", ", TRUE, IF(ISNUMBER(SEARCH("BLU", BL2:BT2)), COLUMN(BL2:BT2) - COLUMN(BL2) + 1, ""))&lt;&gt;"","BLU","")</f>
        <v>BLU</v>
      </c>
      <c r="HR2" s="48" t="str" cm="1">
        <f t="array" ref="HR2">IF(_xlfn.TEXTJOIN(", ", TRUE, IF(ISNUMBER(SEARCH("GRE", BL2:BT2)), COLUMN(BL2:BT2) - COLUMN(BL2) + 1, ""))&lt;&gt;"","GRE","")</f>
        <v>GRE</v>
      </c>
      <c r="HS2" s="48" t="str" cm="1">
        <f t="array" ref="HS2">IF(_xlfn.TEXTJOIN(", ", TRUE, IF(ISNUMBER(SEARCH("RED", BL2:BT2)), COLUMN(BL2:BT2) - COLUMN(BL2) + 1, ""))&lt;&gt;"","RED","")</f>
        <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
      </c>
      <c r="HY2" s="76"/>
      <c r="HZ2" s="76"/>
      <c r="IA2" s="6"/>
      <c r="IB2" s="6"/>
      <c r="IC2" s="77"/>
      <c r="ID2" s="77"/>
      <c r="IE2" s="77"/>
      <c r="IF2" s="77"/>
      <c r="IG2" s="77"/>
      <c r="IH2" s="77"/>
      <c r="II2" s="77"/>
      <c r="IJ2" s="77"/>
      <c r="IK2" s="77"/>
      <c r="IL2" s="48">
        <f>SUM(IC2:IK2)</f>
        <v>0</v>
      </c>
      <c r="IM2" s="45">
        <f>COUNTIF(IC2:IK2,"&gt;0")-CG2</f>
        <v>-3</v>
      </c>
      <c r="IN2" s="78" t="str">
        <f>"http://mkweb.bcgsc.ca/color-summarizer/?url="&amp;D2&amp;"&amp;precision=low&amp;num_clusters="&amp;CG2&amp;"&amp;text=1"</f>
        <v>http://mkweb.bcgsc.ca/color-summarizer/?url=https://i.ibb.co/0V5HtgH/Gabon-Flag.png&amp;precision=low&amp;num_clusters=3&amp;text=1</v>
      </c>
      <c r="IO2" s="48" t="str">
        <f>IF(HP2&lt;&gt;"",CHAR(34)&amp;"black"&amp;CHAR(34),"")</f>
        <v/>
      </c>
      <c r="IP2" s="48" t="str">
        <f>IF(HQ2&lt;&gt;"",CHAR(34)&amp;"blue"&amp;CHAR(34),"")</f>
        <v>"blue"</v>
      </c>
      <c r="IQ2" s="48" t="str">
        <f>IF(HR2&lt;&gt;"",CHAR(34)&amp;"green"&amp;CHAR(34),"")</f>
        <v>"green"</v>
      </c>
      <c r="IR2" s="48" t="str">
        <f>IF(HS2&lt;&gt;"",CHAR(34)&amp;"red"&amp;CHAR(34),"")</f>
        <v/>
      </c>
      <c r="IS2" s="48" t="str">
        <f>IF(HT2&lt;&gt;"",CHAR(34)&amp;"yellow"&amp;CHAR(34),"")</f>
        <v>"yellow"</v>
      </c>
      <c r="IT2" s="48" t="str">
        <f>IF(HU2&lt;&gt;"",CHAR(34)&amp;"orange"&amp;CHAR(34),"")</f>
        <v/>
      </c>
      <c r="IU2" s="48" t="str">
        <f>IF(HV2&lt;&gt;"",CHAR(34)&amp;"brown"&amp;CHAR(34),"")</f>
        <v/>
      </c>
      <c r="IV2" s="48" t="str">
        <f>IF(HW2&lt;&gt;"",CHAR(34)&amp;"purple"&amp;CHAR(34),"")</f>
        <v/>
      </c>
      <c r="IW2" s="48" t="str">
        <f>IF(HX2&lt;&gt;"",CHAR(34)&amp;"white"&amp;CHAR(34),"")</f>
        <v/>
      </c>
      <c r="IX2" s="48" t="str">
        <f>"{"&amp;CHAR(34)&amp;"url"&amp;CHAR(34)&amp;":"&amp;CHAR(34)&amp;IN2&amp;CHAR(34)&amp;","&amp;CHAR(34)&amp;"name"&amp;CHAR(34)&amp;":"&amp;CHAR(34)&amp;A2&amp;CHAR(34)&amp;"},"</f>
        <v>{"url":"http://mkweb.bcgsc.ca/color-summarizer/?url=https://i.ibb.co/0V5HtgH/Gabon-Flag.png&amp;precision=low&amp;num_clusters=3&amp;text=1","name":"Gabon"},</v>
      </c>
      <c r="IY2" s="48">
        <v>80</v>
      </c>
    </row>
    <row r="3" spans="1:259" s="48" customFormat="1" ht="38.4" customHeight="1" thickBot="1" x14ac:dyDescent="0.35">
      <c r="A3" s="80" t="s">
        <v>826</v>
      </c>
      <c r="B3" s="40" t="e" vm="46">
        <v>#VALUE!</v>
      </c>
      <c r="C3" s="41" t="s">
        <v>173</v>
      </c>
      <c r="D3" s="42" t="s">
        <v>827</v>
      </c>
      <c r="E3" s="43" t="s">
        <v>827</v>
      </c>
      <c r="F3" s="44" t="s">
        <v>163</v>
      </c>
      <c r="G3" s="45">
        <f>COUNTIF($A$1:$A$8356,A3)</f>
        <v>1</v>
      </c>
      <c r="H3" s="46" t="s">
        <v>830</v>
      </c>
      <c r="I3" s="47" t="s">
        <v>828</v>
      </c>
      <c r="J3" s="48" t="str">
        <f>""</f>
        <v/>
      </c>
      <c r="K3" s="49"/>
      <c r="L3" s="50"/>
      <c r="M3" s="50"/>
      <c r="N3" s="51" t="s">
        <v>180</v>
      </c>
      <c r="O3" s="52">
        <v>1959</v>
      </c>
      <c r="P3" s="53" t="s">
        <v>829</v>
      </c>
      <c r="Q3" s="54">
        <v>2</v>
      </c>
      <c r="R3" s="55" t="s">
        <v>180</v>
      </c>
      <c r="S3" s="56">
        <v>3</v>
      </c>
      <c r="T3" s="57" t="s">
        <v>164</v>
      </c>
      <c r="U3" s="58" t="s">
        <v>164</v>
      </c>
      <c r="V3" s="58" t="s">
        <v>167</v>
      </c>
      <c r="W3" s="58" t="s">
        <v>167</v>
      </c>
      <c r="X3" s="58" t="s">
        <v>164</v>
      </c>
      <c r="Y3" s="58" t="s">
        <v>164</v>
      </c>
      <c r="Z3" s="58" t="s">
        <v>164</v>
      </c>
      <c r="AA3" s="58" t="s">
        <v>164</v>
      </c>
      <c r="AB3" s="58" t="s">
        <v>164</v>
      </c>
      <c r="AC3" s="58" t="s">
        <v>164</v>
      </c>
      <c r="AD3" s="58" t="s">
        <v>164</v>
      </c>
      <c r="AE3" s="58" t="s">
        <v>164</v>
      </c>
      <c r="AF3" s="59" t="s">
        <v>164</v>
      </c>
      <c r="AG3" s="59" t="s">
        <v>164</v>
      </c>
      <c r="AH3" s="59" t="s">
        <v>164</v>
      </c>
      <c r="AI3" s="59" t="s">
        <v>167</v>
      </c>
      <c r="AJ3" s="59" t="s">
        <v>164</v>
      </c>
      <c r="AK3" s="59" t="s">
        <v>164</v>
      </c>
      <c r="AL3" s="59" t="s">
        <v>164</v>
      </c>
      <c r="AM3" s="59" t="s">
        <v>164</v>
      </c>
      <c r="AN3" s="59" t="s">
        <v>164</v>
      </c>
      <c r="AO3" s="59" t="s">
        <v>164</v>
      </c>
      <c r="AP3" s="59" t="s">
        <v>164</v>
      </c>
      <c r="AQ3" s="59" t="s">
        <v>164</v>
      </c>
      <c r="AR3" s="59" t="s">
        <v>164</v>
      </c>
      <c r="AS3" s="59" t="s">
        <v>164</v>
      </c>
      <c r="AT3" s="60">
        <v>0</v>
      </c>
      <c r="AU3" s="59" t="s">
        <v>174</v>
      </c>
      <c r="AV3" s="59" t="str">
        <f>IF(LEFT(A3,1)="[",LEFT(A3,5)&amp;AU3&amp;A3,"")</f>
        <v>[GAB]Historical[GAB] Gabon (1959-1960)</v>
      </c>
      <c r="AW3" s="59" t="str">
        <f t="shared" si="0"/>
        <v>3b[GAB] Other[GAB] Gabon (1959-1960)</v>
      </c>
      <c r="AX3" s="61"/>
      <c r="AY3" s="61"/>
      <c r="AZ3" s="62" t="s">
        <v>172</v>
      </c>
      <c r="BA3" s="62" t="s">
        <v>172</v>
      </c>
      <c r="BB3" s="62"/>
      <c r="BC3" s="63"/>
      <c r="BD3" s="64" t="s">
        <v>152</v>
      </c>
      <c r="BE3" s="47"/>
      <c r="BF3" s="64" t="s">
        <v>153</v>
      </c>
      <c r="BG3" s="64" t="s">
        <v>155</v>
      </c>
      <c r="BH3" s="64" t="s">
        <v>152</v>
      </c>
      <c r="BI3" s="64"/>
      <c r="BJ3" s="64"/>
      <c r="BK3" s="47"/>
      <c r="BL3" s="64" t="s">
        <v>172</v>
      </c>
      <c r="BM3" s="64" t="s">
        <v>152</v>
      </c>
      <c r="BN3" s="64" t="s">
        <v>153</v>
      </c>
      <c r="BO3" s="64" t="s">
        <v>154</v>
      </c>
      <c r="BP3" s="64" t="s">
        <v>155</v>
      </c>
      <c r="BQ3" s="64" t="s">
        <v>172</v>
      </c>
      <c r="BR3" s="64" t="s">
        <v>172</v>
      </c>
      <c r="BS3" s="64" t="s">
        <v>172</v>
      </c>
      <c r="BT3" s="64" t="s">
        <v>159</v>
      </c>
      <c r="BU3" s="65" t="s">
        <v>164</v>
      </c>
      <c r="BV3" s="66"/>
      <c r="BW3" s="66">
        <v>0</v>
      </c>
      <c r="BX3" s="47"/>
      <c r="CB3" s="6"/>
      <c r="CC3" s="6"/>
      <c r="CD3" s="67">
        <v>0</v>
      </c>
      <c r="CE3" s="67">
        <v>0</v>
      </c>
      <c r="CF3" s="67" t="e">
        <v>#REF!</v>
      </c>
      <c r="CG3" s="68" cm="1">
        <f t="array" ref="CG3">SUMPRODUCT(--(LEN(TRIM(BL3:BT3))&gt;0))</f>
        <v>5</v>
      </c>
      <c r="CH3" s="59" t="str">
        <f>IF(CG3=2,"y","n")</f>
        <v>n</v>
      </c>
      <c r="CI3" s="59" t="str">
        <f>IF(CG3=3,"y","n")</f>
        <v>n</v>
      </c>
      <c r="CJ3" s="59" t="str">
        <f>IF(CG3=4,"y","n")</f>
        <v>n</v>
      </c>
      <c r="CK3" s="59" t="str">
        <f>IF(CG3&gt;4,"y","n")</f>
        <v>y</v>
      </c>
      <c r="CL3" s="59" t="str">
        <f>IF(S3=0,"y","n")</f>
        <v>n</v>
      </c>
      <c r="CM3" s="59" t="str">
        <f>IF(S3=2,"y","n")</f>
        <v>n</v>
      </c>
      <c r="CN3" s="59" t="str">
        <f>IF(S3=3,"y","n")</f>
        <v>y</v>
      </c>
      <c r="CO3" s="59" t="str">
        <f>IF(S3&gt;=4,"y","n")</f>
        <v>n</v>
      </c>
      <c r="CP3" s="59" t="str">
        <f>IF(AT3=0,"y","n")</f>
        <v>y</v>
      </c>
      <c r="CQ3" s="59" t="str">
        <f>IF(AT3=1,"y","n")</f>
        <v>n</v>
      </c>
      <c r="CR3" s="59" t="str">
        <f>IF(AT3=2,"y","n")</f>
        <v>n</v>
      </c>
      <c r="CS3" s="59" t="str">
        <f>IF(AT3&gt;=3,"y","n")</f>
        <v>n</v>
      </c>
      <c r="CT3" s="69" t="str">
        <f>CHAR(34)&amp;A3&amp;CHAR(34)</f>
        <v>"[GAB] Gabon (1959-1960)"</v>
      </c>
      <c r="CU3" s="70" t="str">
        <f>CHAR(34)&amp;"rgn_"&amp;R3&amp;CHAR(34)</f>
        <v>"rgn_Africa"</v>
      </c>
      <c r="CV3" s="48" t="str">
        <f>CHAR(34)&amp;D3&amp;CHAR(34)</f>
        <v>"https://upload.wikimedia.org/wikipedia/commons/thumb/1/19/Flag_of_Gabon_%281959%E2%80%931960%29.svg/2560px-Flag_of_Gabon_%281959%E2%80%931960%29.svg.png"</v>
      </c>
      <c r="CW3" s="48" t="str">
        <f>IF(CH3="y",CHAR(34)&amp;CH$1&amp;CHAR(34)&amp;",","")</f>
        <v/>
      </c>
      <c r="CX3" s="48" t="str">
        <f>IF(CI3="y",CHAR(34)&amp;CI$1&amp;CHAR(34)&amp;",","")</f>
        <v/>
      </c>
      <c r="CY3" s="48" t="str">
        <f>IF(CJ3="y",CHAR(34)&amp;CJ$1&amp;CHAR(34)&amp;",","")</f>
        <v/>
      </c>
      <c r="CZ3" s="48" t="str">
        <f>IF(CK3="y",CHAR(34)&amp;CK$1&amp;CHAR(34)&amp;",","")</f>
        <v>"5+Colo",</v>
      </c>
      <c r="DA3" s="48" t="str">
        <f>IF(Q3&gt;1,CHAR(34)&amp;"words2"&amp;CHAR(34)&amp;",","")</f>
        <v>"words2",</v>
      </c>
      <c r="DB3" s="48" t="str">
        <f>IF(Q3&gt;2,CHAR(34)&amp;"words3"&amp;CHAR(34)&amp;",","")</f>
        <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"lets15",</v>
      </c>
      <c r="DE3" s="48" t="str">
        <f>CHAR(34)&amp;"start"&amp;IFERROR(LEFT(SUBSTITUTE(A3,"["&amp;MID(A3,FIND("[",A3)+1,FIND("]",A3)-FIND("[",A3)-1)&amp;"] ",""),1),LEFT(A3,1))&amp;CHAR(34)&amp;","</f>
        <v>"startG",</v>
      </c>
      <c r="DF3" s="48" t="str">
        <f>IFERROR(IF(SEARCH("tan",A3)&gt;0,CHAR(34)&amp;"withtn"&amp;CHAR(34)&amp;",",""),"")</f>
        <v/>
      </c>
      <c r="DG3" s="48" t="str">
        <f>IFERROR(IF(SEARCH("q",A3)&gt;0,CHAR(34)&amp;"with_q"&amp;CHAR(34)&amp;",",""),"")</f>
        <v/>
      </c>
      <c r="DH3" s="48" t="str">
        <f>IFERROR(IF(SEARCH("v",A3)&gt;0,CHAR(34)&amp;"with_v"&amp;CHAR(34)&amp;",",""),"")</f>
        <v/>
      </c>
      <c r="DI3" s="48" t="str">
        <f>IFERROR(IF(SEARCH("w",A3)&gt;0,CHAR(34)&amp;"with_w"&amp;CHAR(34)&amp;",",""),"")</f>
        <v/>
      </c>
      <c r="DJ3" s="48" t="str">
        <f>IFERROR(IF(SEARCH("y",A3)&gt;0,CHAR(34)&amp;"with_y"&amp;CHAR(34)&amp;",",""),"")</f>
        <v/>
      </c>
      <c r="DK3" s="48" t="str">
        <f>IFERROR(IF(SEARCH("z",A3)&gt;0,CHAR(34)&amp;"with_z"&amp;CHAR(34)&amp;",",""),"")</f>
        <v/>
      </c>
      <c r="DL3" s="48" t="str">
        <f>IF(CG3=2, CHAR(34) &amp; _xlfn.TEXTJOIN("", TRUE, _xlfn._xlws.SORT(HP3:HX3)) &amp; CHAR(34) &amp; ",", "")</f>
        <v/>
      </c>
      <c r="DM3" s="48" t="str" cm="1">
        <f t="array" ref="DM3">IF(CG3=3,CHAR(34) &amp; _xlfn.TEXTJOIN("", TRUE, RIGHT(HP3:HX3, 2)) &amp; CHAR(34) &amp; ",", "")</f>
        <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"year19",</v>
      </c>
      <c r="DP3" s="6" t="str">
        <f>IF(AND(ISNUMBER(SEARCH("20", O3)), ISERROR(SEARCH("1920", O3))), CHAR(34)&amp;"year00"&amp;CHAR(34)&amp;",", "")</f>
        <v/>
      </c>
      <c r="DQ3" s="6" t="str">
        <f>IF(CC3="y",CHAR(34)&amp;"soviet"&amp;CHAR(34)&amp;",","")</f>
        <v/>
      </c>
      <c r="DR3" s="6" t="str">
        <f>IF(BY3="y",CHAR(34)&amp;"dgband"&amp;CHAR(34)&amp;",","")</f>
        <v/>
      </c>
      <c r="DS3" s="6" t="str">
        <f>IF(W3="y",IF(AND(V3="n",BY3&lt;&gt;"y"),CHAR(34)&amp;"allver"&amp;CHAR(34)&amp;",",""),"")</f>
        <v/>
      </c>
      <c r="DT3" s="6" t="str">
        <f>IF(V3="y",IF(AND(W3="n",BY3&lt;&gt;"y"),CHAR(34)&amp;"allhor"&amp;CHAR(34)&amp;",",""),"")</f>
        <v/>
      </c>
      <c r="DU3" s="6" t="str">
        <f>IF(BY3="y",IF(AND(W3="n",V3="n"),CHAR(34)&amp;"alldia"&amp;CHAR(34)&amp;",",""),"")</f>
        <v/>
      </c>
      <c r="DW3" s="48" t="str">
        <f>IF(CL3="y",CHAR(34)&amp;CL$1&amp;CHAR(34)&amp;",","")</f>
        <v/>
      </c>
      <c r="DX3" s="48" t="str">
        <f>IF(CM3="y",CHAR(34)&amp;CM$1&amp;CHAR(34)&amp;",","")</f>
        <v/>
      </c>
      <c r="DY3" s="48" t="str">
        <f>IF(CN3="y",CHAR(34)&amp;CN$1&amp;CHAR(34)&amp;",","")</f>
        <v>"3Bands",</v>
      </c>
      <c r="DZ3" s="48" t="str">
        <f>IF(CO3="y",CHAR(34)&amp;CO$1&amp;CHAR(34)&amp;",","")</f>
        <v/>
      </c>
      <c r="EA3" s="48" t="str">
        <f>IF(T3="y",CHAR(34)&amp;T$1&amp;CHAR(34)&amp;",","")</f>
        <v/>
      </c>
      <c r="EB3" s="48" t="str">
        <f>IF(U3="y",CHAR(34)&amp;U$1&amp;CHAR(34)&amp;",","")</f>
        <v/>
      </c>
      <c r="EC3" s="48" t="str">
        <f>IF(V3="y",CHAR(34)&amp;V$1&amp;CHAR(34)&amp;",","")</f>
        <v>"Horizo",</v>
      </c>
      <c r="ED3" s="48" t="str">
        <f>IF(W3="y",CHAR(34)&amp;W$1&amp;CHAR(34)&amp;",","")</f>
        <v>"Vertic",</v>
      </c>
      <c r="EE3" s="48" t="str">
        <f>IF(X3="y",CHAR(34)&amp;X$1&amp;CHAR(34)&amp;",","")</f>
        <v/>
      </c>
      <c r="EF3" s="48" t="str">
        <f>IF(AND(Y3&lt;&gt;"n",Y3&lt;&gt;""),CHAR(34)&amp;Y$1&amp;CHAR(34)&amp;",","")</f>
        <v/>
      </c>
      <c r="EG3" s="48" t="str">
        <f>IF(Z3="y",CHAR(34)&amp;Z$1&amp;CHAR(34)&amp;",","")</f>
        <v/>
      </c>
      <c r="EH3" s="48" t="str">
        <f>IF(AA3="y",CHAR(34)&amp;AA$1&amp;CHAR(34)&amp;",","")</f>
        <v/>
      </c>
      <c r="EI3" s="48" t="str">
        <f>IF(AB3="y",CHAR(34)&amp;AB$1&amp;CHAR(34)&amp;",","")</f>
        <v/>
      </c>
      <c r="EJ3" s="48" t="str">
        <f>IF(AC3="y",CHAR(34)&amp;AC$1&amp;CHAR(34)&amp;",","")</f>
        <v/>
      </c>
      <c r="EK3" s="48" t="str">
        <f>IF(AD3="y",CHAR(34)&amp;AD$1&amp;CHAR(34)&amp;",","")</f>
        <v/>
      </c>
      <c r="EL3" s="48" t="str">
        <f>IF(AE3="y",CHAR(34)&amp;AE$1&amp;CHAR(34)&amp;",","")</f>
        <v/>
      </c>
      <c r="EM3" s="48" t="str">
        <f>IF(AF3="y",CHAR(34)&amp;AF$1&amp;CHAR(34)&amp;",","")</f>
        <v/>
      </c>
      <c r="EN3" s="48" t="str">
        <f>IF(AG3="y",CHAR(34)&amp;AG$1&amp;CHAR(34)&amp;",","")</f>
        <v/>
      </c>
      <c r="EO3" s="48" t="str">
        <f>IF(AH3="y",CHAR(34)&amp;AH$1&amp;CHAR(34)&amp;",","")</f>
        <v/>
      </c>
      <c r="EP3" s="48" t="str">
        <f>IF(AI3="y",CHAR(34)&amp;AI$1&amp;CHAR(34)&amp;",","")</f>
        <v>"Canton",</v>
      </c>
      <c r="EQ3" s="48" t="str">
        <f>IF(AJ3="y",CHAR(34)&amp;AJ$1&amp;CHAR(34)&amp;",","")</f>
        <v/>
      </c>
      <c r="ER3" s="48" t="str">
        <f>IF(AK3="y",CHAR(34)&amp;AK$1&amp;CHAR(34)&amp;",","")</f>
        <v/>
      </c>
      <c r="ES3" s="48" t="str">
        <f>IF(AL3="y",CHAR(34)&amp;AL$1&amp;CHAR(34)&amp;",","")</f>
        <v/>
      </c>
      <c r="ET3" s="48" t="str">
        <f>IF(AM3="y",CHAR(34)&amp;AM$1&amp;CHAR(34)&amp;",","")</f>
        <v/>
      </c>
      <c r="EU3" s="48" t="str">
        <f>IF(AN3="y",CHAR(34)&amp;AN$1&amp;CHAR(34)&amp;",","")</f>
        <v/>
      </c>
      <c r="EV3" s="48" t="str">
        <f>IF(AO3="y",CHAR(34)&amp;AO$1&amp;CHAR(34)&amp;",","")</f>
        <v/>
      </c>
      <c r="EW3" s="48" t="str">
        <f>IF(AP3="y",CHAR(34)&amp;AP$1&amp;CHAR(34)&amp;",","")</f>
        <v/>
      </c>
      <c r="EX3" s="48" t="str">
        <f>IF(AQ3="y",CHAR(34)&amp;AQ$1&amp;CHAR(34)&amp;",","")</f>
        <v/>
      </c>
      <c r="EY3" s="48" t="str">
        <f>IF(AR3="y",CHAR(34)&amp;AR$1&amp;CHAR(34)&amp;",","")</f>
        <v/>
      </c>
      <c r="EZ3" s="48" t="str">
        <f>IF(AS3="y",CHAR(34)&amp;AS$1&amp;CHAR(34)&amp;",","")</f>
        <v/>
      </c>
      <c r="FA3" s="48" t="str">
        <f>IF(AT3&gt;0,CHAR(34)&amp;"sta"&amp;AZ3&amp;CHAR(34)&amp;",","")</f>
        <v/>
      </c>
      <c r="FB3" s="48" t="str">
        <f>IF(AND(AT3&gt;0,BA3&lt;&gt;""),CHAR(34)&amp;"sta"&amp;BA3&amp;CHAR(34)&amp;",","")</f>
        <v/>
      </c>
      <c r="FD3" s="48" t="str">
        <f>IF(BV3="n",CHAR(34)&amp;"tcWHYE"&amp;CHAR(34)&amp;",",IF(BV3="y",CHAR(34)&amp;FD$1&amp;CHAR(34)&amp;",",""))</f>
        <v/>
      </c>
      <c r="FE3" s="48" t="str">
        <f>IF(COUNTIF(BL3:BT3,"BLU")=0,CHAR(34)&amp;"NO_BLU"&amp;CHAR(34)&amp;",", "")</f>
        <v/>
      </c>
      <c r="FF3" s="48" t="str">
        <f>IF(COUNTIF(BL3:BT3,"WHI")=0,CHAR(34)&amp;"NO_WHI"&amp;CHAR(34)&amp;",", "")</f>
        <v/>
      </c>
      <c r="FG3" s="48" t="str">
        <f>IF(COUNTIF(BL3:BT3,"RED")=0,CHAR(34)&amp;"NO_RED"&amp;CHAR(34)&amp;",", "")</f>
        <v/>
      </c>
      <c r="FH3" s="48" t="str">
        <f>IF(COUNTIF(BL3:BS3,"GRE")=0,CHAR(34)&amp;"NO_GRE"&amp;CHAR(34)&amp;",", "")</f>
        <v/>
      </c>
      <c r="FI3" s="48" t="str">
        <f>IF(COUNTIF(BL3:BT3,"YEL")=0,CHAR(34)&amp;"NO_YEL"&amp;CHAR(34)&amp;",", "")</f>
        <v/>
      </c>
      <c r="FJ3" s="48" t="str">
        <f>IF(COUNTIF(BL3:BT3,"BLA")=0,CHAR(34)&amp;"NO_BLA"&amp;CHAR(34)&amp;",", "")</f>
        <v>"NO_BLA",</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
      </c>
      <c r="FQ3" s="48" t="str">
        <f>IF(LEN(BF3)=3,CHAR(34)&amp;"001"&amp;BF3&amp;CHAR(34)&amp;",","")</f>
        <v>"001GRE",</v>
      </c>
      <c r="FR3" s="48" t="str">
        <f>IF(LEN(BG3)=3,CHAR(34)&amp;"002"&amp;BG3&amp;CHAR(34)&amp;",","")</f>
        <v>"002YEL",</v>
      </c>
      <c r="FS3" s="48" t="str">
        <f>IF(LEN(BH3)=3,CHAR(34)&amp;"003"&amp;BH3&amp;CHAR(34)&amp;",","")</f>
        <v>"003BLU",</v>
      </c>
      <c r="FT3" s="48" t="str">
        <f>CHAR(34)&amp;"myr"&amp;BD3&amp;CHAR(34)&amp;","</f>
        <v>"myrBLU",</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"histor",</v>
      </c>
      <c r="GG3" s="48" t="str">
        <f>IF(BU3="y",CHAR(34)&amp;"unjack"&amp;CHAR(34)&amp;",","")</f>
        <v/>
      </c>
      <c r="GH3" s="48" t="str">
        <f>IF(CD3=1,CHAR(34)&amp;"southc"&amp;CHAR(34)&amp;",","")</f>
        <v/>
      </c>
      <c r="GI3" s="48" t="str">
        <f>IF(CE3=1,CHAR(34)&amp;"hasmap"&amp;CHAR(34)&amp;",","")</f>
        <v/>
      </c>
      <c r="GJ3" s="48" t="str">
        <f>IF(CP3="y",CHAR(34)&amp;CP$1&amp;CHAR(34)&amp;",","")</f>
        <v>"NoStar",</v>
      </c>
      <c r="GK3" s="48" t="str">
        <f>IF(GJ3="",CHAR(34)&amp;"HasSta"&amp;CHAR(34)&amp;",","")</f>
        <v/>
      </c>
      <c r="GL3" s="48" t="str">
        <f>IF(CQ3="y",CHAR(34)&amp;CQ$1&amp;CHAR(34)&amp;",","")</f>
        <v/>
      </c>
      <c r="GM3" s="48" t="str">
        <f>IF(CR3="y",CHAR(34)&amp;CR$1&amp;CHAR(34)&amp;",","")</f>
        <v/>
      </c>
      <c r="GN3" s="48" t="str">
        <f>IF(CS3="y",CHAR(34)&amp;CS$1&amp;CHAR(34)&amp;",","")</f>
        <v/>
      </c>
      <c r="GP3" s="48" t="str">
        <f>CHAR(34)&amp;AU3&amp;CHAR(34)</f>
        <v>"Historical"</v>
      </c>
      <c r="GS3" s="48" t="str">
        <f>SUBSTITUTE("["&amp;_xlfn.CONCAT(CW3:GN3)&amp;"]",",]","]")</f>
        <v>["5+Colo","words2","lets15","startG","year19","3Bands","Horizo","Vertic","Canton","NO_BLA","001GRE","002YEL","003BLU","myrBLU","histor","NoStar"]</v>
      </c>
      <c r="GT3" s="48" t="str">
        <f>IF(BL3&lt;&gt;"",CHAR(34)&amp;"cl_"&amp;BL3&amp;CHAR(34)&amp;",","")</f>
        <v/>
      </c>
      <c r="GU3" s="48" t="str">
        <f>IF(BM3&lt;&gt;"",CHAR(34)&amp;"cl_"&amp;BM3&amp;CHAR(34)&amp;",","")</f>
        <v>"cl_BLU",</v>
      </c>
      <c r="GV3" s="48" t="str">
        <f>IF(BN3&lt;&gt;"",CHAR(34)&amp;"cl_"&amp;BN3&amp;CHAR(34)&amp;",","")</f>
        <v>"cl_GRE",</v>
      </c>
      <c r="GW3" s="48" t="str">
        <f>IF(BO3&lt;&gt;"",CHAR(34)&amp;"cl_"&amp;BO3&amp;CHAR(34)&amp;",","")</f>
        <v>"cl_RED",</v>
      </c>
      <c r="GX3" s="48" t="str">
        <f>IF(BP3&lt;&gt;"",CHAR(34)&amp;"cl_"&amp;BP3&amp;CHAR(34)&amp;",","")</f>
        <v>"cl_YEL",</v>
      </c>
      <c r="GY3" s="48" t="str">
        <f>IF(BQ3&lt;&gt;"",CHAR(34)&amp;"cl_"&amp;BQ3&amp;CHAR(34)&amp;",","")</f>
        <v/>
      </c>
      <c r="GZ3" s="48" t="str">
        <f>IF(BR3&lt;&gt;"",CHAR(34)&amp;"cl_"&amp;BR3&amp;CHAR(34)&amp;",","")</f>
        <v/>
      </c>
      <c r="HA3" s="48" t="str">
        <f>IF(BS3&lt;&gt;"",CHAR(34)&amp;"cl_"&amp;BS3&amp;CHAR(34)&amp;",","")</f>
        <v/>
      </c>
      <c r="HB3" s="48" t="str">
        <f>IF(BT3&lt;&gt;"",CHAR(34)&amp;"cl_"&amp;BT3&amp;CHAR(34)&amp;",","")</f>
        <v>"cl_WHI",</v>
      </c>
      <c r="HC3" s="48" t="str">
        <f>SUBSTITUTE("["&amp;_xlfn.CONCAT(GT3:HB3)&amp;"]",",]","]")</f>
        <v>["cl_BLU","cl_GRE","cl_RED","cl_YEL","cl_WHI"]</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{couname:"[GAB] Gabon (1959-1960)",year:"1959",region:"rgn_Africa",Colors:["cl_BLU","cl_GRE","cl_RED","cl_YEL","cl_WHI"],Items:["5+Colo","words2","lets15","startG","year19","3Bands","Horizo","Vertic","Canton","NO_BLA","001GRE","002YEL","003BLU","myrBLU","histor","NoStar"],Flag:"https://upload.wikimedia.org/wikipedia/commons/thumb/1/19/Flag_of_Gabon_%281959%E2%80%931960%29.svg/2560px-Flag_of_Gabon_%281959%E2%80%931960%29.svg.png",HDFlag:"https://upload.wikimedia.org/wikipedia/commons/thumb/1/19/Flag_of_Gabon_%281959%E2%80%931960%29.svg/2560px-Flag_of_Gabon_%281959%E2%80%931960%29.svg.png",type:"Historical", describe: "\nHorizontal green and blue bands separated by thinner yellow band at the center, with the French Tricolor at the canton.", isnew:".", links: "https://en.wikipedia.org/wiki/Flag_of_Gabon#Historical_flags"},</v>
      </c>
      <c r="HG3" s="73" t="str">
        <f>"{couname:"&amp;CT3&amp;(IF(HK3&lt;&gt;"",",subtype:"&amp;CHAR(34)&amp;HK3&amp;CHAR(34),""))&amp;",year:"&amp;HJ3&amp;",region:"&amp;CU3&amp;",Colors:"&amp;HC3&amp;",Items:"&amp;GS3&amp;",Flag:"&amp;CV3&amp;",HDFlag:"&amp;CHAR(34)&amp;E3&amp;CHAR(34)&amp;",type:"&amp;GP3&amp;", describe: "&amp;HI3&amp;", links: "&amp;HL3&amp;"},"</f>
        <v>{couname:"[GAB] Gabon (1959-1960)",year:"1959",region:"rgn_Africa",Colors:["cl_BLU","cl_GRE","cl_RED","cl_YEL","cl_WHI"],Items:["5+Colo","words2","lets15","startG","year19","3Bands","Horizo","Vertic","Canton","NO_BLA","001GRE","002YEL","003BLU","myrBLU","histor","NoStar"],Flag:"https://upload.wikimedia.org/wikipedia/commons/thumb/1/19/Flag_of_Gabon_%281959%E2%80%931960%29.svg/2560px-Flag_of_Gabon_%281959%E2%80%931960%29.svg.png",HDFlag:"https://upload.wikimedia.org/wikipedia/commons/thumb/1/19/Flag_of_Gabon_%281959%E2%80%931960%29.svg/2560px-Flag_of_Gabon_%281959%E2%80%931960%29.svg.png",type:"Historical", describe: "\nHorizontal green and blue bands separated by thinner yellow band at the center, with the French Tricolor at the canton.", links: "https://en.wikipedia.org/wiki/Flag_of_Gabon#Historical_flags"},</v>
      </c>
      <c r="HH3" s="48" t="str">
        <f>IF(P3&lt;&gt;"",CHAR(34)&amp;"\n"&amp;P3&amp;CHAR(34),CHAR(34)&amp;CHAR(34))</f>
        <v>"\nHorizontal green and blue bands separated by thinner yellow band at the center, with the French Tricolor at the canton."</v>
      </c>
      <c r="HI3" s="48" t="str">
        <f>IF(J3=0,CHAR(34)&amp;CHAR(34),HH3)</f>
        <v>"\nHorizontal green and blue bands separated by thinner yellow band at the center, with the French Tricolor at the canton."</v>
      </c>
      <c r="HJ3" s="48" t="str">
        <f>CHAR(34)&amp;O3&amp;CHAR(34)</f>
        <v>"1959"</v>
      </c>
      <c r="HL3" s="48" t="str">
        <f>CHAR(34)&amp;I3&amp;CHAR(34)</f>
        <v>"https://en.wikipedia.org/wiki/Flag_of_Gabon#Historical_flags"</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{"couname":"[GAB] Gabon (1959-1960)","subtype":"[GAB] Other","year":"1959","region":"rgn_Africa","Colors":["cl_BLU","cl_GRE","cl_RED","cl_YEL","cl_WHI"],"Items":["5+Colo","words2","lets15","startG","year19","3Bands","Horizo","Vertic","Canton","NO_BLA","001GRE","002YEL","003BLU","myrBLU","histor","NoStar"],"Flag":"https://upload.wikimedia.org/wikipedia/commons/thumb/1/19/Flag_of_Gabon_%281959%E2%80%931960%29.svg/2560px-Flag_of_Gabon_%281959%E2%80%931960%29.svg.png","HDFlag":"https://upload.wikimedia.org/wikipedia/commons/thumb/1/19/Flag_of_Gabon_%281959%E2%80%931960%29.svg/2560px-Flag_of_Gabon_%281959%E2%80%931960%29.svg.png","type":"Historical", "describe": "\nHorizontal green and blue bands separated by thinner yellow band at the center, with the French Tricolor at the canton.", "isnew": ".", "links": "https://en.wikipedia.org/wiki/Flag_of_Gabon#Historical_flags"},</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{"couname":"[GAB] Gabon (1959-1960)","subtype":"[GAB] Other","year":"1959","region":"rgn_Africa","Colors":["cl_BLU","cl_GRE","cl_RED","cl_YEL","cl_WHI"],"Items":["5+Colo","words2","lets15","startG","year19","3Bands","Horizo","Vertic","Canton","NO_BLA","001GRE","002YEL","003BLU","myrBLU","histor","NoStar"],"Flag":"https://upload.wikimedia.org/wikipedia/commons/thumb/1/19/Flag_of_Gabon_%281959%E2%80%931960%29.svg/2560px-Flag_of_Gabon_%281959%E2%80%931960%29.svg.png","HDFlag":"https://upload.wikimedia.org/wikipedia/commons/thumb/1/19/Flag_of_Gabon_%281959%E2%80%931960%29.svg/2560px-Flag_of_Gabon_%281959%E2%80%931960%29.svg.png","type":"Historical", "describe": "\nHorizontal green and blue bands separated by thinner yellow band at the center, with the French Tricolor at the canton.", "isnew": ".", "links": "https://en.wikipedia.org/wiki/Flag_of_Gabon#Historical_flags"},</v>
      </c>
      <c r="HO3" s="75">
        <v>45618</v>
      </c>
      <c r="HP3" s="48" t="str" cm="1">
        <f t="array" ref="HP3">IF(_xlfn.TEXTJOIN(", ", TRUE, IF(ISNUMBER(SEARCH("BLA", BL3:BT3)), COLUMN(BL3:BT3) - COLUMN(BL3) + 1, ""))&lt;&gt;"","BLA","")</f>
        <v/>
      </c>
      <c r="HQ3" s="48" t="str" cm="1">
        <f t="array" ref="HQ3">IF(_xlfn.TEXTJOIN(", ", TRUE, IF(ISNUMBER(SEARCH("BLU", BL3:BT3)), COLUMN(BL3:BT3) - COLUMN(BL3) + 1, ""))&lt;&gt;"","BLU","")</f>
        <v>BLU</v>
      </c>
      <c r="HR3" s="48" t="str" cm="1">
        <f t="array" ref="HR3">IF(_xlfn.TEXTJOIN(", ", TRUE, IF(ISNUMBER(SEARCH("GRE", BL3:BT3)), COLUMN(BL3:BT3) - COLUMN(BL3) + 1, ""))&lt;&gt;"","GRE","")</f>
        <v>GRE</v>
      </c>
      <c r="HS3" s="48" t="str" cm="1">
        <f t="array" ref="HS3">IF(_xlfn.TEXTJOIN(", ", TRUE, IF(ISNUMBER(SEARCH("RED", BL3:BT3)), COLUMN(BL3:BT3) - COLUMN(BL3) + 1, ""))&lt;&gt;"","RED","")</f>
        <v>RED</v>
      </c>
      <c r="HT3" s="48" t="str" cm="1">
        <f t="array" ref="HT3">IF(_xlfn.TEXTJOIN(", ", TRUE, IF(ISNUMBER(SEARCH("YEL", BL3:BT3)), COLUMN(BL3:BT3) - COLUMN(BL3) + 1, ""))&lt;&gt;"","YEL","")</f>
        <v>YEL</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M3" s="45">
        <f>COUNTIF(IC3:IK3,"&gt;0")-CG3</f>
        <v>-5</v>
      </c>
      <c r="IN3" s="78" t="str">
        <f>"http://mkweb.bcgsc.ca/color-summarizer/?url="&amp;D3&amp;"&amp;precision=low&amp;num_clusters="&amp;CG3&amp;"&amp;text=1"</f>
        <v>http://mkweb.bcgsc.ca/color-summarizer/?url=https://upload.wikimedia.org/wikipedia/commons/thumb/1/19/Flag_of_Gabon_%281959%E2%80%931960%29.svg/2560px-Flag_of_Gabon_%281959%E2%80%931960%29.svg.png&amp;precision=low&amp;num_clusters=5&amp;text=1</v>
      </c>
      <c r="IO3" s="48" t="str">
        <f>IF(HP3&lt;&gt;"",CHAR(34)&amp;"black"&amp;CHAR(34),"")</f>
        <v/>
      </c>
      <c r="IP3" s="48" t="str">
        <f>IF(HQ3&lt;&gt;"",CHAR(34)&amp;"blue"&amp;CHAR(34),"")</f>
        <v>"blue"</v>
      </c>
      <c r="IQ3" s="48" t="str">
        <f>IF(HR3&lt;&gt;"",CHAR(34)&amp;"green"&amp;CHAR(34),"")</f>
        <v>"green"</v>
      </c>
      <c r="IR3" s="48" t="str">
        <f>IF(HS3&lt;&gt;"",CHAR(34)&amp;"red"&amp;CHAR(34),"")</f>
        <v>"red"</v>
      </c>
      <c r="IS3" s="48" t="str">
        <f>IF(HT3&lt;&gt;"",CHAR(34)&amp;"yellow"&amp;CHAR(34),"")</f>
        <v>"yellow"</v>
      </c>
      <c r="IT3" s="48" t="str">
        <f>IF(HU3&lt;&gt;"",CHAR(34)&amp;"orange"&amp;CHAR(34),"")</f>
        <v/>
      </c>
      <c r="IU3" s="48" t="str">
        <f>IF(HV3&lt;&gt;"",CHAR(34)&amp;"brown"&amp;CHAR(34),"")</f>
        <v/>
      </c>
      <c r="IV3" s="48" t="str">
        <f>IF(HW3&lt;&gt;"",CHAR(34)&amp;"purple"&amp;CHAR(34),"")</f>
        <v/>
      </c>
      <c r="IW3" s="48" t="str">
        <f>IF(HX3&lt;&gt;"",CHAR(34)&amp;"white"&amp;CHAR(34),"")</f>
        <v>"white"</v>
      </c>
      <c r="IX3" s="48" t="str">
        <f>"{"&amp;CHAR(34)&amp;"url"&amp;CHAR(34)&amp;":"&amp;CHAR(34)&amp;IN3&amp;CHAR(34)&amp;","&amp;CHAR(34)&amp;"name"&amp;CHAR(34)&amp;":"&amp;CHAR(34)&amp;A3&amp;CHAR(34)&amp;"},"</f>
        <v>{"url":"http://mkweb.bcgsc.ca/color-summarizer/?url=https://upload.wikimedia.org/wikipedia/commons/thumb/1/19/Flag_of_Gabon_%281959%E2%80%931960%29.svg/2560px-Flag_of_Gabon_%281959%E2%80%931960%29.svg.png&amp;precision=low&amp;num_clusters=5&amp;text=1","name":"[GAB] Gabon (1959-1960)"},</v>
      </c>
      <c r="IY3" s="48">
        <v>978</v>
      </c>
    </row>
    <row r="4" spans="1:259" ht="38.4" customHeight="1" x14ac:dyDescent="0.3">
      <c r="F4" s="82"/>
      <c r="G4" s="82"/>
      <c r="H4" s="82"/>
      <c r="I4" s="82"/>
      <c r="J4" s="82"/>
      <c r="K4" s="82"/>
    </row>
    <row r="5" spans="1:259" ht="38.4" customHeight="1" x14ac:dyDescent="0.3">
      <c r="F5" s="82"/>
      <c r="K5" s="81"/>
      <c r="L5" s="81"/>
      <c r="M5" s="81"/>
      <c r="N5" s="81"/>
      <c r="O5" s="81"/>
    </row>
    <row r="6" spans="1:259" ht="38.4" customHeight="1" x14ac:dyDescent="0.3">
      <c r="F6" s="82"/>
      <c r="K6" s="81"/>
      <c r="L6" s="81"/>
      <c r="M6" s="81"/>
      <c r="N6" s="81"/>
      <c r="O6" s="81"/>
    </row>
    <row r="7" spans="1:259" ht="38.4" customHeight="1" x14ac:dyDescent="0.3">
      <c r="K7" s="81"/>
      <c r="L7" s="81"/>
      <c r="M7" s="81"/>
      <c r="N7" s="81"/>
      <c r="O7" s="81"/>
    </row>
    <row r="8" spans="1:259" ht="38.4" customHeight="1" x14ac:dyDescent="0.3">
      <c r="K8" s="81"/>
      <c r="L8" s="81"/>
      <c r="M8" s="81"/>
      <c r="N8" s="81"/>
      <c r="O8" s="81"/>
    </row>
    <row r="9" spans="1:259" ht="38.4" customHeight="1" x14ac:dyDescent="0.3">
      <c r="K9" s="81"/>
      <c r="L9" s="81"/>
      <c r="M9" s="81"/>
      <c r="N9" s="81"/>
      <c r="O9" s="81"/>
    </row>
    <row r="10" spans="1:259" ht="38.4" customHeight="1" x14ac:dyDescent="0.3">
      <c r="K10" s="81"/>
      <c r="L10" s="81"/>
      <c r="M10" s="81"/>
      <c r="N10" s="81"/>
      <c r="O10" s="81"/>
    </row>
  </sheetData>
  <autoFilter ref="A1:IY1" xr:uid="{A1051193-A95B-4CFB-A73C-F0184620C81F}">
    <sortState xmlns:xlrd2="http://schemas.microsoft.com/office/spreadsheetml/2017/richdata2" ref="A2:IY5">
      <sortCondition ref="AW1"/>
    </sortState>
  </autoFilter>
  <conditionalFormatting sqref="H1 CW1:GS1 IA1:IB1">
    <cfRule type="cellIs" dxfId="4521" priority="118" operator="greaterThan">
      <formula>0</formula>
    </cfRule>
  </conditionalFormatting>
  <conditionalFormatting sqref="H1 H7:H1048576">
    <cfRule type="cellIs" dxfId="4520" priority="84" stopIfTrue="1" operator="notEqual">
      <formula>""</formula>
    </cfRule>
  </conditionalFormatting>
  <conditionalFormatting sqref="T1:BK1">
    <cfRule type="cellIs" dxfId="4519" priority="121" operator="greaterThan">
      <formula>0</formula>
    </cfRule>
  </conditionalFormatting>
  <conditionalFormatting sqref="BV1:BW1 BV4:BW1048576">
    <cfRule type="cellIs" dxfId="4518" priority="120" operator="equal">
      <formula>"nc"</formula>
    </cfRule>
  </conditionalFormatting>
  <conditionalFormatting sqref="HF1:HG1">
    <cfRule type="cellIs" dxfId="4517" priority="122" operator="greaterThan">
      <formula>0</formula>
    </cfRule>
  </conditionalFormatting>
  <conditionalFormatting sqref="HK1">
    <cfRule type="cellIs" dxfId="4516" priority="119" operator="greaterThan">
      <formula>0</formula>
    </cfRule>
  </conditionalFormatting>
  <conditionalFormatting sqref="HP1:HX1">
    <cfRule type="cellIs" dxfId="4515" priority="96" operator="equal">
      <formula>"PIN"</formula>
    </cfRule>
    <cfRule type="cellIs" dxfId="4514" priority="97" operator="equal">
      <formula>"ORA"</formula>
    </cfRule>
    <cfRule type="cellIs" dxfId="4513" priority="98" operator="equal">
      <formula>"GRA"</formula>
    </cfRule>
    <cfRule type="cellIs" dxfId="4512" priority="99" operator="equal">
      <formula>"PUR"</formula>
    </cfRule>
    <cfRule type="cellIs" dxfId="4511" priority="100" operator="equal">
      <formula>"BRO"</formula>
    </cfRule>
    <cfRule type="cellIs" dxfId="4510" priority="101" operator="equal">
      <formula>"YEL"</formula>
    </cfRule>
    <cfRule type="cellIs" dxfId="4509" priority="102" operator="equal">
      <formula>"BLU"</formula>
    </cfRule>
    <cfRule type="cellIs" dxfId="4508" priority="103" operator="equal">
      <formula>"WHI"</formula>
    </cfRule>
    <cfRule type="cellIs" dxfId="4507" priority="104" operator="equal">
      <formula>"GRE"</formula>
    </cfRule>
    <cfRule type="cellIs" dxfId="4506" priority="105" operator="equal">
      <formula>"RED"</formula>
    </cfRule>
    <cfRule type="cellIs" dxfId="4505" priority="106" operator="equal">
      <formula>"BLA"</formula>
    </cfRule>
  </conditionalFormatting>
  <conditionalFormatting sqref="IC1:IK1">
    <cfRule type="cellIs" dxfId="4504" priority="107" operator="equal">
      <formula>"PIN"</formula>
    </cfRule>
    <cfRule type="cellIs" dxfId="4503" priority="108" operator="equal">
      <formula>"ORA"</formula>
    </cfRule>
    <cfRule type="cellIs" dxfId="4502" priority="109" operator="equal">
      <formula>"GRA"</formula>
    </cfRule>
    <cfRule type="cellIs" dxfId="4501" priority="110" operator="equal">
      <formula>"PUR"</formula>
    </cfRule>
    <cfRule type="cellIs" dxfId="4500" priority="111" operator="equal">
      <formula>"BRO"</formula>
    </cfRule>
    <cfRule type="cellIs" dxfId="4499" priority="112" operator="equal">
      <formula>"YEL"</formula>
    </cfRule>
    <cfRule type="cellIs" dxfId="4498" priority="113" operator="equal">
      <formula>"BLU"</formula>
    </cfRule>
    <cfRule type="cellIs" dxfId="4497" priority="114" operator="equal">
      <formula>"WHI"</formula>
    </cfRule>
    <cfRule type="cellIs" dxfId="4496" priority="115" operator="equal">
      <formula>"GRE"</formula>
    </cfRule>
    <cfRule type="cellIs" dxfId="4495" priority="116" operator="equal">
      <formula>"RED"</formula>
    </cfRule>
    <cfRule type="cellIs" dxfId="4494" priority="117" operator="equal">
      <formula>"BLA"</formula>
    </cfRule>
  </conditionalFormatting>
  <conditionalFormatting sqref="IO1:IW1">
    <cfRule type="cellIs" dxfId="4493" priority="85" operator="equal">
      <formula>"PIN"</formula>
    </cfRule>
    <cfRule type="cellIs" dxfId="4492" priority="86" operator="equal">
      <formula>"ORA"</formula>
    </cfRule>
    <cfRule type="cellIs" dxfId="4491" priority="87" operator="equal">
      <formula>"GRA"</formula>
    </cfRule>
    <cfRule type="cellIs" dxfId="4490" priority="88" operator="equal">
      <formula>"PUR"</formula>
    </cfRule>
    <cfRule type="cellIs" dxfId="4489" priority="89" operator="equal">
      <formula>"BRO"</formula>
    </cfRule>
    <cfRule type="cellIs" dxfId="4488" priority="90" operator="equal">
      <formula>"YEL"</formula>
    </cfRule>
    <cfRule type="cellIs" dxfId="4487" priority="91" operator="equal">
      <formula>"BLU"</formula>
    </cfRule>
    <cfRule type="cellIs" dxfId="4486" priority="92" operator="equal">
      <formula>"WHI"</formula>
    </cfRule>
    <cfRule type="cellIs" dxfId="4485" priority="93" operator="equal">
      <formula>"GRE"</formula>
    </cfRule>
    <cfRule type="cellIs" dxfId="4484" priority="94" operator="equal">
      <formula>"RED"</formula>
    </cfRule>
    <cfRule type="cellIs" dxfId="4483" priority="95" operator="equal">
      <formula>"BLA"</formula>
    </cfRule>
  </conditionalFormatting>
  <conditionalFormatting sqref="H2">
    <cfRule type="cellIs" dxfId="4482" priority="77" stopIfTrue="1" operator="notEqual">
      <formula>""</formula>
    </cfRule>
  </conditionalFormatting>
  <conditionalFormatting sqref="R2 CU2">
    <cfRule type="cellIs" dxfId="4481" priority="79" operator="greaterThan">
      <formula>0</formula>
    </cfRule>
  </conditionalFormatting>
  <conditionalFormatting sqref="T2:AS2 CH2:CS2">
    <cfRule type="cellIs" dxfId="4480" priority="74" stopIfTrue="1" operator="equal">
      <formula>"n"</formula>
    </cfRule>
    <cfRule type="cellIs" dxfId="4479" priority="75" stopIfTrue="1" operator="equal">
      <formula>"y"</formula>
    </cfRule>
    <cfRule type="cellIs" dxfId="4478" priority="76" operator="greaterThan">
      <formula>0</formula>
    </cfRule>
  </conditionalFormatting>
  <conditionalFormatting sqref="AZ2:BB2">
    <cfRule type="expression" dxfId="4477" priority="61">
      <formula>$AT2=0</formula>
    </cfRule>
  </conditionalFormatting>
  <conditionalFormatting sqref="AZ2:BU2">
    <cfRule type="cellIs" dxfId="4476" priority="62" operator="equal">
      <formula>"PIN"</formula>
    </cfRule>
    <cfRule type="cellIs" dxfId="4475" priority="63" operator="equal">
      <formula>"ORA"</formula>
    </cfRule>
    <cfRule type="cellIs" dxfId="4474" priority="64" operator="equal">
      <formula>"GRA"</formula>
    </cfRule>
    <cfRule type="cellIs" dxfId="4473" priority="65" operator="equal">
      <formula>"PUR"</formula>
    </cfRule>
    <cfRule type="cellIs" dxfId="4472" priority="66" operator="equal">
      <formula>"BRO"</formula>
    </cfRule>
    <cfRule type="cellIs" dxfId="4471" priority="67" operator="equal">
      <formula>"YEL"</formula>
    </cfRule>
    <cfRule type="cellIs" dxfId="4470" priority="68" operator="equal">
      <formula>"BLU"</formula>
    </cfRule>
    <cfRule type="cellIs" dxfId="4469" priority="69" operator="equal">
      <formula>"WHI"</formula>
    </cfRule>
    <cfRule type="cellIs" dxfId="4468" priority="70" operator="equal">
      <formula>"GRE"</formula>
    </cfRule>
    <cfRule type="cellIs" dxfId="4467" priority="71" operator="equal">
      <formula>"RED"</formula>
    </cfRule>
    <cfRule type="cellIs" dxfId="4466" priority="72" operator="equal">
      <formula>"BLA"</formula>
    </cfRule>
  </conditionalFormatting>
  <conditionalFormatting sqref="BV2">
    <cfRule type="cellIs" dxfId="4465" priority="78" operator="equal">
      <formula>"nc"</formula>
    </cfRule>
  </conditionalFormatting>
  <conditionalFormatting sqref="CD2:CF2 BZ2:CA2">
    <cfRule type="cellIs" dxfId="4464" priority="73" operator="greaterThan">
      <formula>0</formula>
    </cfRule>
  </conditionalFormatting>
  <conditionalFormatting sqref="IC2:IK2">
    <cfRule type="expression" dxfId="4463" priority="60">
      <formula>$IL2&gt;0</formula>
    </cfRule>
  </conditionalFormatting>
  <conditionalFormatting sqref="BX2:CA2 CD2:CF2">
    <cfRule type="cellIs" dxfId="4462" priority="48" operator="equal">
      <formula>"y"</formula>
    </cfRule>
    <cfRule type="cellIs" dxfId="4461" priority="49" operator="equal">
      <formula>"PIN"</formula>
    </cfRule>
    <cfRule type="cellIs" dxfId="4460" priority="50" operator="equal">
      <formula>"ORA"</formula>
    </cfRule>
    <cfRule type="cellIs" dxfId="4459" priority="51" operator="equal">
      <formula>"GRA"</formula>
    </cfRule>
    <cfRule type="cellIs" dxfId="4458" priority="52" operator="equal">
      <formula>"PUR"</formula>
    </cfRule>
    <cfRule type="cellIs" dxfId="4457" priority="53" operator="equal">
      <formula>"BRO"</formula>
    </cfRule>
    <cfRule type="cellIs" dxfId="4456" priority="54" operator="equal">
      <formula>"YEL"</formula>
    </cfRule>
    <cfRule type="cellIs" dxfId="4455" priority="55" operator="equal">
      <formula>"BLU"</formula>
    </cfRule>
    <cfRule type="cellIs" dxfId="4454" priority="56" operator="equal">
      <formula>"WHI"</formula>
    </cfRule>
    <cfRule type="cellIs" dxfId="4453" priority="57" operator="equal">
      <formula>"GRE"</formula>
    </cfRule>
    <cfRule type="cellIs" dxfId="4452" priority="58" operator="equal">
      <formula>"RED"</formula>
    </cfRule>
    <cfRule type="cellIs" dxfId="4451" priority="59" operator="equal">
      <formula>"BLA"</formula>
    </cfRule>
  </conditionalFormatting>
  <conditionalFormatting sqref="J2">
    <cfRule type="colorScale" priority="80">
      <colorScale>
        <cfvo type="min"/>
        <cfvo type="percentile" val="50"/>
        <cfvo type="max"/>
        <color rgb="FFF8696B"/>
        <color rgb="FFFFEB84"/>
        <color rgb="FF63BE7B"/>
      </colorScale>
    </cfRule>
  </conditionalFormatting>
  <conditionalFormatting sqref="S2">
    <cfRule type="colorScale" priority="81">
      <colorScale>
        <cfvo type="min"/>
        <cfvo type="max"/>
        <color rgb="FFFCFCFF"/>
        <color rgb="FF754BFB"/>
      </colorScale>
    </cfRule>
  </conditionalFormatting>
  <conditionalFormatting sqref="AT2">
    <cfRule type="colorScale" priority="82">
      <colorScale>
        <cfvo type="min"/>
        <cfvo type="max"/>
        <color rgb="FFFCFCFF"/>
        <color theme="8" tint="0.39997558519241921"/>
      </colorScale>
    </cfRule>
  </conditionalFormatting>
  <conditionalFormatting sqref="CG2">
    <cfRule type="colorScale" priority="83">
      <colorScale>
        <cfvo type="min"/>
        <cfvo type="max"/>
        <color rgb="FFFCFCFF"/>
        <color rgb="FF63BE7B"/>
      </colorScale>
    </cfRule>
  </conditionalFormatting>
  <conditionalFormatting sqref="H3">
    <cfRule type="cellIs" dxfId="4450" priority="40" stopIfTrue="1" operator="notEqual">
      <formula>""</formula>
    </cfRule>
  </conditionalFormatting>
  <conditionalFormatting sqref="R3 CU3">
    <cfRule type="cellIs" dxfId="4449" priority="43" operator="greaterThan">
      <formula>0</formula>
    </cfRule>
  </conditionalFormatting>
  <conditionalFormatting sqref="T3:AS3 CH3:CS3">
    <cfRule type="cellIs" dxfId="4448" priority="37" stopIfTrue="1" operator="equal">
      <formula>"n"</formula>
    </cfRule>
    <cfRule type="cellIs" dxfId="4447" priority="38" stopIfTrue="1" operator="equal">
      <formula>"y"</formula>
    </cfRule>
    <cfRule type="cellIs" dxfId="4446" priority="39" operator="greaterThan">
      <formula>0</formula>
    </cfRule>
  </conditionalFormatting>
  <conditionalFormatting sqref="AZ3:BB3">
    <cfRule type="expression" dxfId="4445" priority="24">
      <formula>$AT3=0</formula>
    </cfRule>
  </conditionalFormatting>
  <conditionalFormatting sqref="CD3:CF3 BX3:CA3 AZ3:BU3">
    <cfRule type="cellIs" dxfId="4444" priority="25" operator="equal">
      <formula>"PIN"</formula>
    </cfRule>
    <cfRule type="cellIs" dxfId="4443" priority="26" operator="equal">
      <formula>"ORA"</formula>
    </cfRule>
    <cfRule type="cellIs" dxfId="4442" priority="27" operator="equal">
      <formula>"GRA"</formula>
    </cfRule>
    <cfRule type="cellIs" dxfId="4441" priority="28" operator="equal">
      <formula>"PUR"</formula>
    </cfRule>
    <cfRule type="cellIs" dxfId="4440" priority="29" operator="equal">
      <formula>"BRO"</formula>
    </cfRule>
    <cfRule type="cellIs" dxfId="4439" priority="30" operator="equal">
      <formula>"YEL"</formula>
    </cfRule>
    <cfRule type="cellIs" dxfId="4438" priority="31" operator="equal">
      <formula>"BLU"</formula>
    </cfRule>
    <cfRule type="cellIs" dxfId="4437" priority="32" operator="equal">
      <formula>"WHI"</formula>
    </cfRule>
    <cfRule type="cellIs" dxfId="4436" priority="33" operator="equal">
      <formula>"GRE"</formula>
    </cfRule>
    <cfRule type="cellIs" dxfId="4435" priority="34" operator="equal">
      <formula>"RED"</formula>
    </cfRule>
    <cfRule type="cellIs" dxfId="4434" priority="35" operator="equal">
      <formula>"BLA"</formula>
    </cfRule>
  </conditionalFormatting>
  <conditionalFormatting sqref="BV3">
    <cfRule type="cellIs" dxfId="4433" priority="42" operator="equal">
      <formula>"nc"</formula>
    </cfRule>
  </conditionalFormatting>
  <conditionalFormatting sqref="CD3:CF3 BX3:CA3">
    <cfRule type="cellIs" dxfId="4432" priority="41" operator="equal">
      <formula>"y"</formula>
    </cfRule>
  </conditionalFormatting>
  <conditionalFormatting sqref="CD3:CF3 BZ3:CA3">
    <cfRule type="cellIs" dxfId="4431" priority="36" operator="greaterThan">
      <formula>0</formula>
    </cfRule>
  </conditionalFormatting>
  <conditionalFormatting sqref="IC3:IK3">
    <cfRule type="expression" dxfId="4430" priority="23">
      <formula>$IL3&gt;0</formula>
    </cfRule>
  </conditionalFormatting>
  <conditionalFormatting sqref="IC3">
    <cfRule type="cellIs" dxfId="4429" priority="17" stopIfTrue="1" operator="greaterThan">
      <formula>0</formula>
    </cfRule>
  </conditionalFormatting>
  <conditionalFormatting sqref="ID3">
    <cfRule type="cellIs" dxfId="4428" priority="15" stopIfTrue="1" operator="greaterThan">
      <formula>0</formula>
    </cfRule>
  </conditionalFormatting>
  <conditionalFormatting sqref="II3 IE3:IF3">
    <cfRule type="cellIs" dxfId="4427" priority="22" operator="greaterThan">
      <formula>0</formula>
    </cfRule>
  </conditionalFormatting>
  <conditionalFormatting sqref="II3 IF3">
    <cfRule type="cellIs" dxfId="4426" priority="16" stopIfTrue="1" operator="greaterThan">
      <formula>0</formula>
    </cfRule>
  </conditionalFormatting>
  <conditionalFormatting sqref="IG3">
    <cfRule type="cellIs" dxfId="4425" priority="21" operator="greaterThan">
      <formula>0</formula>
    </cfRule>
  </conditionalFormatting>
  <conditionalFormatting sqref="IH3:II3">
    <cfRule type="cellIs" dxfId="4424" priority="20" operator="greaterThan">
      <formula>0</formula>
    </cfRule>
  </conditionalFormatting>
  <conditionalFormatting sqref="IJ3">
    <cfRule type="cellIs" dxfId="4423" priority="19" operator="greaterThan">
      <formula>0</formula>
    </cfRule>
  </conditionalFormatting>
  <conditionalFormatting sqref="IK3">
    <cfRule type="cellIs" dxfId="4422" priority="18" operator="greaterThan">
      <formula>0</formula>
    </cfRule>
  </conditionalFormatting>
  <conditionalFormatting sqref="IF3">
    <cfRule type="cellIs" dxfId="4421" priority="14" stopIfTrue="1" operator="greaterThan">
      <formula>0</formula>
    </cfRule>
  </conditionalFormatting>
  <conditionalFormatting sqref="IM3">
    <cfRule type="cellIs" dxfId="4420" priority="13" operator="equal">
      <formula>0</formula>
    </cfRule>
  </conditionalFormatting>
  <conditionalFormatting sqref="BX3:CA3 CD3:CF3">
    <cfRule type="cellIs" dxfId="4419" priority="1" operator="equal">
      <formula>"y"</formula>
    </cfRule>
    <cfRule type="cellIs" dxfId="4418" priority="2" operator="equal">
      <formula>"PIN"</formula>
    </cfRule>
    <cfRule type="cellIs" dxfId="4417" priority="3" operator="equal">
      <formula>"ORA"</formula>
    </cfRule>
    <cfRule type="cellIs" dxfId="4416" priority="4" operator="equal">
      <formula>"GRA"</formula>
    </cfRule>
    <cfRule type="cellIs" dxfId="4415" priority="5" operator="equal">
      <formula>"PUR"</formula>
    </cfRule>
    <cfRule type="cellIs" dxfId="4414" priority="6" operator="equal">
      <formula>"BRO"</formula>
    </cfRule>
    <cfRule type="cellIs" dxfId="4413" priority="7" operator="equal">
      <formula>"YEL"</formula>
    </cfRule>
    <cfRule type="cellIs" dxfId="4412" priority="8" operator="equal">
      <formula>"BLU"</formula>
    </cfRule>
    <cfRule type="cellIs" dxfId="4411" priority="9" operator="equal">
      <formula>"WHI"</formula>
    </cfRule>
    <cfRule type="cellIs" dxfId="4410" priority="10" operator="equal">
      <formula>"GRE"</formula>
    </cfRule>
    <cfRule type="cellIs" dxfId="4409" priority="11" operator="equal">
      <formula>"RED"</formula>
    </cfRule>
    <cfRule type="cellIs" dxfId="4408" priority="12" operator="equal">
      <formula>"BLA"</formula>
    </cfRule>
  </conditionalFormatting>
  <conditionalFormatting sqref="AT3">
    <cfRule type="colorScale" priority="44">
      <colorScale>
        <cfvo type="min"/>
        <cfvo type="max"/>
        <color rgb="FFFCFCFF"/>
        <color theme="8" tint="0.39997558519241921"/>
      </colorScale>
    </cfRule>
  </conditionalFormatting>
  <conditionalFormatting sqref="S3">
    <cfRule type="colorScale" priority="45">
      <colorScale>
        <cfvo type="min"/>
        <cfvo type="max"/>
        <color rgb="FFFCFCFF"/>
        <color rgb="FF754BFB"/>
      </colorScale>
    </cfRule>
  </conditionalFormatting>
  <conditionalFormatting sqref="J3">
    <cfRule type="colorScale" priority="46">
      <colorScale>
        <cfvo type="min"/>
        <cfvo type="percentile" val="50"/>
        <cfvo type="max"/>
        <color rgb="FFF8696B"/>
        <color rgb="FFFFEB84"/>
        <color rgb="FF63BE7B"/>
      </colorScale>
    </cfRule>
  </conditionalFormatting>
  <conditionalFormatting sqref="CG3">
    <cfRule type="colorScale" priority="47">
      <colorScale>
        <cfvo type="min"/>
        <cfvo type="max"/>
        <color rgb="FFFCFCFF"/>
        <color rgb="FF63BE7B"/>
      </colorScale>
    </cfRule>
  </conditionalFormatting>
  <hyperlinks>
    <hyperlink ref="A2" r:id="rId1" display="https://fbref.com/en/country/GAB/Gabon-Football" xr:uid="{0C820165-77CB-42AE-99B9-51DB5385D246}"/>
    <hyperlink ref="E2" r:id="rId2" xr:uid="{A8B1EC8A-F7A6-49D7-B9BF-3550DE051CE0}"/>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7889" r:id="rId6"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37890" r:id="rId7"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37891" r:id="rId8"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650452-B4FF-4940-BECA-735245CDC0DB}">
  <sheetPr codeName="Sheet64"/>
  <dimension ref="A1:IY9"/>
  <sheetViews>
    <sheetView zoomScale="70" zoomScaleNormal="70" workbookViewId="0">
      <pane xSplit="5" ySplit="1" topLeftCell="F2" activePane="bottomRight" state="frozen"/>
      <selection pane="topRight" activeCell="F1" sqref="F1"/>
      <selection pane="bottomLeft" activeCell="A2" sqref="A2"/>
      <selection pane="bottomRight" activeCell="M3" sqref="M3"/>
    </sheetView>
  </sheetViews>
  <sheetFormatPr defaultRowHeight="38.4" customHeight="1" x14ac:dyDescent="0.3"/>
  <cols>
    <col min="1" max="1" width="52.44140625" style="81" bestFit="1" customWidth="1"/>
    <col min="2" max="2" width="10.109375" style="81" customWidth="1"/>
    <col min="3" max="3" width="7.44140625" style="82" customWidth="1"/>
    <col min="4" max="4" width="4.77734375" style="83" customWidth="1"/>
    <col min="5" max="5" width="4.5546875" style="83" customWidth="1"/>
    <col min="6" max="6" width="5.77734375" style="83" customWidth="1"/>
    <col min="7" max="7" width="7.44140625" style="81" customWidth="1"/>
    <col min="8" max="8" width="11.44140625" style="81" customWidth="1"/>
    <col min="9" max="9" width="10" style="81" customWidth="1"/>
    <col min="10" max="10" width="4.21875" style="81" customWidth="1"/>
    <col min="11" max="11" width="5.6640625" style="83" customWidth="1"/>
    <col min="12" max="12" width="2.88671875" style="83" customWidth="1"/>
    <col min="13" max="13" width="6.44140625" style="83" customWidth="1"/>
    <col min="14" max="14" width="4.5546875" style="83" customWidth="1"/>
    <col min="15" max="15" width="10.5546875" style="84" customWidth="1"/>
    <col min="16" max="16" width="6.88671875" style="83" customWidth="1"/>
    <col min="17" max="17" width="4.77734375" style="83" customWidth="1"/>
    <col min="18" max="18" width="13.109375" style="82" customWidth="1"/>
    <col min="19" max="19" width="6.77734375" style="82" customWidth="1"/>
    <col min="20" max="46" width="8.44140625" style="81" customWidth="1"/>
    <col min="47" max="47" width="24.5546875" style="81" customWidth="1"/>
    <col min="48" max="51" width="16.6640625" style="81" customWidth="1"/>
    <col min="52" max="52" width="6.5546875" style="81" customWidth="1"/>
    <col min="53" max="54" width="5.88671875" style="81" customWidth="1"/>
    <col min="55" max="55" width="1.33203125" style="81" customWidth="1"/>
    <col min="56" max="56" width="7.44140625" style="81" customWidth="1"/>
    <col min="57" max="57" width="2.33203125" style="81" customWidth="1"/>
    <col min="58" max="62" width="6.109375" style="81" customWidth="1"/>
    <col min="63" max="63" width="2.33203125" style="81" customWidth="1"/>
    <col min="64" max="64" width="7" style="81" bestFit="1" customWidth="1"/>
    <col min="65" max="65" width="6.44140625" style="81" bestFit="1" customWidth="1"/>
    <col min="66" max="66" width="7.109375" style="81" bestFit="1" customWidth="1"/>
    <col min="67" max="71" width="6.44140625" style="81" bestFit="1" customWidth="1"/>
    <col min="72" max="73" width="6.44140625" style="81" customWidth="1"/>
    <col min="74" max="75" width="13.44140625" style="81" customWidth="1"/>
    <col min="76" max="84" width="14.6640625" style="81" customWidth="1"/>
    <col min="85" max="85" width="6.44140625" style="81" customWidth="1"/>
    <col min="86" max="87" width="11.6640625" style="81" bestFit="1" customWidth="1"/>
    <col min="88" max="88" width="11.6640625" style="81" customWidth="1"/>
    <col min="89" max="89" width="12.77734375" style="81" bestFit="1" customWidth="1"/>
    <col min="90" max="90" width="16.44140625" style="82" bestFit="1" customWidth="1"/>
    <col min="91" max="92" width="14.88671875" style="82" bestFit="1" customWidth="1"/>
    <col min="93" max="93" width="16" style="82" bestFit="1" customWidth="1"/>
    <col min="94" max="97" width="7.77734375" style="81" customWidth="1"/>
    <col min="98" max="98" width="33.21875" style="81" customWidth="1"/>
    <col min="99" max="99" width="18" style="81" customWidth="1"/>
    <col min="100" max="100" width="75.6640625" style="81" customWidth="1"/>
    <col min="101" max="125" width="33" style="81" customWidth="1"/>
    <col min="126" max="126" width="8.88671875" style="81"/>
    <col min="127" max="128" width="9.44140625" style="81" bestFit="1" customWidth="1"/>
    <col min="129" max="129" width="10.77734375" style="81" bestFit="1" customWidth="1"/>
    <col min="130" max="134" width="10.77734375" style="81" customWidth="1"/>
    <col min="135" max="135" width="10.109375" style="81" bestFit="1" customWidth="1"/>
    <col min="136" max="136" width="7.77734375" style="81" bestFit="1" customWidth="1"/>
    <col min="137" max="137" width="7.77734375" style="81" customWidth="1"/>
    <col min="138" max="138" width="9" style="81" bestFit="1" customWidth="1"/>
    <col min="139" max="139" width="11.33203125" style="81" bestFit="1" customWidth="1"/>
    <col min="140" max="140" width="9.109375" style="81" bestFit="1" customWidth="1"/>
    <col min="141" max="141" width="9" style="81" bestFit="1" customWidth="1"/>
    <col min="142" max="142" width="12" style="81" bestFit="1" customWidth="1"/>
    <col min="143" max="166" width="12" style="81" customWidth="1"/>
    <col min="167" max="167" width="17.21875" style="81" customWidth="1"/>
    <col min="168" max="191" width="12" style="81" customWidth="1"/>
    <col min="192" max="192" width="8.5546875" style="81" bestFit="1" customWidth="1"/>
    <col min="193" max="193" width="8.5546875" style="81" customWidth="1"/>
    <col min="194" max="194" width="7.109375" style="81" bestFit="1" customWidth="1"/>
    <col min="195" max="195" width="7.5546875" style="81" bestFit="1" customWidth="1"/>
    <col min="196" max="196" width="8.5546875" style="81" bestFit="1" customWidth="1"/>
    <col min="197" max="200" width="8.5546875" style="81" customWidth="1"/>
    <col min="201" max="201" width="188.88671875" style="81" customWidth="1"/>
    <col min="202" max="202" width="9.5546875" style="81" bestFit="1" customWidth="1"/>
    <col min="203" max="203" width="10.44140625" style="81" bestFit="1" customWidth="1"/>
    <col min="204" max="204" width="11.109375" style="81" bestFit="1" customWidth="1"/>
    <col min="205" max="205" width="10.44140625" style="81" bestFit="1" customWidth="1"/>
    <col min="206" max="210" width="10.44140625" style="81" customWidth="1"/>
    <col min="211" max="211" width="45.44140625" style="81" customWidth="1"/>
    <col min="212" max="212" width="47.5546875" style="81" bestFit="1" customWidth="1"/>
    <col min="213" max="213" width="9.33203125" style="85" customWidth="1"/>
    <col min="214" max="214" width="119.5546875" style="81" customWidth="1"/>
    <col min="215" max="215" width="69.6640625" style="81" customWidth="1"/>
    <col min="216" max="218" width="8.88671875" style="81"/>
    <col min="219" max="219" width="37.109375" style="81" customWidth="1"/>
    <col min="220" max="220" width="16.33203125" style="81" customWidth="1"/>
    <col min="221" max="222" width="8.88671875" style="81"/>
    <col min="223" max="223" width="10.109375" style="81" bestFit="1" customWidth="1"/>
    <col min="224" max="232" width="10.88671875" style="81" customWidth="1"/>
    <col min="233" max="234" width="30.77734375" style="81" customWidth="1"/>
    <col min="235" max="235" width="5.109375" style="81" customWidth="1"/>
    <col min="236" max="236" width="3" style="81" customWidth="1"/>
    <col min="237" max="245" width="6.77734375" style="86" customWidth="1"/>
    <col min="246" max="247" width="8.88671875" style="81"/>
    <col min="248" max="248" width="61.5546875" style="81" customWidth="1"/>
    <col min="249" max="253" width="8.88671875" style="81"/>
    <col min="254" max="254" width="9" style="81" customWidth="1"/>
    <col min="255" max="16384" width="8.88671875" style="8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815</v>
      </c>
      <c r="B2" s="40" t="e" vm="47">
        <v>#VALUE!</v>
      </c>
      <c r="C2" s="41">
        <v>1</v>
      </c>
      <c r="D2" s="42" t="s">
        <v>816</v>
      </c>
      <c r="E2" s="43" t="s">
        <v>817</v>
      </c>
      <c r="F2" s="44" t="s">
        <v>163</v>
      </c>
      <c r="G2" s="45">
        <f>COUNTIF($A$1:$A$8353,A2)</f>
        <v>1</v>
      </c>
      <c r="H2" s="46"/>
      <c r="I2" s="47" t="s">
        <v>813</v>
      </c>
      <c r="J2" s="48" t="str">
        <f>""</f>
        <v/>
      </c>
      <c r="K2" s="49">
        <v>2773168</v>
      </c>
      <c r="L2" s="50">
        <v>182795</v>
      </c>
      <c r="M2" s="50" t="s">
        <v>1111</v>
      </c>
      <c r="N2" s="51" t="s">
        <v>180</v>
      </c>
      <c r="O2" s="52" t="s">
        <v>818</v>
      </c>
      <c r="P2" s="53" t="s">
        <v>819</v>
      </c>
      <c r="Q2" s="54">
        <v>1</v>
      </c>
      <c r="R2" s="55" t="s">
        <v>180</v>
      </c>
      <c r="S2" s="56">
        <v>5</v>
      </c>
      <c r="T2" s="57" t="s">
        <v>164</v>
      </c>
      <c r="U2" s="58" t="s">
        <v>164</v>
      </c>
      <c r="V2" s="58" t="s">
        <v>167</v>
      </c>
      <c r="W2" s="58" t="s">
        <v>164</v>
      </c>
      <c r="X2" s="58" t="s">
        <v>164</v>
      </c>
      <c r="Y2" s="58" t="s">
        <v>164</v>
      </c>
      <c r="Z2" s="58" t="s">
        <v>164</v>
      </c>
      <c r="AA2" s="58" t="s">
        <v>164</v>
      </c>
      <c r="AB2" s="58" t="s">
        <v>164</v>
      </c>
      <c r="AC2" s="58" t="s">
        <v>164</v>
      </c>
      <c r="AD2" s="58" t="s">
        <v>164</v>
      </c>
      <c r="AE2" s="58" t="s">
        <v>164</v>
      </c>
      <c r="AF2" s="59" t="s">
        <v>164</v>
      </c>
      <c r="AG2" s="59" t="s">
        <v>167</v>
      </c>
      <c r="AH2" s="59" t="s">
        <v>164</v>
      </c>
      <c r="AI2" s="59" t="s">
        <v>164</v>
      </c>
      <c r="AJ2" s="59" t="s">
        <v>164</v>
      </c>
      <c r="AK2" s="59" t="s">
        <v>167</v>
      </c>
      <c r="AL2" s="59" t="s">
        <v>164</v>
      </c>
      <c r="AM2" s="59" t="s">
        <v>164</v>
      </c>
      <c r="AN2" s="59" t="s">
        <v>164</v>
      </c>
      <c r="AO2" s="59" t="s">
        <v>164</v>
      </c>
      <c r="AP2" s="59" t="s">
        <v>164</v>
      </c>
      <c r="AQ2" s="59" t="s">
        <v>164</v>
      </c>
      <c r="AR2" s="59" t="s">
        <v>164</v>
      </c>
      <c r="AS2" s="59" t="s">
        <v>164</v>
      </c>
      <c r="AT2" s="60">
        <v>0</v>
      </c>
      <c r="AU2" s="59"/>
      <c r="AV2" s="59" t="str">
        <f>IF(LEFT(A2,1)="[",LEFT(A2,5)&amp;AU2&amp;A2,"")</f>
        <v/>
      </c>
      <c r="AW2" s="59" t="str">
        <f t="shared" ref="AW2" si="0">C2&amp;H2&amp;A2</f>
        <v>1Gambia</v>
      </c>
      <c r="AX2" s="61" t="str">
        <f>_xlfn.TEXTJOIN(";",TRUE,AU2:AW2)</f>
        <v>1Gambia</v>
      </c>
      <c r="AY2" s="61"/>
      <c r="AZ2" s="62"/>
      <c r="BA2" s="62"/>
      <c r="BB2" s="62"/>
      <c r="BC2" s="63"/>
      <c r="BD2" s="64" t="s">
        <v>169</v>
      </c>
      <c r="BE2" s="47"/>
      <c r="BF2" s="64" t="s">
        <v>154</v>
      </c>
      <c r="BG2" s="64" t="s">
        <v>152</v>
      </c>
      <c r="BH2" s="64" t="s">
        <v>153</v>
      </c>
      <c r="BI2" s="64" t="s">
        <v>159</v>
      </c>
      <c r="BJ2" s="64"/>
      <c r="BK2" s="47"/>
      <c r="BL2" s="64" t="s">
        <v>154</v>
      </c>
      <c r="BM2" s="64" t="s">
        <v>152</v>
      </c>
      <c r="BN2" s="64" t="s">
        <v>153</v>
      </c>
      <c r="BO2" s="64" t="s">
        <v>159</v>
      </c>
      <c r="BP2" s="64"/>
      <c r="BQ2" s="64"/>
      <c r="BR2" s="64"/>
      <c r="BS2" s="64"/>
      <c r="BT2" s="64"/>
      <c r="BU2" s="65"/>
      <c r="BV2" s="66" t="s">
        <v>165</v>
      </c>
      <c r="BW2" s="66" t="s">
        <v>166</v>
      </c>
      <c r="BX2" s="47"/>
      <c r="CB2" s="6" t="s">
        <v>136</v>
      </c>
      <c r="CC2" s="6"/>
      <c r="CD2" s="67">
        <v>0</v>
      </c>
      <c r="CE2" s="67">
        <v>0</v>
      </c>
      <c r="CF2" s="67" t="e">
        <v>#REF!</v>
      </c>
      <c r="CG2" s="68" cm="1">
        <f t="array" ref="CG2">SUMPRODUCT(--(LEN(TRIM(BL2:BT2))&gt;0))</f>
        <v>4</v>
      </c>
      <c r="CH2" s="59" t="str">
        <f>IF(CG2=2,"y","n")</f>
        <v>n</v>
      </c>
      <c r="CI2" s="59" t="str">
        <f>IF(CG2=3,"y","n")</f>
        <v>n</v>
      </c>
      <c r="CJ2" s="59" t="str">
        <f>IF(CG2=4,"y","n")</f>
        <v>y</v>
      </c>
      <c r="CK2" s="59" t="str">
        <f>IF(CG2&gt;4,"y","n")</f>
        <v>n</v>
      </c>
      <c r="CL2" s="59" t="str">
        <f>IF(S2=0,"y","n")</f>
        <v>n</v>
      </c>
      <c r="CM2" s="59" t="str">
        <f>IF(S2=2,"y","n")</f>
        <v>n</v>
      </c>
      <c r="CN2" s="59" t="str">
        <f>IF(S2=3,"y","n")</f>
        <v>n</v>
      </c>
      <c r="CO2" s="59" t="str">
        <f>IF(S2&gt;=4,"y","n")</f>
        <v>y</v>
      </c>
      <c r="CP2" s="59" t="str">
        <f>IF(AT2=0,"y","n")</f>
        <v>y</v>
      </c>
      <c r="CQ2" s="59" t="str">
        <f>IF(AT2=1,"y","n")</f>
        <v>n</v>
      </c>
      <c r="CR2" s="59" t="str">
        <f>IF(AT2=2,"y","n")</f>
        <v>n</v>
      </c>
      <c r="CS2" s="59" t="str">
        <f>IF(AT2&gt;=3,"y","n")</f>
        <v>n</v>
      </c>
      <c r="CT2" s="69" t="str">
        <f>CHAR(34)&amp;A2&amp;CHAR(34)</f>
        <v>"Gambia"</v>
      </c>
      <c r="CU2" s="70" t="str">
        <f>CHAR(34)&amp;"rgn_"&amp;R2&amp;CHAR(34)</f>
        <v>"rgn_Africa"</v>
      </c>
      <c r="CV2" s="48" t="str">
        <f>CHAR(34)&amp;D2&amp;CHAR(34)</f>
        <v>"https://i.ibb.co/ZYxLrKh/Gambia-Flag.png"</v>
      </c>
      <c r="CW2" s="48" t="str">
        <f>IF(CH2="y",CHAR(34)&amp;CH$1&amp;CHAR(34)&amp;",","")</f>
        <v/>
      </c>
      <c r="CX2" s="48" t="str">
        <f>IF(CI2="y",CHAR(34)&amp;CI$1&amp;CHAR(34)&amp;",","")</f>
        <v/>
      </c>
      <c r="CY2" s="48" t="str">
        <f>IF(CJ2="y",CHAR(34)&amp;CJ$1&amp;CHAR(34)&amp;",","")</f>
        <v>"4Color",</v>
      </c>
      <c r="CZ2" s="48" t="str">
        <f>IF(CK2="y",CHAR(34)&amp;CK$1&amp;CHAR(34)&amp;",","")</f>
        <v/>
      </c>
      <c r="DA2" s="48" t="str">
        <f>IF(Q2&gt;1,CHAR(34)&amp;"words2"&amp;CHAR(34)&amp;",","")</f>
        <v/>
      </c>
      <c r="DB2" s="48" t="str">
        <f>IF(Q2&gt;2,CHAR(34)&amp;"words3"&amp;CHAR(34)&amp;",","")</f>
        <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"lets06",</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"startG",</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
      </c>
      <c r="DS2" s="6" t="str">
        <f>IF(W2="y",IF(AND(V2="n",BY2&lt;&gt;"y"),CHAR(34)&amp;"allver"&amp;CHAR(34)&amp;",",""),"")</f>
        <v/>
      </c>
      <c r="DT2" s="6" t="str">
        <f>IF(V2="y",IF(AND(W2="n",BY2&lt;&gt;"y"),CHAR(34)&amp;"allhor"&amp;CHAR(34)&amp;",",""),"")</f>
        <v>"allhor",</v>
      </c>
      <c r="DU2" s="6" t="str">
        <f>IF(BY2="y",IF(AND(W2="n",V2="n"),CHAR(34)&amp;"alldia"&amp;CHAR(34)&amp;",",""),"")</f>
        <v/>
      </c>
      <c r="DV2" s="48" t="str">
        <f>IF(IA2&lt;&gt;"",(IF(IA2="y",CHAR(34)&amp;"largec"&amp;CHAR(34)&amp;",",CHAR(34)&amp;"smallc"&amp;CHAR(34)&amp;",")),"")</f>
        <v/>
      </c>
      <c r="DW2" s="48" t="str">
        <f>IF(CL2="y",CHAR(34)&amp;CL$1&amp;CHAR(34)&amp;",","")</f>
        <v/>
      </c>
      <c r="DX2" s="48" t="str">
        <f>IF(CM2="y",CHAR(34)&amp;CM$1&amp;CHAR(34)&amp;",","")</f>
        <v/>
      </c>
      <c r="DY2" s="48" t="str">
        <f>IF(CN2="y",CHAR(34)&amp;CN$1&amp;CHAR(34)&amp;",","")</f>
        <v/>
      </c>
      <c r="DZ2" s="48" t="str">
        <f>IF(CO2="y",CHAR(34)&amp;CO$1&amp;CHAR(34)&amp;",","")</f>
        <v>"4+Band",</v>
      </c>
      <c r="EA2" s="48" t="str">
        <f>IF(T2="y",CHAR(34)&amp;T$1&amp;CHAR(34)&amp;",","")</f>
        <v/>
      </c>
      <c r="EB2" s="48" t="str">
        <f>IF(U2="y",CHAR(34)&amp;U$1&amp;CHAR(34)&amp;",","")</f>
        <v/>
      </c>
      <c r="EC2" s="48" t="str">
        <f>IF(V2="y",CHAR(34)&amp;V$1&amp;CHAR(34)&amp;",","")</f>
        <v>"Horizo",</v>
      </c>
      <c r="ED2" s="48" t="str">
        <f>IF(W2="y",CHAR(34)&amp;W$1&amp;CHAR(34)&amp;",","")</f>
        <v/>
      </c>
      <c r="EE2" s="48" t="str">
        <f>IF(X2="y",CHAR(34)&amp;X$1&amp;CHAR(34)&amp;",","")</f>
        <v/>
      </c>
      <c r="EF2" s="48" t="str">
        <f>IF(AND(Y2&lt;&gt;"n",Y2&lt;&gt;""),CHAR(34)&amp;Y$1&amp;CHAR(34)&amp;",","")</f>
        <v/>
      </c>
      <c r="EG2" s="48" t="str">
        <f>IF(Z2="y",CHAR(34)&amp;Z$1&amp;CHAR(34)&amp;",","")</f>
        <v/>
      </c>
      <c r="EH2" s="48" t="str">
        <f>IF(AA2="y",CHAR(34)&amp;AA$1&amp;CHAR(34)&amp;",","")</f>
        <v/>
      </c>
      <c r="EI2" s="48" t="str">
        <f>IF(AB2="y",CHAR(34)&amp;AB$1&amp;CHAR(34)&amp;",","")</f>
        <v/>
      </c>
      <c r="EJ2" s="48" t="str">
        <f>IF(AC2="y",CHAR(34)&amp;AC$1&amp;CHAR(34)&amp;",","")</f>
        <v/>
      </c>
      <c r="EK2" s="48" t="str">
        <f>IF(AD2="y",CHAR(34)&amp;AD$1&amp;CHAR(34)&amp;",","")</f>
        <v/>
      </c>
      <c r="EL2" s="48" t="str">
        <f>IF(AE2="y",CHAR(34)&amp;AE$1&amp;CHAR(34)&amp;",","")</f>
        <v/>
      </c>
      <c r="EM2" s="48" t="str">
        <f>IF(AF2="y",CHAR(34)&amp;AF$1&amp;CHAR(34)&amp;",","")</f>
        <v/>
      </c>
      <c r="EN2" s="48" t="str">
        <f>IF(AG2="y",CHAR(34)&amp;AG$1&amp;CHAR(34)&amp;",","")</f>
        <v>"Unequa",</v>
      </c>
      <c r="EO2" s="48" t="str">
        <f>IF(AH2="y",CHAR(34)&amp;AH$1&amp;CHAR(34)&amp;",","")</f>
        <v/>
      </c>
      <c r="EP2" s="48" t="str">
        <f>IF(AI2="y",CHAR(34)&amp;AI$1&amp;CHAR(34)&amp;",","")</f>
        <v/>
      </c>
      <c r="EQ2" s="48" t="str">
        <f>IF(AJ2="y",CHAR(34)&amp;AJ$1&amp;CHAR(34)&amp;",","")</f>
        <v/>
      </c>
      <c r="ER2" s="48" t="str">
        <f>IF(AK2="y",CHAR(34)&amp;AK$1&amp;CHAR(34)&amp;",","")</f>
        <v>"OnlyBa",</v>
      </c>
      <c r="ES2" s="48" t="str">
        <f>IF(AL2="y",CHAR(34)&amp;AL$1&amp;CHAR(34)&amp;",","")</f>
        <v/>
      </c>
      <c r="ET2" s="48" t="str">
        <f>IF(AM2="y",CHAR(34)&amp;AM$1&amp;CHAR(34)&amp;",","")</f>
        <v/>
      </c>
      <c r="EU2" s="48" t="str">
        <f>IF(AN2="y",CHAR(34)&amp;AN$1&amp;CHAR(34)&amp;",","")</f>
        <v/>
      </c>
      <c r="EV2" s="48" t="str">
        <f>IF(AO2="y",CHAR(34)&amp;AO$1&amp;CHAR(34)&amp;",","")</f>
        <v/>
      </c>
      <c r="EW2" s="48" t="str">
        <f>IF(AP2="y",CHAR(34)&amp;AP$1&amp;CHAR(34)&amp;",","")</f>
        <v/>
      </c>
      <c r="EX2" s="48" t="str">
        <f>IF(AQ2="y",CHAR(34)&amp;AQ$1&amp;CHAR(34)&amp;",","")</f>
        <v/>
      </c>
      <c r="EY2" s="48" t="str">
        <f>IF(AR2="y",CHAR(34)&amp;AR$1&amp;CHAR(34)&amp;",","")</f>
        <v/>
      </c>
      <c r="EZ2" s="48" t="str">
        <f>IF(AS2="y",CHAR(34)&amp;AS$1&amp;CHAR(34)&amp;",","")</f>
        <v/>
      </c>
      <c r="FA2" s="48" t="str">
        <f>IF(AT2&gt;0,CHAR(34)&amp;"sta"&amp;AZ2&amp;CHAR(34)&amp;",","")</f>
        <v/>
      </c>
      <c r="FB2" s="48" t="str">
        <f>IF(AND(AT2&gt;0,BA2&lt;&gt;""),CHAR(34)&amp;"sta"&amp;BA2&amp;CHAR(34)&amp;",","")</f>
        <v/>
      </c>
      <c r="FC2" s="48" t="str">
        <f>IF(AND(AT2&gt;0,BB2&lt;&gt;""),CHAR(34)&amp;"sta"&amp;BB2&amp;CHAR(34)&amp;",","")</f>
        <v/>
      </c>
      <c r="FD2" s="48" t="str">
        <f>IF(BV2="n",CHAR(34)&amp;"tcWHYE"&amp;CHAR(34)&amp;",",IF(BV2="y",CHAR(34)&amp;FD$1&amp;CHAR(34)&amp;",",""))</f>
        <v/>
      </c>
      <c r="FE2" s="48" t="str">
        <f>IF(COUNTIF(BL2:BT2,"BLU")=0,CHAR(34)&amp;"NO_BLU"&amp;CHAR(34)&amp;",", "")</f>
        <v/>
      </c>
      <c r="FF2" s="48" t="str">
        <f>IF(COUNTIF(BL2:BT2,"WHI")=0,CHAR(34)&amp;"NO_WHI"&amp;CHAR(34)&amp;",", "")</f>
        <v/>
      </c>
      <c r="FG2" s="48" t="str">
        <f>IF(COUNTIF(BL2:BT2,"RED")=0,CHAR(34)&amp;"NO_RED"&amp;CHAR(34)&amp;",", "")</f>
        <v/>
      </c>
      <c r="FH2" s="48" t="str">
        <f>IF(COUNTIF(BL2:BS2,"GRE")=0,CHAR(34)&amp;"NO_GRE"&amp;CHAR(34)&amp;",", "")</f>
        <v/>
      </c>
      <c r="FI2" s="48" t="str">
        <f>IF(COUNTIF(BL2:BT2,"YEL")=0,CHAR(34)&amp;"NO_YEL"&amp;CHAR(34)&amp;",", "")</f>
        <v>"NO_YEL",</v>
      </c>
      <c r="FJ2" s="48" t="str">
        <f>IF(COUNTIF(BL2:BT2,"BLA")=0,CHAR(34)&amp;"NO_BLA"&amp;CHAR(34)&amp;",", "")</f>
        <v>"NO_BLA",</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
      </c>
      <c r="FP2" s="48" t="str">
        <f>IF(AND(FF2&lt;&gt;"",FF2&lt;&gt;""),CHAR(34)&amp;"WHRENO"&amp;CHAR(34)&amp;",","")</f>
        <v/>
      </c>
      <c r="FQ2" s="48" t="str">
        <f>IF(LEN(BF2)=3,CHAR(34)&amp;"001"&amp;BF2&amp;CHAR(34)&amp;",","")</f>
        <v>"001RED",</v>
      </c>
      <c r="FR2" s="48" t="str">
        <f>IF(LEN(BG2)=3,CHAR(34)&amp;"002"&amp;BG2&amp;CHAR(34)&amp;",","")</f>
        <v>"002BLU",</v>
      </c>
      <c r="FS2" s="48" t="str">
        <f>IF(LEN(BH2)=3,CHAR(34)&amp;"003"&amp;BH2&amp;CHAR(34)&amp;",","")</f>
        <v>"003GRE",</v>
      </c>
      <c r="FT2" s="48" t="str">
        <f>CHAR(34)&amp;"myr"&amp;BD2&amp;CHAR(34)&amp;","</f>
        <v>"myrEQ",</v>
      </c>
      <c r="FU2" s="48" t="str">
        <f>IF(AY2="y",CHAR(34)&amp;"island"&amp;CHAR(34)&amp;",","")</f>
        <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"englis",</v>
      </c>
      <c r="GA2" s="48" t="str">
        <f>IFERROR(IF(SEARCH("French",CB2)&gt;0,CHAR(34)&amp;"french"&amp;CHAR(34)&amp;",",""),"")</f>
        <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"NoStar",</v>
      </c>
      <c r="GK2" s="48" t="str">
        <f>IF(GJ2="",CHAR(34)&amp;"HasSta"&amp;CHAR(34)&amp;",","")</f>
        <v/>
      </c>
      <c r="GL2" s="48" t="str">
        <f>IF(CQ2="y",CHAR(34)&amp;CQ$1&amp;CHAR(34)&amp;",","")</f>
        <v/>
      </c>
      <c r="GM2" s="48" t="str">
        <f>IF(CR2="y",CHAR(34)&amp;CR$1&amp;CHAR(34)&amp;",","")</f>
        <v/>
      </c>
      <c r="GN2" s="48" t="str">
        <f>IF(CS2="y",CHAR(34)&amp;CS$1&amp;CHAR(34)&amp;",","")</f>
        <v/>
      </c>
      <c r="GP2" s="48" t="str">
        <f>CHAR(34)&amp;AU2&amp;CHAR(34)</f>
        <v>""</v>
      </c>
      <c r="GS2" s="48" t="str">
        <f>SUBSTITUTE("["&amp;_xlfn.CONCAT(CW2:GN2)&amp;"]",",]","]")</f>
        <v>["4Color","lets06","startG","year19","allhor","4+Band","Horizo","Unequa","OnlyBa","NO_YEL","NO_BLA","001RED","002BLU","003GRE","myrEQ","englis","NoStar"]</v>
      </c>
      <c r="GT2" s="48" t="str">
        <f>IF(BL2&lt;&gt;"",CHAR(34)&amp;"cl_"&amp;BL2&amp;CHAR(34)&amp;",","")</f>
        <v>"cl_RED",</v>
      </c>
      <c r="GU2" s="48" t="str">
        <f>IF(BM2&lt;&gt;"",CHAR(34)&amp;"cl_"&amp;BM2&amp;CHAR(34)&amp;",","")</f>
        <v>"cl_BLU",</v>
      </c>
      <c r="GV2" s="48" t="str">
        <f>IF(BN2&lt;&gt;"",CHAR(34)&amp;"cl_"&amp;BN2&amp;CHAR(34)&amp;",","")</f>
        <v>"cl_GRE",</v>
      </c>
      <c r="GW2" s="48" t="str">
        <f>IF(BO2&lt;&gt;"",CHAR(34)&amp;"cl_"&amp;BO2&amp;CHAR(34)&amp;",","")</f>
        <v>"cl_WHI",</v>
      </c>
      <c r="GX2" s="48" t="str">
        <f>IF(BP2&lt;&gt;"",CHAR(34)&amp;"cl_"&amp;BP2&amp;CHAR(34)&amp;",","")</f>
        <v/>
      </c>
      <c r="GY2" s="48" t="str">
        <f>IF(BQ2&lt;&gt;"",CHAR(34)&amp;"cl_"&amp;BQ2&amp;CHAR(34)&amp;",","")</f>
        <v/>
      </c>
      <c r="GZ2" s="48" t="str">
        <f>IF(BR2&lt;&gt;"",CHAR(34)&amp;"cl_"&amp;BR2&amp;CHAR(34)&amp;",","")</f>
        <v/>
      </c>
      <c r="HA2" s="48" t="str">
        <f>IF(BS2&lt;&gt;"",CHAR(34)&amp;"cl_"&amp;BS2&amp;CHAR(34)&amp;",","")</f>
        <v/>
      </c>
      <c r="HB2" s="48" t="str">
        <f>IF(BT2&lt;&gt;"",CHAR(34)&amp;"cl_"&amp;BT2&amp;CHAR(34)&amp;",","")</f>
        <v/>
      </c>
      <c r="HC2" s="48" t="str">
        <f>SUBSTITUTE("["&amp;_xlfn.CONCAT(GT2:HB2)&amp;"]",",]","]")</f>
        <v>["cl_RED","cl_BLU","cl_GRE","cl_WHI"]</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{couname:"Gambia",year:"1965 ",region:"rgn_Africa",Colors:["cl_RED","cl_BLU","cl_GRE","cl_WHI"],Items:["4Color","lets06","startG","year19","allhor","4+Band","Horizo","Unequa","OnlyBa","NO_YEL","NO_BLA","001RED","002BLU","003GRE","myrEQ","englis","NoStar"],Flag:"https://i.ibb.co/ZYxLrKh/Gambia-Flag.png",HDFlag:"https://upload.wikimedia.org/wikipedia/commons/thumb/7/77/Flag_of_The_Gambia.svg/2560px-Flag_of_The_Gambia.svg.png",type:"", describe: "\nThe blue alludes to the Gambia River, which is the nation's key geographical feature and from which the country derives its name. The red evokes the sun – given the Gambia's close proximity to the Equator – as well as the savanna, while the thin white stripes represent unity and peace. The green epitomizes the forest and the agricultural goods that the Gambian people are heavily dependent on, both for exports and their personal use.", isnew:".", links: "https://en.wikipedia.org/wiki/Flag_of_the_Gambia"},</v>
      </c>
      <c r="HG2" s="73" t="str">
        <f>"{couname:"&amp;CT2&amp;(IF(HK2&lt;&gt;"",",subtype:"&amp;CHAR(34)&amp;HK2&amp;CHAR(34),""))&amp;",year:"&amp;HJ2&amp;",region:"&amp;CU2&amp;",Colors:"&amp;HC2&amp;",Items:"&amp;GS2&amp;",Flag:"&amp;CV2&amp;",HDFlag:"&amp;CHAR(34)&amp;E2&amp;CHAR(34)&amp;",type:"&amp;GP2&amp;", describe: "&amp;HI2&amp;", links: "&amp;HL2&amp;"},"</f>
        <v>{couname:"Gambia",year:"1965 ",region:"rgn_Africa",Colors:["cl_RED","cl_BLU","cl_GRE","cl_WHI"],Items:["4Color","lets06","startG","year19","allhor","4+Band","Horizo","Unequa","OnlyBa","NO_YEL","NO_BLA","001RED","002BLU","003GRE","myrEQ","englis","NoStar"],Flag:"https://i.ibb.co/ZYxLrKh/Gambia-Flag.png",HDFlag:"https://upload.wikimedia.org/wikipedia/commons/thumb/7/77/Flag_of_The_Gambia.svg/2560px-Flag_of_The_Gambia.svg.png",type:"", describe: "\nThe blue alludes to the Gambia River, which is the nation's key geographical feature and from which the country derives its name. The red evokes the sun – given the Gambia's close proximity to the Equator – as well as the savanna, while the thin white stripes represent unity and peace. The green epitomizes the forest and the agricultural goods that the Gambian people are heavily dependent on, both for exports and their personal use.", links: "https://en.wikipedia.org/wiki/Flag_of_the_Gambia"},</v>
      </c>
      <c r="HH2" s="48" t="str">
        <f>IF(P2&lt;&gt;"",CHAR(34)&amp;"\n"&amp;P2&amp;CHAR(34),CHAR(34)&amp;CHAR(34))</f>
        <v>"\nThe blue alludes to the Gambia River, which is the nation's key geographical feature and from which the country derives its name. The red evokes the sun – given the Gambia's close proximity to the Equator – as well as the savanna, while the thin white stripes represent unity and peace. The green epitomizes the forest and the agricultural goods that the Gambian people are heavily dependent on, both for exports and their personal use."</v>
      </c>
      <c r="HI2" s="48" t="str">
        <f>IF(J2=0,CHAR(34)&amp;CHAR(34),HH2)</f>
        <v>"\nThe blue alludes to the Gambia River, which is the nation's key geographical feature and from which the country derives its name. The red evokes the sun – given the Gambia's close proximity to the Equator – as well as the savanna, while the thin white stripes represent unity and peace. The green epitomizes the forest and the agricultural goods that the Gambian people are heavily dependent on, both for exports and their personal use."</v>
      </c>
      <c r="HJ2" s="48" t="str">
        <f>CHAR(34)&amp;O2&amp;CHAR(34)</f>
        <v>"1965 "</v>
      </c>
      <c r="HL2" s="48" t="str">
        <f>CHAR(34)&amp;I2&amp;CHAR(34)</f>
        <v>"https://en.wikipedia.org/wiki/Flag_of_the_Gambia"</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{"couname":"Gambia","year":"1965 ","region":"rgn_Africa","Colors":["cl_RED","cl_BLU","cl_GRE","cl_WHI"],"Items":["4Color","lets06","startG","year19","allhor","4+Band","Horizo","Unequa","OnlyBa","NO_YEL","NO_BLA","001RED","002BLU","003GRE","myrEQ","englis","NoStar"],"Flag":"https://i.ibb.co/ZYxLrKh/Gambia-Flag.png","HDFlag":"https://upload.wikimedia.org/wikipedia/commons/thumb/7/77/Flag_of_The_Gambia.svg/2560px-Flag_of_The_Gambia.svg.png","type":"", "describe": "\nThe blue alludes to the Gambia River, which is the nation's key geographical feature and from which the country derives its name. The red evokes the sun – given the Gambia's close proximity to the Equator – as well as the savanna, while the thin white stripes represent unity and peace. The green epitomizes the forest and the agricultural goods that the Gambian people are heavily dependent on, both for exports and their personal use.", "isnew": ".", "links": "https://en.wikipedia.org/wiki/Flag_of_the_Gambia"},</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{"couname":"Gambia","year":"1965 ","region":"rgn_Africa","Colors":["cl_RED","cl_BLU","cl_GRE","cl_WHI"],"Items":["4Color","lets06","startG","year19","allhor","4+Band","Horizo","Unequa","OnlyBa","NO_YEL","NO_BLA","001RED","002BLU","003GRE","myrEQ","englis","NoStar"],"Flag":"https://i.ibb.co/ZYxLrKh/Gambia-Flag.png","HDFlag":"https://upload.wikimedia.org/wikipedia/commons/thumb/7/77/Flag_of_The_Gambia.svg/2560px-Flag_of_The_Gambia.svg.png","type":"", "describe": "\nThe blue alludes to the Gambia River, which is the nation's key geographical feature and from which the country derives its name. The red evokes the sun – given the Gambia's close proximity to the Equator – as well as the savanna, while the thin white stripes represent unity and peace. The green epitomizes the forest and the agricultural goods that the Gambian people are heavily dependent on, both for exports and their personal use.", "isnew": ".", "links": "https://en.wikipedia.org/wiki/Flag_of_the_Gambia"},</v>
      </c>
      <c r="HO2" s="75"/>
      <c r="HP2" s="48" t="str" cm="1">
        <f t="array" ref="HP2">IF(_xlfn.TEXTJOIN(", ", TRUE, IF(ISNUMBER(SEARCH("BLA", BL2:BT2)), COLUMN(BL2:BT2) - COLUMN(BL2) + 1, ""))&lt;&gt;"","BLA","")</f>
        <v/>
      </c>
      <c r="HQ2" s="48" t="str" cm="1">
        <f t="array" ref="HQ2">IF(_xlfn.TEXTJOIN(", ", TRUE, IF(ISNUMBER(SEARCH("BLU", BL2:BT2)), COLUMN(BL2:BT2) - COLUMN(BL2) + 1, ""))&lt;&gt;"","BLU","")</f>
        <v>BLU</v>
      </c>
      <c r="HR2" s="48" t="str" cm="1">
        <f t="array" ref="HR2">IF(_xlfn.TEXTJOIN(", ", TRUE, IF(ISNUMBER(SEARCH("GRE", BL2:BT2)), COLUMN(BL2:BT2) - COLUMN(BL2) + 1, ""))&lt;&gt;"","GRE","")</f>
        <v>GRE</v>
      </c>
      <c r="HS2" s="48" t="str" cm="1">
        <f t="array" ref="HS2">IF(_xlfn.TEXTJOIN(", ", TRUE, IF(ISNUMBER(SEARCH("RED", BL2:BT2)), COLUMN(BL2:BT2) - COLUMN(BL2) + 1, ""))&lt;&gt;"","RED","")</f>
        <v>RED</v>
      </c>
      <c r="HT2" s="48" t="str" cm="1">
        <f t="array" ref="HT2">IF(_xlfn.TEXTJOIN(", ", TRUE, IF(ISNUMBER(SEARCH("YEL", BL2:BT2)), COLUMN(BL2:BT2) - COLUMN(BL2) + 1, ""))&lt;&gt;"","YEL","")</f>
        <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c r="IB2" s="6"/>
      <c r="IC2" s="77"/>
      <c r="ID2" s="77"/>
      <c r="IE2" s="77"/>
      <c r="IF2" s="77"/>
      <c r="IG2" s="77"/>
      <c r="IH2" s="77"/>
      <c r="II2" s="77"/>
      <c r="IJ2" s="77"/>
      <c r="IK2" s="77"/>
      <c r="IL2" s="48">
        <f>SUM(IC2:IK2)</f>
        <v>0</v>
      </c>
      <c r="IM2" s="45">
        <f>COUNTIF(IC2:IK2,"&gt;0")-CG2</f>
        <v>-4</v>
      </c>
      <c r="IN2" s="78" t="str">
        <f>"http://mkweb.bcgsc.ca/color-summarizer/?url="&amp;D2&amp;"&amp;precision=low&amp;num_clusters="&amp;CG2&amp;"&amp;text=1"</f>
        <v>http://mkweb.bcgsc.ca/color-summarizer/?url=https://i.ibb.co/ZYxLrKh/Gambia-Flag.png&amp;precision=low&amp;num_clusters=4&amp;text=1</v>
      </c>
      <c r="IO2" s="48" t="str">
        <f>IF(HP2&lt;&gt;"",CHAR(34)&amp;"black"&amp;CHAR(34),"")</f>
        <v/>
      </c>
      <c r="IP2" s="48" t="str">
        <f>IF(HQ2&lt;&gt;"",CHAR(34)&amp;"blue"&amp;CHAR(34),"")</f>
        <v>"blue"</v>
      </c>
      <c r="IQ2" s="48" t="str">
        <f>IF(HR2&lt;&gt;"",CHAR(34)&amp;"green"&amp;CHAR(34),"")</f>
        <v>"green"</v>
      </c>
      <c r="IR2" s="48" t="str">
        <f>IF(HS2&lt;&gt;"",CHAR(34)&amp;"red"&amp;CHAR(34),"")</f>
        <v>"red"</v>
      </c>
      <c r="IS2" s="48" t="str">
        <f>IF(HT2&lt;&gt;"",CHAR(34)&amp;"yellow"&amp;CHAR(34),"")</f>
        <v/>
      </c>
      <c r="IT2" s="48" t="str">
        <f>IF(HU2&lt;&gt;"",CHAR(34)&amp;"orange"&amp;CHAR(34),"")</f>
        <v/>
      </c>
      <c r="IU2" s="48" t="str">
        <f>IF(HV2&lt;&gt;"",CHAR(34)&amp;"brown"&amp;CHAR(34),"")</f>
        <v/>
      </c>
      <c r="IV2" s="48" t="str">
        <f>IF(HW2&lt;&gt;"",CHAR(34)&amp;"purple"&amp;CHAR(34),"")</f>
        <v/>
      </c>
      <c r="IW2" s="48" t="str">
        <f>IF(HX2&lt;&gt;"",CHAR(34)&amp;"white"&amp;CHAR(34),"")</f>
        <v>"white"</v>
      </c>
      <c r="IX2" s="48" t="str">
        <f>"{"&amp;CHAR(34)&amp;"url"&amp;CHAR(34)&amp;":"&amp;CHAR(34)&amp;IN2&amp;CHAR(34)&amp;","&amp;CHAR(34)&amp;"name"&amp;CHAR(34)&amp;":"&amp;CHAR(34)&amp;A2&amp;CHAR(34)&amp;"},"</f>
        <v>{"url":"http://mkweb.bcgsc.ca/color-summarizer/?url=https://i.ibb.co/ZYxLrKh/Gambia-Flag.png&amp;precision=low&amp;num_clusters=4&amp;text=1","name":"Gambia"},</v>
      </c>
      <c r="IY2" s="48">
        <v>81</v>
      </c>
    </row>
    <row r="3" spans="1:259" s="48" customFormat="1" ht="38.4" customHeight="1" thickBot="1" x14ac:dyDescent="0.35">
      <c r="A3" s="80" t="s">
        <v>810</v>
      </c>
      <c r="B3" s="40" t="e" vm="48">
        <v>#VALUE!</v>
      </c>
      <c r="C3" s="41" t="s">
        <v>173</v>
      </c>
      <c r="D3" s="42" t="s">
        <v>811</v>
      </c>
      <c r="E3" s="43" t="s">
        <v>812</v>
      </c>
      <c r="F3" s="44" t="s">
        <v>163</v>
      </c>
      <c r="G3" s="45">
        <f>COUNTIF($A$1:$A$8357,A3)</f>
        <v>1</v>
      </c>
      <c r="H3" s="46" t="s">
        <v>820</v>
      </c>
      <c r="I3" s="47" t="s">
        <v>813</v>
      </c>
      <c r="J3" s="48" t="str">
        <f>""</f>
        <v/>
      </c>
      <c r="K3" s="49"/>
      <c r="L3" s="50"/>
      <c r="M3" s="50"/>
      <c r="N3" s="51" t="s">
        <v>180</v>
      </c>
      <c r="O3" s="52" t="s">
        <v>814</v>
      </c>
      <c r="P3" s="53" t="s">
        <v>520</v>
      </c>
      <c r="Q3" s="54">
        <v>1</v>
      </c>
      <c r="R3" s="55" t="s">
        <v>180</v>
      </c>
      <c r="S3" s="56">
        <v>0</v>
      </c>
      <c r="T3" s="57" t="s">
        <v>164</v>
      </c>
      <c r="U3" s="58" t="s">
        <v>164</v>
      </c>
      <c r="V3" s="58" t="s">
        <v>164</v>
      </c>
      <c r="W3" s="58" t="s">
        <v>164</v>
      </c>
      <c r="X3" s="58" t="s">
        <v>167</v>
      </c>
      <c r="Y3" s="58" t="s">
        <v>167</v>
      </c>
      <c r="Z3" s="58" t="s">
        <v>164</v>
      </c>
      <c r="AA3" s="58" t="s">
        <v>167</v>
      </c>
      <c r="AB3" s="58" t="s">
        <v>167</v>
      </c>
      <c r="AC3" s="58" t="s">
        <v>164</v>
      </c>
      <c r="AD3" s="58" t="s">
        <v>167</v>
      </c>
      <c r="AE3" s="58" t="s">
        <v>164</v>
      </c>
      <c r="AF3" s="59" t="s">
        <v>164</v>
      </c>
      <c r="AG3" s="59" t="s">
        <v>164</v>
      </c>
      <c r="AH3" s="59" t="s">
        <v>164</v>
      </c>
      <c r="AI3" s="59" t="s">
        <v>167</v>
      </c>
      <c r="AJ3" s="59" t="s">
        <v>164</v>
      </c>
      <c r="AK3" s="59" t="s">
        <v>164</v>
      </c>
      <c r="AL3" s="59" t="s">
        <v>164</v>
      </c>
      <c r="AM3" s="59" t="s">
        <v>167</v>
      </c>
      <c r="AN3" s="59" t="s">
        <v>164</v>
      </c>
      <c r="AO3" s="59" t="s">
        <v>164</v>
      </c>
      <c r="AP3" s="59" t="s">
        <v>164</v>
      </c>
      <c r="AQ3" s="59" t="s">
        <v>164</v>
      </c>
      <c r="AR3" s="59" t="s">
        <v>164</v>
      </c>
      <c r="AS3" s="59" t="s">
        <v>164</v>
      </c>
      <c r="AT3" s="60">
        <v>0</v>
      </c>
      <c r="AU3" s="59" t="s">
        <v>174</v>
      </c>
      <c r="AV3" s="59" t="str">
        <f>IF(LEFT(A3,1)="[",LEFT(A3,5)&amp;AU3&amp;A3,"")</f>
        <v>[GMB]Historical[GMB] Gambia (1889-1965)</v>
      </c>
      <c r="AW3" s="59" t="str">
        <f t="shared" ref="AW3" si="1">C3&amp;H3&amp;A3</f>
        <v>3b[GMB] Other[GMB] Gambia (1889-1965)</v>
      </c>
      <c r="AX3" s="61"/>
      <c r="AY3" s="61"/>
      <c r="AZ3" s="62"/>
      <c r="BA3" s="62"/>
      <c r="BB3" s="62"/>
      <c r="BC3" s="63"/>
      <c r="BD3" s="64" t="s">
        <v>152</v>
      </c>
      <c r="BE3" s="47"/>
      <c r="BF3" s="64"/>
      <c r="BG3" s="64"/>
      <c r="BH3" s="64"/>
      <c r="BI3" s="64"/>
      <c r="BJ3" s="64"/>
      <c r="BK3" s="47"/>
      <c r="BL3" s="64" t="s">
        <v>152</v>
      </c>
      <c r="BM3" s="64" t="s">
        <v>154</v>
      </c>
      <c r="BN3" s="64" t="s">
        <v>159</v>
      </c>
      <c r="BO3" s="64" t="s">
        <v>155</v>
      </c>
      <c r="BP3" s="64" t="s">
        <v>153</v>
      </c>
      <c r="BQ3" s="64" t="s">
        <v>156</v>
      </c>
      <c r="BR3" s="64" t="s">
        <v>542</v>
      </c>
      <c r="BS3" s="64"/>
      <c r="BT3" s="64"/>
      <c r="BU3" s="65" t="s">
        <v>167</v>
      </c>
      <c r="BV3" s="66"/>
      <c r="BW3" s="66">
        <v>0</v>
      </c>
      <c r="BX3" s="47"/>
      <c r="CB3" s="6"/>
      <c r="CC3" s="6"/>
      <c r="CD3" s="67">
        <v>0</v>
      </c>
      <c r="CE3" s="67">
        <v>0</v>
      </c>
      <c r="CF3" s="67" t="e">
        <v>#REF!</v>
      </c>
      <c r="CG3" s="68" cm="1">
        <f t="array" ref="CG3">SUMPRODUCT(--(LEN(TRIM(BL3:BT3))&gt;0))</f>
        <v>7</v>
      </c>
      <c r="CH3" s="59" t="str">
        <f>IF(CG3=2,"y","n")</f>
        <v>n</v>
      </c>
      <c r="CI3" s="59" t="str">
        <f>IF(CG3=3,"y","n")</f>
        <v>n</v>
      </c>
      <c r="CJ3" s="59" t="str">
        <f>IF(CG3=4,"y","n")</f>
        <v>n</v>
      </c>
      <c r="CK3" s="59" t="str">
        <f>IF(CG3&gt;4,"y","n")</f>
        <v>y</v>
      </c>
      <c r="CL3" s="59" t="str">
        <f>IF(S3=0,"y","n")</f>
        <v>y</v>
      </c>
      <c r="CM3" s="59" t="str">
        <f>IF(S3=2,"y","n")</f>
        <v>n</v>
      </c>
      <c r="CN3" s="59" t="str">
        <f>IF(S3=3,"y","n")</f>
        <v>n</v>
      </c>
      <c r="CO3" s="59" t="str">
        <f>IF(S3&gt;=4,"y","n")</f>
        <v>n</v>
      </c>
      <c r="CP3" s="59" t="str">
        <f>IF(AT3=0,"y","n")</f>
        <v>y</v>
      </c>
      <c r="CQ3" s="59" t="str">
        <f>IF(AT3=1,"y","n")</f>
        <v>n</v>
      </c>
      <c r="CR3" s="59" t="str">
        <f>IF(AT3=2,"y","n")</f>
        <v>n</v>
      </c>
      <c r="CS3" s="59" t="str">
        <f>IF(AT3&gt;=3,"y","n")</f>
        <v>n</v>
      </c>
      <c r="CT3" s="69" t="str">
        <f>CHAR(34)&amp;A3&amp;CHAR(34)</f>
        <v>"[GMB] Gambia (1889-1965)"</v>
      </c>
      <c r="CU3" s="70" t="str">
        <f>CHAR(34)&amp;"rgn_"&amp;R3&amp;CHAR(34)</f>
        <v>"rgn_Africa"</v>
      </c>
      <c r="CV3" s="48" t="str">
        <f>CHAR(34)&amp;D3&amp;CHAR(34)</f>
        <v>"https://upload.wikimedia.org/wikipedia/commons/thumb/c/c8/Flag_of_The_Gambia_%281889%E2%80%931965%29.svg/640px-Flag_of_The_Gambia_%281889%E2%80%931965%29.svg.png"</v>
      </c>
      <c r="CW3" s="48" t="str">
        <f>IF(CH3="y",CHAR(34)&amp;CH$1&amp;CHAR(34)&amp;",","")</f>
        <v/>
      </c>
      <c r="CX3" s="48" t="str">
        <f>IF(CI3="y",CHAR(34)&amp;CI$1&amp;CHAR(34)&amp;",","")</f>
        <v/>
      </c>
      <c r="CY3" s="48" t="str">
        <f>IF(CJ3="y",CHAR(34)&amp;CJ$1&amp;CHAR(34)&amp;",","")</f>
        <v/>
      </c>
      <c r="CZ3" s="48" t="str">
        <f>IF(CK3="y",CHAR(34)&amp;CK$1&amp;CHAR(34)&amp;",","")</f>
        <v>"5+Colo",</v>
      </c>
      <c r="DA3" s="48" t="str">
        <f>IF(Q3&gt;1,CHAR(34)&amp;"words2"&amp;CHAR(34)&amp;",","")</f>
        <v/>
      </c>
      <c r="DB3" s="48" t="str">
        <f>IF(Q3&gt;2,CHAR(34)&amp;"words3"&amp;CHAR(34)&amp;",","")</f>
        <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"lets16",</v>
      </c>
      <c r="DE3" s="48" t="str">
        <f>CHAR(34)&amp;"start"&amp;IFERROR(LEFT(SUBSTITUTE(A3,"["&amp;MID(A3,FIND("[",A3)+1,FIND("]",A3)-FIND("[",A3)-1)&amp;"] ",""),1),LEFT(A3,1))&amp;CHAR(34)&amp;","</f>
        <v>"startG",</v>
      </c>
      <c r="DF3" s="48" t="str">
        <f>IFERROR(IF(SEARCH("tan",A3)&gt;0,CHAR(34)&amp;"withtn"&amp;CHAR(34)&amp;",",""),"")</f>
        <v/>
      </c>
      <c r="DG3" s="48" t="str">
        <f>IFERROR(IF(SEARCH("q",A3)&gt;0,CHAR(34)&amp;"with_q"&amp;CHAR(34)&amp;",",""),"")</f>
        <v/>
      </c>
      <c r="DH3" s="48" t="str">
        <f>IFERROR(IF(SEARCH("v",A3)&gt;0,CHAR(34)&amp;"with_v"&amp;CHAR(34)&amp;",",""),"")</f>
        <v/>
      </c>
      <c r="DI3" s="48" t="str">
        <f>IFERROR(IF(SEARCH("w",A3)&gt;0,CHAR(34)&amp;"with_w"&amp;CHAR(34)&amp;",",""),"")</f>
        <v/>
      </c>
      <c r="DJ3" s="48" t="str">
        <f>IFERROR(IF(SEARCH("y",A3)&gt;0,CHAR(34)&amp;"with_y"&amp;CHAR(34)&amp;",",""),"")</f>
        <v/>
      </c>
      <c r="DK3" s="48" t="str">
        <f>IFERROR(IF(SEARCH("z",A3)&gt;0,CHAR(34)&amp;"with_z"&amp;CHAR(34)&amp;",",""),"")</f>
        <v/>
      </c>
      <c r="DL3" s="48" t="str">
        <f>IF(CG3=2, CHAR(34) &amp; _xlfn.TEXTJOIN("", TRUE, _xlfn._xlws.SORT(HP3:HX3)) &amp; CHAR(34) &amp; ",", "")</f>
        <v/>
      </c>
      <c r="DM3" s="48" t="str" cm="1">
        <f t="array" ref="DM3">IF(CG3=3,CHAR(34) &amp; _xlfn.TEXTJOIN("", TRUE, RIGHT(HP3:HX3, 2)) &amp; CHAR(34) &amp; ",", "")</f>
        <v/>
      </c>
      <c r="DN3" s="48" t="str">
        <f>IF(AND(ISNUMBER(SEARCH("18", O3)), ISERROR(SEARCH("1918", O3)), ISERROR(SEARCH("2018", O3))), CHAR(34) &amp; "year18" &amp; CHAR(34) &amp; ",", "")</f>
        <v>"year18",</v>
      </c>
      <c r="DO3" s="48" t="str">
        <f>IF(AND(ISNUMBER(SEARCH("19", O3)), ISERROR(SEARCH("1819", O3)),  ISERROR(SEARCH("1219", O3)),ISERROR(SEARCH("1119", O3)),ISERROR(SEARCH("1190", O3)),ISERROR(SEARCH("2019", O3))), CHAR(34) &amp; "year19" &amp; CHAR(34) &amp; ",", "")</f>
        <v/>
      </c>
      <c r="DP3" s="6" t="str">
        <f>IF(AND(ISNUMBER(SEARCH("20", O3)), ISERROR(SEARCH("1920", O3))), CHAR(34)&amp;"year00"&amp;CHAR(34)&amp;",", "")</f>
        <v/>
      </c>
      <c r="DQ3" s="6" t="str">
        <f>IF(CC3="y",CHAR(34)&amp;"soviet"&amp;CHAR(34)&amp;",","")</f>
        <v/>
      </c>
      <c r="DR3" s="6" t="str">
        <f>IF(BY3="y",CHAR(34)&amp;"dgband"&amp;CHAR(34)&amp;",","")</f>
        <v/>
      </c>
      <c r="DS3" s="6" t="str">
        <f>IF(W3="y",IF(AND(V3="n",BY3&lt;&gt;"y"),CHAR(34)&amp;"allver"&amp;CHAR(34)&amp;",",""),"")</f>
        <v/>
      </c>
      <c r="DT3" s="6" t="str">
        <f>IF(V3="y",IF(AND(W3="n",BY3&lt;&gt;"y"),CHAR(34)&amp;"allhor"&amp;CHAR(34)&amp;",",""),"")</f>
        <v/>
      </c>
      <c r="DU3" s="6" t="str">
        <f>IF(BY3="y",IF(AND(W3="n",V3="n"),CHAR(34)&amp;"alldia"&amp;CHAR(34)&amp;",",""),"")</f>
        <v/>
      </c>
      <c r="DW3" s="48" t="str">
        <f>IF(CL3="y",CHAR(34)&amp;CL$1&amp;CHAR(34)&amp;",","")</f>
        <v>"NoBand",</v>
      </c>
      <c r="DX3" s="48" t="str">
        <f>IF(CM3="y",CHAR(34)&amp;CM$1&amp;CHAR(34)&amp;",","")</f>
        <v/>
      </c>
      <c r="DY3" s="48" t="str">
        <f>IF(CN3="y",CHAR(34)&amp;CN$1&amp;CHAR(34)&amp;",","")</f>
        <v/>
      </c>
      <c r="DZ3" s="48" t="str">
        <f>IF(CO3="y",CHAR(34)&amp;CO$1&amp;CHAR(34)&amp;",","")</f>
        <v/>
      </c>
      <c r="EA3" s="48" t="str">
        <f>IF(T3="y",CHAR(34)&amp;T$1&amp;CHAR(34)&amp;",","")</f>
        <v/>
      </c>
      <c r="EB3" s="48" t="str">
        <f>IF(U3="y",CHAR(34)&amp;U$1&amp;CHAR(34)&amp;",","")</f>
        <v/>
      </c>
      <c r="EC3" s="48" t="str">
        <f>IF(V3="y",CHAR(34)&amp;V$1&amp;CHAR(34)&amp;",","")</f>
        <v/>
      </c>
      <c r="ED3" s="48" t="str">
        <f>IF(W3="y",CHAR(34)&amp;W$1&amp;CHAR(34)&amp;",","")</f>
        <v/>
      </c>
      <c r="EE3" s="48" t="str">
        <f>IF(X3="y",CHAR(34)&amp;X$1&amp;CHAR(34)&amp;",","")</f>
        <v>"Circle",</v>
      </c>
      <c r="EF3" s="48" t="str">
        <f>IF(AND(Y3&lt;&gt;"n",Y3&lt;&gt;""),CHAR(34)&amp;Y$1&amp;CHAR(34)&amp;",","")</f>
        <v>"Animal",</v>
      </c>
      <c r="EG3" s="48" t="str">
        <f>IF(Z3="y",CHAR(34)&amp;Z$1&amp;CHAR(34)&amp;",","")</f>
        <v/>
      </c>
      <c r="EH3" s="48" t="str">
        <f>IF(AA3="y",CHAR(34)&amp;AA$1&amp;CHAR(34)&amp;",","")</f>
        <v>"Plants",</v>
      </c>
      <c r="EI3" s="48" t="str">
        <f>IF(AB3="y",CHAR(34)&amp;AB$1&amp;CHAR(34)&amp;",","")</f>
        <v>"Texted",</v>
      </c>
      <c r="EJ3" s="48" t="str">
        <f>IF(AC3="y",CHAR(34)&amp;AC$1&amp;CHAR(34)&amp;",","")</f>
        <v/>
      </c>
      <c r="EK3" s="48" t="str">
        <f>IF(AD3="y",CHAR(34)&amp;AD$1&amp;CHAR(34)&amp;",","")</f>
        <v>"HasSun",</v>
      </c>
      <c r="EL3" s="48" t="str">
        <f>IF(AE3="y",CHAR(34)&amp;AE$1&amp;CHAR(34)&amp;",","")</f>
        <v/>
      </c>
      <c r="EM3" s="48" t="str">
        <f>IF(AF3="y",CHAR(34)&amp;AF$1&amp;CHAR(34)&amp;",","")</f>
        <v/>
      </c>
      <c r="EN3" s="48" t="str">
        <f>IF(AG3="y",CHAR(34)&amp;AG$1&amp;CHAR(34)&amp;",","")</f>
        <v/>
      </c>
      <c r="EO3" s="48" t="str">
        <f>IF(AH3="y",CHAR(34)&amp;AH$1&amp;CHAR(34)&amp;",","")</f>
        <v/>
      </c>
      <c r="EP3" s="48" t="str">
        <f>IF(AI3="y",CHAR(34)&amp;AI$1&amp;CHAR(34)&amp;",","")</f>
        <v>"Canton",</v>
      </c>
      <c r="EQ3" s="48" t="str">
        <f>IF(AJ3="y",CHAR(34)&amp;AJ$1&amp;CHAR(34)&amp;",","")</f>
        <v/>
      </c>
      <c r="ER3" s="48" t="str">
        <f>IF(AK3="y",CHAR(34)&amp;AK$1&amp;CHAR(34)&amp;",","")</f>
        <v/>
      </c>
      <c r="ES3" s="48" t="str">
        <f>IF(AL3="y",CHAR(34)&amp;AL$1&amp;CHAR(34)&amp;",","")</f>
        <v/>
      </c>
      <c r="ET3" s="48" t="str">
        <f>IF(AM3="y",CHAR(34)&amp;AM$1&amp;CHAR(34)&amp;",","")</f>
        <v>"Geogrh",</v>
      </c>
      <c r="EU3" s="48" t="str">
        <f>IF(AN3="y",CHAR(34)&amp;AN$1&amp;CHAR(34)&amp;",","")</f>
        <v/>
      </c>
      <c r="EV3" s="48" t="str">
        <f>IF(AO3="y",CHAR(34)&amp;AO$1&amp;CHAR(34)&amp;",","")</f>
        <v/>
      </c>
      <c r="EW3" s="48" t="str">
        <f>IF(AP3="y",CHAR(34)&amp;AP$1&amp;CHAR(34)&amp;",","")</f>
        <v/>
      </c>
      <c r="EX3" s="48" t="str">
        <f>IF(AQ3="y",CHAR(34)&amp;AQ$1&amp;CHAR(34)&amp;",","")</f>
        <v/>
      </c>
      <c r="EY3" s="48" t="str">
        <f>IF(AR3="y",CHAR(34)&amp;AR$1&amp;CHAR(34)&amp;",","")</f>
        <v/>
      </c>
      <c r="EZ3" s="48" t="str">
        <f>IF(AS3="y",CHAR(34)&amp;AS$1&amp;CHAR(34)&amp;",","")</f>
        <v/>
      </c>
      <c r="FA3" s="48" t="str">
        <f>IF(AT3&gt;0,CHAR(34)&amp;"sta"&amp;AZ3&amp;CHAR(34)&amp;",","")</f>
        <v/>
      </c>
      <c r="FB3" s="48" t="str">
        <f>IF(AND(AT3&gt;0,BA3&lt;&gt;""),CHAR(34)&amp;"sta"&amp;BA3&amp;CHAR(34)&amp;",","")</f>
        <v/>
      </c>
      <c r="FD3" s="48" t="str">
        <f>IF(BV3="n",CHAR(34)&amp;"tcWHYE"&amp;CHAR(34)&amp;",",IF(BV3="y",CHAR(34)&amp;FD$1&amp;CHAR(34)&amp;",",""))</f>
        <v/>
      </c>
      <c r="FE3" s="48" t="str">
        <f>IF(COUNTIF(BL3:BT3,"BLU")=0,CHAR(34)&amp;"NO_BLU"&amp;CHAR(34)&amp;",", "")</f>
        <v/>
      </c>
      <c r="FF3" s="48" t="str">
        <f>IF(COUNTIF(BL3:BT3,"WHI")=0,CHAR(34)&amp;"NO_WHI"&amp;CHAR(34)&amp;",", "")</f>
        <v/>
      </c>
      <c r="FG3" s="48" t="str">
        <f>IF(COUNTIF(BL3:BT3,"RED")=0,CHAR(34)&amp;"NO_RED"&amp;CHAR(34)&amp;",", "")</f>
        <v/>
      </c>
      <c r="FH3" s="48" t="str">
        <f>IF(COUNTIF(BL3:BS3,"GRE")=0,CHAR(34)&amp;"NO_GRE"&amp;CHAR(34)&amp;",", "")</f>
        <v/>
      </c>
      <c r="FI3" s="48" t="str">
        <f>IF(COUNTIF(BL3:BT3,"YEL")=0,CHAR(34)&amp;"NO_YEL"&amp;CHAR(34)&amp;",", "")</f>
        <v/>
      </c>
      <c r="FJ3" s="48" t="str">
        <f>IF(COUNTIF(BL3:BT3,"BLA")=0,CHAR(34)&amp;"NO_BLA"&amp;CHAR(34)&amp;",", "")</f>
        <v>"NO_BLA",</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
      </c>
      <c r="FQ3" s="48" t="str">
        <f>IF(LEN(BF3)=3,CHAR(34)&amp;"001"&amp;BF3&amp;CHAR(34)&amp;",","")</f>
        <v/>
      </c>
      <c r="FR3" s="48" t="str">
        <f>IF(LEN(BG3)=3,CHAR(34)&amp;"002"&amp;BG3&amp;CHAR(34)&amp;",","")</f>
        <v/>
      </c>
      <c r="FS3" s="48" t="str">
        <f>IF(LEN(BH3)=3,CHAR(34)&amp;"003"&amp;BH3&amp;CHAR(34)&amp;",","")</f>
        <v/>
      </c>
      <c r="FT3" s="48" t="str">
        <f>CHAR(34)&amp;"myr"&amp;BD3&amp;CHAR(34)&amp;","</f>
        <v>"myrBLU",</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"histor",</v>
      </c>
      <c r="GG3" s="48" t="str">
        <f>IF(BU3="y",CHAR(34)&amp;"unjack"&amp;CHAR(34)&amp;",","")</f>
        <v>"unjack",</v>
      </c>
      <c r="GH3" s="48" t="str">
        <f>IF(CD3=1,CHAR(34)&amp;"southc"&amp;CHAR(34)&amp;",","")</f>
        <v/>
      </c>
      <c r="GI3" s="48" t="str">
        <f>IF(CE3=1,CHAR(34)&amp;"hasmap"&amp;CHAR(34)&amp;",","")</f>
        <v/>
      </c>
      <c r="GJ3" s="48" t="str">
        <f>IF(CP3="y",CHAR(34)&amp;CP$1&amp;CHAR(34)&amp;",","")</f>
        <v>"NoStar",</v>
      </c>
      <c r="GK3" s="48" t="str">
        <f>IF(GJ3="",CHAR(34)&amp;"HasSta"&amp;CHAR(34)&amp;",","")</f>
        <v/>
      </c>
      <c r="GL3" s="48" t="str">
        <f>IF(CQ3="y",CHAR(34)&amp;CQ$1&amp;CHAR(34)&amp;",","")</f>
        <v/>
      </c>
      <c r="GM3" s="48" t="str">
        <f>IF(CR3="y",CHAR(34)&amp;CR$1&amp;CHAR(34)&amp;",","")</f>
        <v/>
      </c>
      <c r="GN3" s="48" t="str">
        <f>IF(CS3="y",CHAR(34)&amp;CS$1&amp;CHAR(34)&amp;",","")</f>
        <v/>
      </c>
      <c r="GP3" s="48" t="str">
        <f>CHAR(34)&amp;AU3&amp;CHAR(34)</f>
        <v>"Historical"</v>
      </c>
      <c r="GS3" s="48" t="str">
        <f>SUBSTITUTE("["&amp;_xlfn.CONCAT(CW3:GN3)&amp;"]",",]","]")</f>
        <v>["5+Colo","lets16","startG","year18","NoBand","Circle","Animal","Plants","Texted","HasSun","Canton","Geogrh","NO_BLA","myrBLU","histor","unjack","NoStar"]</v>
      </c>
      <c r="GT3" s="48" t="str">
        <f>IF(BL3&lt;&gt;"",CHAR(34)&amp;"cl_"&amp;BL3&amp;CHAR(34)&amp;",","")</f>
        <v>"cl_BLU",</v>
      </c>
      <c r="GU3" s="48" t="str">
        <f>IF(BM3&lt;&gt;"",CHAR(34)&amp;"cl_"&amp;BM3&amp;CHAR(34)&amp;",","")</f>
        <v>"cl_RED",</v>
      </c>
      <c r="GV3" s="48" t="str">
        <f>IF(BN3&lt;&gt;"",CHAR(34)&amp;"cl_"&amp;BN3&amp;CHAR(34)&amp;",","")</f>
        <v>"cl_WHI",</v>
      </c>
      <c r="GW3" s="48" t="str">
        <f>IF(BO3&lt;&gt;"",CHAR(34)&amp;"cl_"&amp;BO3&amp;CHAR(34)&amp;",","")</f>
        <v>"cl_YEL",</v>
      </c>
      <c r="GX3" s="48" t="str">
        <f>IF(BP3&lt;&gt;"",CHAR(34)&amp;"cl_"&amp;BP3&amp;CHAR(34)&amp;",","")</f>
        <v>"cl_GRE",</v>
      </c>
      <c r="GY3" s="48" t="str">
        <f>IF(BQ3&lt;&gt;"",CHAR(34)&amp;"cl_"&amp;BQ3&amp;CHAR(34)&amp;",","")</f>
        <v>"cl_ORA",</v>
      </c>
      <c r="GZ3" s="48" t="str">
        <f>IF(BR3&lt;&gt;"",CHAR(34)&amp;"cl_"&amp;BR3&amp;CHAR(34)&amp;",","")</f>
        <v>"cl_GRA",</v>
      </c>
      <c r="HA3" s="48" t="str">
        <f>IF(BS3&lt;&gt;"",CHAR(34)&amp;"cl_"&amp;BS3&amp;CHAR(34)&amp;",","")</f>
        <v/>
      </c>
      <c r="HB3" s="48" t="str">
        <f>IF(BT3&lt;&gt;"",CHAR(34)&amp;"cl_"&amp;BT3&amp;CHAR(34)&amp;",","")</f>
        <v/>
      </c>
      <c r="HC3" s="48" t="str">
        <f>SUBSTITUTE("["&amp;_xlfn.CONCAT(GT3:HB3)&amp;"]",",]","]")</f>
        <v>["cl_BLU","cl_RED","cl_WHI","cl_YEL","cl_GRE","cl_ORA","cl_GRA"]</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{couname:"[GMB] Gambia (1889-1965)",year:"1889",region:"rgn_Africa",Colors:["cl_BLU","cl_RED","cl_WHI","cl_YEL","cl_GRE","cl_ORA","cl_GRA"],Items:["5+Colo","lets16","startG","year18","NoBand","Circle","Animal","Plants","Texted","HasSun","Canton","Geogrh","NO_BLA","myrBLU","histor","unjack","NoStar"],Flag:"https://upload.wikimedia.org/wikipedia/commons/thumb/c/c8/Flag_of_The_Gambia_%281889%E2%80%931965%29.svg/640px-Flag_of_The_Gambia_%281889%E2%80%931965%29.svg.png",HDFlag:"https://upload.wikimedia.org/wikipedia/commons/thumb/c/c8/Flag_of_The_Gambia_%281889%E2%80%931965%29.svg/2560px-Flag_of_The_Gambia_%281889%E2%80%931965%29.svg.png",type:"Historical", describe: "\nN/A", isnew:".", links: "https://en.wikipedia.org/wiki/Flag_of_the_Gambia"},</v>
      </c>
      <c r="HG3" s="73" t="str">
        <f>"{couname:"&amp;CT3&amp;(IF(HK3&lt;&gt;"",",subtype:"&amp;CHAR(34)&amp;HK3&amp;CHAR(34),""))&amp;",year:"&amp;HJ3&amp;",region:"&amp;CU3&amp;",Colors:"&amp;HC3&amp;",Items:"&amp;GS3&amp;",Flag:"&amp;CV3&amp;",HDFlag:"&amp;CHAR(34)&amp;E3&amp;CHAR(34)&amp;",type:"&amp;GP3&amp;", describe: "&amp;HI3&amp;", links: "&amp;HL3&amp;"},"</f>
        <v>{couname:"[GMB] Gambia (1889-1965)",year:"1889",region:"rgn_Africa",Colors:["cl_BLU","cl_RED","cl_WHI","cl_YEL","cl_GRE","cl_ORA","cl_GRA"],Items:["5+Colo","lets16","startG","year18","NoBand","Circle","Animal","Plants","Texted","HasSun","Canton","Geogrh","NO_BLA","myrBLU","histor","unjack","NoStar"],Flag:"https://upload.wikimedia.org/wikipedia/commons/thumb/c/c8/Flag_of_The_Gambia_%281889%E2%80%931965%29.svg/640px-Flag_of_The_Gambia_%281889%E2%80%931965%29.svg.png",HDFlag:"https://upload.wikimedia.org/wikipedia/commons/thumb/c/c8/Flag_of_The_Gambia_%281889%E2%80%931965%29.svg/2560px-Flag_of_The_Gambia_%281889%E2%80%931965%29.svg.png",type:"Historical", describe: "\nN/A", links: "https://en.wikipedia.org/wiki/Flag_of_the_Gambia"},</v>
      </c>
      <c r="HH3" s="48" t="str">
        <f>IF(P3&lt;&gt;"",CHAR(34)&amp;"\n"&amp;P3&amp;CHAR(34),CHAR(34)&amp;CHAR(34))</f>
        <v>"\nN/A"</v>
      </c>
      <c r="HI3" s="48" t="str">
        <f>IF(J3=0,CHAR(34)&amp;CHAR(34),HH3)</f>
        <v>"\nN/A"</v>
      </c>
      <c r="HJ3" s="48" t="str">
        <f>CHAR(34)&amp;O3&amp;CHAR(34)</f>
        <v>"1889"</v>
      </c>
      <c r="HL3" s="48" t="str">
        <f>CHAR(34)&amp;I3&amp;CHAR(34)</f>
        <v>"https://en.wikipedia.org/wiki/Flag_of_the_Gambia"</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{"couname":"[GMB] Gambia (1889-1965)","subtype":"[GMB] Other","year":"1889","region":"rgn_Africa","Colors":["cl_BLU","cl_RED","cl_WHI","cl_YEL","cl_GRE","cl_ORA","cl_GRA"],"Items":["5+Colo","lets16","startG","year18","NoBand","Circle","Animal","Plants","Texted","HasSun","Canton","Geogrh","NO_BLA","myrBLU","histor","unjack","NoStar"],"Flag":"https://upload.wikimedia.org/wikipedia/commons/thumb/c/c8/Flag_of_The_Gambia_%281889%E2%80%931965%29.svg/640px-Flag_of_The_Gambia_%281889%E2%80%931965%29.svg.png","HDFlag":"https://upload.wikimedia.org/wikipedia/commons/thumb/c/c8/Flag_of_The_Gambia_%281889%E2%80%931965%29.svg/2560px-Flag_of_The_Gambia_%281889%E2%80%931965%29.svg.png","type":"Historical", "describe": "\nN/A", "isnew": ".", "links": "https://en.wikipedia.org/wiki/Flag_of_the_Gambia"},</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{"couname":"[GMB] Gambia (1889-1965)","subtype":"[GMB] Other","year":"1889","region":"rgn_Africa","Colors":["cl_BLU","cl_RED","cl_WHI","cl_YEL","cl_GRE","cl_ORA","cl_GRA"],"Items":["5+Colo","lets16","startG","year18","NoBand","Circle","Animal","Plants","Texted","HasSun","Canton","Geogrh","NO_BLA","myrBLU","histor","unjack","NoStar"],"Flag":"https://upload.wikimedia.org/wikipedia/commons/thumb/c/c8/Flag_of_The_Gambia_%281889%E2%80%931965%29.svg/640px-Flag_of_The_Gambia_%281889%E2%80%931965%29.svg.png","HDFlag":"https://upload.wikimedia.org/wikipedia/commons/thumb/c/c8/Flag_of_The_Gambia_%281889%E2%80%931965%29.svg/2560px-Flag_of_The_Gambia_%281889%E2%80%931965%29.svg.png","type":"Historical", "describe": "\nN/A", "isnew": ".", "links": "https://en.wikipedia.org/wiki/Flag_of_the_Gambia"},</v>
      </c>
      <c r="HO3" s="75">
        <v>45644</v>
      </c>
      <c r="HP3" s="48" t="str" cm="1">
        <f t="array" ref="HP3">IF(_xlfn.TEXTJOIN(", ", TRUE, IF(ISNUMBER(SEARCH("BLA", BL3:BT3)), COLUMN(BL3:BT3) - COLUMN(BL3) + 1, ""))&lt;&gt;"","BLA","")</f>
        <v/>
      </c>
      <c r="HQ3" s="48" t="str" cm="1">
        <f t="array" ref="HQ3">IF(_xlfn.TEXTJOIN(", ", TRUE, IF(ISNUMBER(SEARCH("BLU", BL3:BT3)), COLUMN(BL3:BT3) - COLUMN(BL3) + 1, ""))&lt;&gt;"","BLU","")</f>
        <v>BLU</v>
      </c>
      <c r="HR3" s="48" t="str" cm="1">
        <f t="array" ref="HR3">IF(_xlfn.TEXTJOIN(", ", TRUE, IF(ISNUMBER(SEARCH("GRE", BL3:BT3)), COLUMN(BL3:BT3) - COLUMN(BL3) + 1, ""))&lt;&gt;"","GRE","")</f>
        <v>GRE</v>
      </c>
      <c r="HS3" s="48" t="str" cm="1">
        <f t="array" ref="HS3">IF(_xlfn.TEXTJOIN(", ", TRUE, IF(ISNUMBER(SEARCH("RED", BL3:BT3)), COLUMN(BL3:BT3) - COLUMN(BL3) + 1, ""))&lt;&gt;"","RED","")</f>
        <v>RED</v>
      </c>
      <c r="HT3" s="48" t="str" cm="1">
        <f t="array" ref="HT3">IF(_xlfn.TEXTJOIN(", ", TRUE, IF(ISNUMBER(SEARCH("YEL", BL3:BT3)), COLUMN(BL3:BT3) - COLUMN(BL3) + 1, ""))&lt;&gt;"","YEL","")</f>
        <v>YEL</v>
      </c>
      <c r="HU3" s="48" t="str" cm="1">
        <f t="array" ref="HU3">IF(_xlfn.TEXTJOIN(", ", TRUE, IF(ISNUMBER(SEARCH("ORA", BL3:BT3)), COLUMN(BL3:BT3) - COLUMN(BL3) + 1, ""))&lt;&gt;"","ORA","")</f>
        <v>ORA</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M3" s="45">
        <f>COUNTIF(IC3:IK3,"&gt;0")-CG3</f>
        <v>-7</v>
      </c>
      <c r="IN3" s="78" t="str">
        <f>"http://mkweb.bcgsc.ca/color-summarizer/?url="&amp;D3&amp;"&amp;precision=low&amp;num_clusters="&amp;CG3&amp;"&amp;text=1"</f>
        <v>http://mkweb.bcgsc.ca/color-summarizer/?url=https://upload.wikimedia.org/wikipedia/commons/thumb/c/c8/Flag_of_The_Gambia_%281889%E2%80%931965%29.svg/640px-Flag_of_The_Gambia_%281889%E2%80%931965%29.svg.png&amp;precision=low&amp;num_clusters=7&amp;text=1</v>
      </c>
      <c r="IO3" s="48" t="str">
        <f>IF(HP3&lt;&gt;"",CHAR(34)&amp;"black"&amp;CHAR(34),"")</f>
        <v/>
      </c>
      <c r="IP3" s="48" t="str">
        <f>IF(HQ3&lt;&gt;"",CHAR(34)&amp;"blue"&amp;CHAR(34),"")</f>
        <v>"blue"</v>
      </c>
      <c r="IQ3" s="48" t="str">
        <f>IF(HR3&lt;&gt;"",CHAR(34)&amp;"green"&amp;CHAR(34),"")</f>
        <v>"green"</v>
      </c>
      <c r="IR3" s="48" t="str">
        <f>IF(HS3&lt;&gt;"",CHAR(34)&amp;"red"&amp;CHAR(34),"")</f>
        <v>"red"</v>
      </c>
      <c r="IS3" s="48" t="str">
        <f>IF(HT3&lt;&gt;"",CHAR(34)&amp;"yellow"&amp;CHAR(34),"")</f>
        <v>"yellow"</v>
      </c>
      <c r="IT3" s="48" t="str">
        <f>IF(HU3&lt;&gt;"",CHAR(34)&amp;"orange"&amp;CHAR(34),"")</f>
        <v>"orange"</v>
      </c>
      <c r="IU3" s="48" t="str">
        <f>IF(HV3&lt;&gt;"",CHAR(34)&amp;"brown"&amp;CHAR(34),"")</f>
        <v/>
      </c>
      <c r="IV3" s="48" t="str">
        <f>IF(HW3&lt;&gt;"",CHAR(34)&amp;"purple"&amp;CHAR(34),"")</f>
        <v/>
      </c>
      <c r="IW3" s="48" t="str">
        <f>IF(HX3&lt;&gt;"",CHAR(34)&amp;"white"&amp;CHAR(34),"")</f>
        <v>"white"</v>
      </c>
      <c r="IX3" s="48" t="str">
        <f>"{"&amp;CHAR(34)&amp;"url"&amp;CHAR(34)&amp;":"&amp;CHAR(34)&amp;IN3&amp;CHAR(34)&amp;","&amp;CHAR(34)&amp;"name"&amp;CHAR(34)&amp;":"&amp;CHAR(34)&amp;A3&amp;CHAR(34)&amp;"},"</f>
        <v>{"url":"http://mkweb.bcgsc.ca/color-summarizer/?url=https://upload.wikimedia.org/wikipedia/commons/thumb/c/c8/Flag_of_The_Gambia_%281889%E2%80%931965%29.svg/640px-Flag_of_The_Gambia_%281889%E2%80%931965%29.svg.png&amp;precision=low&amp;num_clusters=7&amp;text=1","name":"[GMB] Gambia (1889-1965)"},</v>
      </c>
      <c r="IY3" s="48">
        <v>1503</v>
      </c>
    </row>
    <row r="4" spans="1:259" ht="38.4" customHeight="1" x14ac:dyDescent="0.3">
      <c r="F4" s="82"/>
      <c r="G4" s="82"/>
      <c r="H4" s="82"/>
      <c r="I4" s="82"/>
      <c r="J4" s="82"/>
      <c r="K4" s="82"/>
    </row>
    <row r="5" spans="1:259" ht="38.4" customHeight="1" x14ac:dyDescent="0.3">
      <c r="D5" s="82"/>
      <c r="E5" s="82"/>
      <c r="F5" s="82"/>
      <c r="G5" s="82"/>
      <c r="H5" s="82"/>
      <c r="I5" s="82"/>
      <c r="J5" s="82"/>
      <c r="K5" s="82"/>
      <c r="L5" s="82"/>
      <c r="M5" s="82"/>
      <c r="N5" s="82"/>
      <c r="O5" s="82"/>
    </row>
    <row r="6" spans="1:259" ht="38.4" customHeight="1" x14ac:dyDescent="0.3">
      <c r="D6" s="82"/>
      <c r="E6" s="82"/>
      <c r="F6" s="82"/>
      <c r="G6" s="82"/>
      <c r="H6" s="82"/>
      <c r="I6" s="82"/>
      <c r="J6" s="82"/>
      <c r="K6" s="82"/>
      <c r="L6" s="82"/>
      <c r="M6" s="82"/>
      <c r="N6" s="82"/>
      <c r="O6" s="82"/>
    </row>
    <row r="7" spans="1:259" ht="38.4" customHeight="1" x14ac:dyDescent="0.3">
      <c r="D7" s="82"/>
      <c r="E7" s="82"/>
      <c r="F7" s="82"/>
      <c r="G7" s="82"/>
      <c r="H7" s="82"/>
      <c r="I7" s="82"/>
      <c r="J7" s="82"/>
      <c r="K7" s="82"/>
      <c r="L7" s="82"/>
      <c r="M7" s="82"/>
      <c r="N7" s="82"/>
      <c r="O7" s="82"/>
    </row>
    <row r="8" spans="1:259" ht="38.4" customHeight="1" x14ac:dyDescent="0.3">
      <c r="D8" s="82"/>
      <c r="E8" s="82"/>
      <c r="F8" s="82"/>
      <c r="G8" s="82"/>
      <c r="H8" s="82"/>
      <c r="I8" s="82"/>
      <c r="J8" s="82"/>
      <c r="K8" s="82"/>
      <c r="L8" s="82"/>
      <c r="M8" s="82"/>
      <c r="N8" s="82"/>
      <c r="O8" s="82"/>
    </row>
    <row r="9" spans="1:259" ht="38.4" customHeight="1" x14ac:dyDescent="0.3">
      <c r="D9" s="82"/>
      <c r="E9" s="82"/>
      <c r="F9" s="82"/>
      <c r="G9" s="82"/>
      <c r="H9" s="82"/>
      <c r="I9" s="82"/>
      <c r="J9" s="82"/>
      <c r="K9" s="82"/>
      <c r="L9" s="82"/>
      <c r="M9" s="82"/>
      <c r="N9" s="82"/>
      <c r="O9" s="82"/>
    </row>
  </sheetData>
  <autoFilter ref="A1:IY1" xr:uid="{A1051193-A95B-4CFB-A73C-F0184620C81F}">
    <sortState xmlns:xlrd2="http://schemas.microsoft.com/office/spreadsheetml/2017/richdata2" ref="A2:IY5">
      <sortCondition ref="AW1"/>
    </sortState>
  </autoFilter>
  <conditionalFormatting sqref="H1 CW1:GS1 IA1:IB1">
    <cfRule type="cellIs" dxfId="4407" priority="118" operator="greaterThan">
      <formula>0</formula>
    </cfRule>
  </conditionalFormatting>
  <conditionalFormatting sqref="H1 H7:H1048576">
    <cfRule type="cellIs" dxfId="4406" priority="84" stopIfTrue="1" operator="notEqual">
      <formula>""</formula>
    </cfRule>
  </conditionalFormatting>
  <conditionalFormatting sqref="T1:BK1">
    <cfRule type="cellIs" dxfId="4405" priority="121" operator="greaterThan">
      <formula>0</formula>
    </cfRule>
  </conditionalFormatting>
  <conditionalFormatting sqref="BV1:BW1 BV4:BW1048576">
    <cfRule type="cellIs" dxfId="4404" priority="120" operator="equal">
      <formula>"nc"</formula>
    </cfRule>
  </conditionalFormatting>
  <conditionalFormatting sqref="HF1:HG1">
    <cfRule type="cellIs" dxfId="4403" priority="122" operator="greaterThan">
      <formula>0</formula>
    </cfRule>
  </conditionalFormatting>
  <conditionalFormatting sqref="HK1">
    <cfRule type="cellIs" dxfId="4402" priority="119" operator="greaterThan">
      <formula>0</formula>
    </cfRule>
  </conditionalFormatting>
  <conditionalFormatting sqref="HP1:HX1">
    <cfRule type="cellIs" dxfId="4401" priority="96" operator="equal">
      <formula>"PIN"</formula>
    </cfRule>
    <cfRule type="cellIs" dxfId="4400" priority="97" operator="equal">
      <formula>"ORA"</formula>
    </cfRule>
    <cfRule type="cellIs" dxfId="4399" priority="98" operator="equal">
      <formula>"GRA"</formula>
    </cfRule>
    <cfRule type="cellIs" dxfId="4398" priority="99" operator="equal">
      <formula>"PUR"</formula>
    </cfRule>
    <cfRule type="cellIs" dxfId="4397" priority="100" operator="equal">
      <formula>"BRO"</formula>
    </cfRule>
    <cfRule type="cellIs" dxfId="4396" priority="101" operator="equal">
      <formula>"YEL"</formula>
    </cfRule>
    <cfRule type="cellIs" dxfId="4395" priority="102" operator="equal">
      <formula>"BLU"</formula>
    </cfRule>
    <cfRule type="cellIs" dxfId="4394" priority="103" operator="equal">
      <formula>"WHI"</formula>
    </cfRule>
    <cfRule type="cellIs" dxfId="4393" priority="104" operator="equal">
      <formula>"GRE"</formula>
    </cfRule>
    <cfRule type="cellIs" dxfId="4392" priority="105" operator="equal">
      <formula>"RED"</formula>
    </cfRule>
    <cfRule type="cellIs" dxfId="4391" priority="106" operator="equal">
      <formula>"BLA"</formula>
    </cfRule>
  </conditionalFormatting>
  <conditionalFormatting sqref="IC1:IK1">
    <cfRule type="cellIs" dxfId="4390" priority="107" operator="equal">
      <formula>"PIN"</formula>
    </cfRule>
    <cfRule type="cellIs" dxfId="4389" priority="108" operator="equal">
      <formula>"ORA"</formula>
    </cfRule>
    <cfRule type="cellIs" dxfId="4388" priority="109" operator="equal">
      <formula>"GRA"</formula>
    </cfRule>
    <cfRule type="cellIs" dxfId="4387" priority="110" operator="equal">
      <formula>"PUR"</formula>
    </cfRule>
    <cfRule type="cellIs" dxfId="4386" priority="111" operator="equal">
      <formula>"BRO"</formula>
    </cfRule>
    <cfRule type="cellIs" dxfId="4385" priority="112" operator="equal">
      <formula>"YEL"</formula>
    </cfRule>
    <cfRule type="cellIs" dxfId="4384" priority="113" operator="equal">
      <formula>"BLU"</formula>
    </cfRule>
    <cfRule type="cellIs" dxfId="4383" priority="114" operator="equal">
      <formula>"WHI"</formula>
    </cfRule>
    <cfRule type="cellIs" dxfId="4382" priority="115" operator="equal">
      <formula>"GRE"</formula>
    </cfRule>
    <cfRule type="cellIs" dxfId="4381" priority="116" operator="equal">
      <formula>"RED"</formula>
    </cfRule>
    <cfRule type="cellIs" dxfId="4380" priority="117" operator="equal">
      <formula>"BLA"</formula>
    </cfRule>
  </conditionalFormatting>
  <conditionalFormatting sqref="IO1:IW1">
    <cfRule type="cellIs" dxfId="4379" priority="85" operator="equal">
      <formula>"PIN"</formula>
    </cfRule>
    <cfRule type="cellIs" dxfId="4378" priority="86" operator="equal">
      <formula>"ORA"</formula>
    </cfRule>
    <cfRule type="cellIs" dxfId="4377" priority="87" operator="equal">
      <formula>"GRA"</formula>
    </cfRule>
    <cfRule type="cellIs" dxfId="4376" priority="88" operator="equal">
      <formula>"PUR"</formula>
    </cfRule>
    <cfRule type="cellIs" dxfId="4375" priority="89" operator="equal">
      <formula>"BRO"</formula>
    </cfRule>
    <cfRule type="cellIs" dxfId="4374" priority="90" operator="equal">
      <formula>"YEL"</formula>
    </cfRule>
    <cfRule type="cellIs" dxfId="4373" priority="91" operator="equal">
      <formula>"BLU"</formula>
    </cfRule>
    <cfRule type="cellIs" dxfId="4372" priority="92" operator="equal">
      <formula>"WHI"</formula>
    </cfRule>
    <cfRule type="cellIs" dxfId="4371" priority="93" operator="equal">
      <formula>"GRE"</formula>
    </cfRule>
    <cfRule type="cellIs" dxfId="4370" priority="94" operator="equal">
      <formula>"RED"</formula>
    </cfRule>
    <cfRule type="cellIs" dxfId="4369" priority="95" operator="equal">
      <formula>"BLA"</formula>
    </cfRule>
  </conditionalFormatting>
  <conditionalFormatting sqref="H3">
    <cfRule type="cellIs" dxfId="4325" priority="76" stopIfTrue="1" operator="notEqual">
      <formula>""</formula>
    </cfRule>
  </conditionalFormatting>
  <conditionalFormatting sqref="R3 CU3">
    <cfRule type="cellIs" dxfId="4324" priority="79" operator="greaterThan">
      <formula>0</formula>
    </cfRule>
  </conditionalFormatting>
  <conditionalFormatting sqref="T3:AS3 CH3:CS3">
    <cfRule type="cellIs" dxfId="4323" priority="73" stopIfTrue="1" operator="equal">
      <formula>"n"</formula>
    </cfRule>
    <cfRule type="cellIs" dxfId="4322" priority="74" stopIfTrue="1" operator="equal">
      <formula>"y"</formula>
    </cfRule>
    <cfRule type="cellIs" dxfId="4321" priority="75" operator="greaterThan">
      <formula>0</formula>
    </cfRule>
  </conditionalFormatting>
  <conditionalFormatting sqref="AZ3:BB3">
    <cfRule type="expression" dxfId="4320" priority="60">
      <formula>$AT3=0</formula>
    </cfRule>
  </conditionalFormatting>
  <conditionalFormatting sqref="CD3:CF3 BX3:CA3 AZ3:BU3">
    <cfRule type="cellIs" dxfId="4319" priority="61" operator="equal">
      <formula>"PIN"</formula>
    </cfRule>
    <cfRule type="cellIs" dxfId="4318" priority="62" operator="equal">
      <formula>"ORA"</formula>
    </cfRule>
    <cfRule type="cellIs" dxfId="4317" priority="63" operator="equal">
      <formula>"GRA"</formula>
    </cfRule>
    <cfRule type="cellIs" dxfId="4316" priority="64" operator="equal">
      <formula>"PUR"</formula>
    </cfRule>
    <cfRule type="cellIs" dxfId="4315" priority="65" operator="equal">
      <formula>"BRO"</formula>
    </cfRule>
    <cfRule type="cellIs" dxfId="4314" priority="66" operator="equal">
      <formula>"YEL"</formula>
    </cfRule>
    <cfRule type="cellIs" dxfId="4313" priority="67" operator="equal">
      <formula>"BLU"</formula>
    </cfRule>
    <cfRule type="cellIs" dxfId="4312" priority="68" operator="equal">
      <formula>"WHI"</formula>
    </cfRule>
    <cfRule type="cellIs" dxfId="4311" priority="69" operator="equal">
      <formula>"GRE"</formula>
    </cfRule>
    <cfRule type="cellIs" dxfId="4310" priority="70" operator="equal">
      <formula>"RED"</formula>
    </cfRule>
    <cfRule type="cellIs" dxfId="4309" priority="71" operator="equal">
      <formula>"BLA"</formula>
    </cfRule>
  </conditionalFormatting>
  <conditionalFormatting sqref="BV3">
    <cfRule type="cellIs" dxfId="4308" priority="78" operator="equal">
      <formula>"nc"</formula>
    </cfRule>
  </conditionalFormatting>
  <conditionalFormatting sqref="CD3:CF3 BX3:CA3">
    <cfRule type="cellIs" dxfId="4307" priority="77" operator="equal">
      <formula>"y"</formula>
    </cfRule>
  </conditionalFormatting>
  <conditionalFormatting sqref="CD3:CF3 BZ3:CA3">
    <cfRule type="cellIs" dxfId="4306" priority="72" operator="greaterThan">
      <formula>0</formula>
    </cfRule>
  </conditionalFormatting>
  <conditionalFormatting sqref="IC3:IK3">
    <cfRule type="expression" dxfId="4305" priority="59">
      <formula>$IL3&gt;0</formula>
    </cfRule>
  </conditionalFormatting>
  <conditionalFormatting sqref="IC3">
    <cfRule type="cellIs" dxfId="4304" priority="53" stopIfTrue="1" operator="greaterThan">
      <formula>0</formula>
    </cfRule>
  </conditionalFormatting>
  <conditionalFormatting sqref="ID3">
    <cfRule type="cellIs" dxfId="4303" priority="51" stopIfTrue="1" operator="greaterThan">
      <formula>0</formula>
    </cfRule>
  </conditionalFormatting>
  <conditionalFormatting sqref="II3 IE3:IF3">
    <cfRule type="cellIs" dxfId="4302" priority="58" operator="greaterThan">
      <formula>0</formula>
    </cfRule>
  </conditionalFormatting>
  <conditionalFormatting sqref="II3 IF3">
    <cfRule type="cellIs" dxfId="4301" priority="52" stopIfTrue="1" operator="greaterThan">
      <formula>0</formula>
    </cfRule>
  </conditionalFormatting>
  <conditionalFormatting sqref="IG3">
    <cfRule type="cellIs" dxfId="4300" priority="57" operator="greaterThan">
      <formula>0</formula>
    </cfRule>
  </conditionalFormatting>
  <conditionalFormatting sqref="IH3:II3">
    <cfRule type="cellIs" dxfId="4299" priority="56" operator="greaterThan">
      <formula>0</formula>
    </cfRule>
  </conditionalFormatting>
  <conditionalFormatting sqref="IJ3">
    <cfRule type="cellIs" dxfId="4298" priority="55" operator="greaterThan">
      <formula>0</formula>
    </cfRule>
  </conditionalFormatting>
  <conditionalFormatting sqref="IK3">
    <cfRule type="cellIs" dxfId="4297" priority="54" operator="greaterThan">
      <formula>0</formula>
    </cfRule>
  </conditionalFormatting>
  <conditionalFormatting sqref="IF3">
    <cfRule type="cellIs" dxfId="4296" priority="50" stopIfTrue="1" operator="greaterThan">
      <formula>0</formula>
    </cfRule>
  </conditionalFormatting>
  <conditionalFormatting sqref="IM3">
    <cfRule type="cellIs" dxfId="4295" priority="49" operator="equal">
      <formula>0</formula>
    </cfRule>
  </conditionalFormatting>
  <conditionalFormatting sqref="BX3:CA3 CD3:CF3">
    <cfRule type="cellIs" dxfId="4294" priority="37" operator="equal">
      <formula>"y"</formula>
    </cfRule>
    <cfRule type="cellIs" dxfId="4293" priority="38" operator="equal">
      <formula>"PIN"</formula>
    </cfRule>
    <cfRule type="cellIs" dxfId="4292" priority="39" operator="equal">
      <formula>"ORA"</formula>
    </cfRule>
    <cfRule type="cellIs" dxfId="4291" priority="40" operator="equal">
      <formula>"GRA"</formula>
    </cfRule>
    <cfRule type="cellIs" dxfId="4290" priority="41" operator="equal">
      <formula>"PUR"</formula>
    </cfRule>
    <cfRule type="cellIs" dxfId="4289" priority="42" operator="equal">
      <formula>"BRO"</formula>
    </cfRule>
    <cfRule type="cellIs" dxfId="4288" priority="43" operator="equal">
      <formula>"YEL"</formula>
    </cfRule>
    <cfRule type="cellIs" dxfId="4287" priority="44" operator="equal">
      <formula>"BLU"</formula>
    </cfRule>
    <cfRule type="cellIs" dxfId="4286" priority="45" operator="equal">
      <formula>"WHI"</formula>
    </cfRule>
    <cfRule type="cellIs" dxfId="4285" priority="46" operator="equal">
      <formula>"GRE"</formula>
    </cfRule>
    <cfRule type="cellIs" dxfId="4284" priority="47" operator="equal">
      <formula>"RED"</formula>
    </cfRule>
    <cfRule type="cellIs" dxfId="4283" priority="48" operator="equal">
      <formula>"BLA"</formula>
    </cfRule>
  </conditionalFormatting>
  <conditionalFormatting sqref="AT3">
    <cfRule type="colorScale" priority="80">
      <colorScale>
        <cfvo type="min"/>
        <cfvo type="max"/>
        <color rgb="FFFCFCFF"/>
        <color theme="8" tint="0.39997558519241921"/>
      </colorScale>
    </cfRule>
  </conditionalFormatting>
  <conditionalFormatting sqref="S3">
    <cfRule type="colorScale" priority="81">
      <colorScale>
        <cfvo type="min"/>
        <cfvo type="max"/>
        <color rgb="FFFCFCFF"/>
        <color rgb="FF754BFB"/>
      </colorScale>
    </cfRule>
  </conditionalFormatting>
  <conditionalFormatting sqref="J3">
    <cfRule type="colorScale" priority="82">
      <colorScale>
        <cfvo type="min"/>
        <cfvo type="percentile" val="50"/>
        <cfvo type="max"/>
        <color rgb="FFF8696B"/>
        <color rgb="FFFFEB84"/>
        <color rgb="FF63BE7B"/>
      </colorScale>
    </cfRule>
  </conditionalFormatting>
  <conditionalFormatting sqref="CG3">
    <cfRule type="colorScale" priority="83">
      <colorScale>
        <cfvo type="min"/>
        <cfvo type="max"/>
        <color rgb="FFFCFCFF"/>
        <color rgb="FF63BE7B"/>
      </colorScale>
    </cfRule>
  </conditionalFormatting>
  <conditionalFormatting sqref="H2">
    <cfRule type="cellIs" dxfId="4282" priority="30" stopIfTrue="1" operator="notEqual">
      <formula>""</formula>
    </cfRule>
  </conditionalFormatting>
  <conditionalFormatting sqref="R2 CU2">
    <cfRule type="cellIs" dxfId="4281" priority="32" operator="greaterThan">
      <formula>0</formula>
    </cfRule>
  </conditionalFormatting>
  <conditionalFormatting sqref="T2:AS2 CH2:CS2">
    <cfRule type="cellIs" dxfId="4280" priority="27" stopIfTrue="1" operator="equal">
      <formula>"n"</formula>
    </cfRule>
    <cfRule type="cellIs" dxfId="4279" priority="28" stopIfTrue="1" operator="equal">
      <formula>"y"</formula>
    </cfRule>
    <cfRule type="cellIs" dxfId="4278" priority="29" operator="greaterThan">
      <formula>0</formula>
    </cfRule>
  </conditionalFormatting>
  <conditionalFormatting sqref="AZ2:BB2">
    <cfRule type="expression" dxfId="4277" priority="14">
      <formula>$AT2=0</formula>
    </cfRule>
  </conditionalFormatting>
  <conditionalFormatting sqref="AZ2:BU2">
    <cfRule type="cellIs" dxfId="4276" priority="15" operator="equal">
      <formula>"PIN"</formula>
    </cfRule>
    <cfRule type="cellIs" dxfId="4275" priority="16" operator="equal">
      <formula>"ORA"</formula>
    </cfRule>
    <cfRule type="cellIs" dxfId="4274" priority="17" operator="equal">
      <formula>"GRA"</formula>
    </cfRule>
    <cfRule type="cellIs" dxfId="4273" priority="18" operator="equal">
      <formula>"PUR"</formula>
    </cfRule>
    <cfRule type="cellIs" dxfId="4272" priority="19" operator="equal">
      <formula>"BRO"</formula>
    </cfRule>
    <cfRule type="cellIs" dxfId="4271" priority="20" operator="equal">
      <formula>"YEL"</formula>
    </cfRule>
    <cfRule type="cellIs" dxfId="4270" priority="21" operator="equal">
      <formula>"BLU"</formula>
    </cfRule>
    <cfRule type="cellIs" dxfId="4269" priority="22" operator="equal">
      <formula>"WHI"</formula>
    </cfRule>
    <cfRule type="cellIs" dxfId="4268" priority="23" operator="equal">
      <formula>"GRE"</formula>
    </cfRule>
    <cfRule type="cellIs" dxfId="4267" priority="24" operator="equal">
      <formula>"RED"</formula>
    </cfRule>
    <cfRule type="cellIs" dxfId="4266" priority="25" operator="equal">
      <formula>"BLA"</formula>
    </cfRule>
  </conditionalFormatting>
  <conditionalFormatting sqref="BV2">
    <cfRule type="cellIs" dxfId="4265" priority="31" operator="equal">
      <formula>"nc"</formula>
    </cfRule>
  </conditionalFormatting>
  <conditionalFormatting sqref="CD2:CF2 BZ2:CA2">
    <cfRule type="cellIs" dxfId="4264" priority="26" operator="greaterThan">
      <formula>0</formula>
    </cfRule>
  </conditionalFormatting>
  <conditionalFormatting sqref="IC2:IK2">
    <cfRule type="expression" dxfId="4263" priority="13">
      <formula>$IL2&gt;0</formula>
    </cfRule>
  </conditionalFormatting>
  <conditionalFormatting sqref="BX2:CA2 CD2:CF2">
    <cfRule type="cellIs" dxfId="4262" priority="1" operator="equal">
      <formula>"y"</formula>
    </cfRule>
    <cfRule type="cellIs" dxfId="4261" priority="2" operator="equal">
      <formula>"PIN"</formula>
    </cfRule>
    <cfRule type="cellIs" dxfId="4260" priority="3" operator="equal">
      <formula>"ORA"</formula>
    </cfRule>
    <cfRule type="cellIs" dxfId="4259" priority="4" operator="equal">
      <formula>"GRA"</formula>
    </cfRule>
    <cfRule type="cellIs" dxfId="4258" priority="5" operator="equal">
      <formula>"PUR"</formula>
    </cfRule>
    <cfRule type="cellIs" dxfId="4257" priority="6" operator="equal">
      <formula>"BRO"</formula>
    </cfRule>
    <cfRule type="cellIs" dxfId="4256" priority="7" operator="equal">
      <formula>"YEL"</formula>
    </cfRule>
    <cfRule type="cellIs" dxfId="4255" priority="8" operator="equal">
      <formula>"BLU"</formula>
    </cfRule>
    <cfRule type="cellIs" dxfId="4254" priority="9" operator="equal">
      <formula>"WHI"</formula>
    </cfRule>
    <cfRule type="cellIs" dxfId="4253" priority="10" operator="equal">
      <formula>"GRE"</formula>
    </cfRule>
    <cfRule type="cellIs" dxfId="4252" priority="11" operator="equal">
      <formula>"RED"</formula>
    </cfRule>
    <cfRule type="cellIs" dxfId="4251" priority="12" operator="equal">
      <formula>"BLA"</formula>
    </cfRule>
  </conditionalFormatting>
  <conditionalFormatting sqref="J2">
    <cfRule type="colorScale" priority="33">
      <colorScale>
        <cfvo type="min"/>
        <cfvo type="percentile" val="50"/>
        <cfvo type="max"/>
        <color rgb="FFF8696B"/>
        <color rgb="FFFFEB84"/>
        <color rgb="FF63BE7B"/>
      </colorScale>
    </cfRule>
  </conditionalFormatting>
  <conditionalFormatting sqref="S2">
    <cfRule type="colorScale" priority="34">
      <colorScale>
        <cfvo type="min"/>
        <cfvo type="max"/>
        <color rgb="FFFCFCFF"/>
        <color rgb="FF754BFB"/>
      </colorScale>
    </cfRule>
  </conditionalFormatting>
  <conditionalFormatting sqref="AT2">
    <cfRule type="colorScale" priority="35">
      <colorScale>
        <cfvo type="min"/>
        <cfvo type="max"/>
        <color rgb="FFFCFCFF"/>
        <color theme="8" tint="0.39997558519241921"/>
      </colorScale>
    </cfRule>
  </conditionalFormatting>
  <conditionalFormatting sqref="CG2">
    <cfRule type="colorScale" priority="36">
      <colorScale>
        <cfvo type="min"/>
        <cfvo type="max"/>
        <color rgb="FFFCFCFF"/>
        <color rgb="FF63BE7B"/>
      </colorScale>
    </cfRule>
  </conditionalFormatting>
  <hyperlinks>
    <hyperlink ref="I3" r:id="rId1" xr:uid="{8D4531D5-BAB7-4273-BE86-3ED9A254C5F9}"/>
    <hyperlink ref="A2" r:id="rId2" display="https://fbref.com/en/country/GAM/Gambia-Football" xr:uid="{53FBA437-6837-4E25-ABD6-A409143BEF39}"/>
    <hyperlink ref="E2" r:id="rId3" xr:uid="{B688A1C8-93A5-4AEB-A7A0-CE1CBDB4A797}"/>
  </hyperlinks>
  <pageMargins left="0.7" right="0.7" top="0.75" bottom="0.75"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52225" r:id="rId7"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52226" r:id="rId8"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52227" r:id="rId9"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5E7F4D-2594-4AC0-8A74-E41EE39F6331}">
  <sheetPr codeName="Sheet49"/>
  <dimension ref="A1:IY6"/>
  <sheetViews>
    <sheetView zoomScale="70" zoomScaleNormal="70" workbookViewId="0">
      <pane xSplit="5" ySplit="1" topLeftCell="F2" activePane="bottomRight" state="frozen"/>
      <selection pane="topRight" activeCell="F1" sqref="F1"/>
      <selection pane="bottomLeft" activeCell="A2" sqref="A2"/>
      <selection pane="bottomRight" activeCell="M3" sqref="M3"/>
    </sheetView>
  </sheetViews>
  <sheetFormatPr defaultRowHeight="38.4" customHeight="1" x14ac:dyDescent="0.3"/>
  <cols>
    <col min="1" max="1" width="52.44140625" style="81" bestFit="1" customWidth="1"/>
    <col min="2" max="2" width="10.109375" style="81" customWidth="1"/>
    <col min="3" max="3" width="7.44140625" style="82" customWidth="1"/>
    <col min="4" max="4" width="4.77734375" style="83" customWidth="1"/>
    <col min="5" max="5" width="4.5546875" style="83" customWidth="1"/>
    <col min="6" max="6" width="5.77734375" style="83" customWidth="1"/>
    <col min="7" max="7" width="7.44140625" style="81" customWidth="1"/>
    <col min="8" max="8" width="11.44140625" style="81" customWidth="1"/>
    <col min="9" max="9" width="10" style="81" customWidth="1"/>
    <col min="10" max="10" width="4.21875" style="81" customWidth="1"/>
    <col min="11" max="11" width="5.6640625" style="83" customWidth="1"/>
    <col min="12" max="12" width="2.88671875" style="83" customWidth="1"/>
    <col min="13" max="13" width="6.44140625" style="83" customWidth="1"/>
    <col min="14" max="14" width="4.5546875" style="83" customWidth="1"/>
    <col min="15" max="15" width="10.5546875" style="84" customWidth="1"/>
    <col min="16" max="16" width="6.88671875" style="83" customWidth="1"/>
    <col min="17" max="17" width="4.77734375" style="83" customWidth="1"/>
    <col min="18" max="18" width="13.109375" style="82" customWidth="1"/>
    <col min="19" max="19" width="6.77734375" style="82" customWidth="1"/>
    <col min="20" max="46" width="8.44140625" style="81" customWidth="1"/>
    <col min="47" max="47" width="24.5546875" style="81" customWidth="1"/>
    <col min="48" max="51" width="16.6640625" style="81" customWidth="1"/>
    <col min="52" max="52" width="6.5546875" style="81" customWidth="1"/>
    <col min="53" max="54" width="5.88671875" style="81" customWidth="1"/>
    <col min="55" max="55" width="1.33203125" style="81" customWidth="1"/>
    <col min="56" max="56" width="7.44140625" style="81" customWidth="1"/>
    <col min="57" max="57" width="2.33203125" style="81" customWidth="1"/>
    <col min="58" max="62" width="6.109375" style="81" customWidth="1"/>
    <col min="63" max="63" width="2.33203125" style="81" customWidth="1"/>
    <col min="64" max="64" width="7" style="81" bestFit="1" customWidth="1"/>
    <col min="65" max="65" width="6.44140625" style="81" bestFit="1" customWidth="1"/>
    <col min="66" max="66" width="7.109375" style="81" bestFit="1" customWidth="1"/>
    <col min="67" max="71" width="6.44140625" style="81" bestFit="1" customWidth="1"/>
    <col min="72" max="73" width="6.44140625" style="81" customWidth="1"/>
    <col min="74" max="75" width="13.44140625" style="81" customWidth="1"/>
    <col min="76" max="84" width="14.6640625" style="81" customWidth="1"/>
    <col min="85" max="85" width="6.44140625" style="81" customWidth="1"/>
    <col min="86" max="87" width="11.6640625" style="81" bestFit="1" customWidth="1"/>
    <col min="88" max="88" width="11.6640625" style="81" customWidth="1"/>
    <col min="89" max="89" width="12.77734375" style="81" bestFit="1" customWidth="1"/>
    <col min="90" max="90" width="16.44140625" style="82" bestFit="1" customWidth="1"/>
    <col min="91" max="92" width="14.88671875" style="82" bestFit="1" customWidth="1"/>
    <col min="93" max="93" width="16" style="82" bestFit="1" customWidth="1"/>
    <col min="94" max="97" width="7.77734375" style="81" customWidth="1"/>
    <col min="98" max="98" width="33.21875" style="81" customWidth="1"/>
    <col min="99" max="99" width="18" style="81" customWidth="1"/>
    <col min="100" max="100" width="75.6640625" style="81" customWidth="1"/>
    <col min="101" max="125" width="33" style="81" customWidth="1"/>
    <col min="126" max="126" width="8.88671875" style="81"/>
    <col min="127" max="128" width="9.44140625" style="81" bestFit="1" customWidth="1"/>
    <col min="129" max="129" width="10.77734375" style="81" bestFit="1" customWidth="1"/>
    <col min="130" max="134" width="10.77734375" style="81" customWidth="1"/>
    <col min="135" max="135" width="10.109375" style="81" bestFit="1" customWidth="1"/>
    <col min="136" max="136" width="7.77734375" style="81" bestFit="1" customWidth="1"/>
    <col min="137" max="137" width="7.77734375" style="81" customWidth="1"/>
    <col min="138" max="138" width="9" style="81" bestFit="1" customWidth="1"/>
    <col min="139" max="139" width="11.33203125" style="81" bestFit="1" customWidth="1"/>
    <col min="140" max="140" width="9.109375" style="81" bestFit="1" customWidth="1"/>
    <col min="141" max="141" width="9" style="81" bestFit="1" customWidth="1"/>
    <col min="142" max="142" width="12" style="81" bestFit="1" customWidth="1"/>
    <col min="143" max="166" width="12" style="81" customWidth="1"/>
    <col min="167" max="167" width="17.21875" style="81" customWidth="1"/>
    <col min="168" max="191" width="12" style="81" customWidth="1"/>
    <col min="192" max="192" width="8.5546875" style="81" bestFit="1" customWidth="1"/>
    <col min="193" max="193" width="8.5546875" style="81" customWidth="1"/>
    <col min="194" max="194" width="7.109375" style="81" bestFit="1" customWidth="1"/>
    <col min="195" max="195" width="7.5546875" style="81" bestFit="1" customWidth="1"/>
    <col min="196" max="196" width="8.5546875" style="81" bestFit="1" customWidth="1"/>
    <col min="197" max="200" width="8.5546875" style="81" customWidth="1"/>
    <col min="201" max="201" width="188.88671875" style="81" customWidth="1"/>
    <col min="202" max="202" width="9.5546875" style="81" bestFit="1" customWidth="1"/>
    <col min="203" max="203" width="10.44140625" style="81" bestFit="1" customWidth="1"/>
    <col min="204" max="204" width="11.109375" style="81" bestFit="1" customWidth="1"/>
    <col min="205" max="205" width="10.44140625" style="81" bestFit="1" customWidth="1"/>
    <col min="206" max="210" width="10.44140625" style="81" customWidth="1"/>
    <col min="211" max="211" width="45.44140625" style="81" customWidth="1"/>
    <col min="212" max="212" width="47.5546875" style="81" bestFit="1" customWidth="1"/>
    <col min="213" max="213" width="9.33203125" style="85" customWidth="1"/>
    <col min="214" max="214" width="119.5546875" style="81" customWidth="1"/>
    <col min="215" max="215" width="69.6640625" style="81" customWidth="1"/>
    <col min="216" max="218" width="8.88671875" style="81"/>
    <col min="219" max="219" width="37.109375" style="81" customWidth="1"/>
    <col min="220" max="220" width="16.33203125" style="81" customWidth="1"/>
    <col min="221" max="222" width="8.88671875" style="81"/>
    <col min="223" max="223" width="10.109375" style="81" bestFit="1" customWidth="1"/>
    <col min="224" max="232" width="10.88671875" style="81" customWidth="1"/>
    <col min="233" max="234" width="30.77734375" style="81" customWidth="1"/>
    <col min="235" max="235" width="5.109375" style="81" customWidth="1"/>
    <col min="236" max="236" width="3" style="81" customWidth="1"/>
    <col min="237" max="245" width="6.77734375" style="86" customWidth="1"/>
    <col min="246" max="247" width="8.88671875" style="81"/>
    <col min="248" max="248" width="61.5546875" style="81" customWidth="1"/>
    <col min="249" max="253" width="8.88671875" style="81"/>
    <col min="254" max="254" width="9" style="81" customWidth="1"/>
    <col min="255" max="16384" width="8.88671875" style="8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590</v>
      </c>
      <c r="B2" s="40" t="e" vm="49">
        <v>#VALUE!</v>
      </c>
      <c r="C2" s="41">
        <v>1</v>
      </c>
      <c r="D2" s="42" t="s">
        <v>591</v>
      </c>
      <c r="E2" s="43" t="s">
        <v>592</v>
      </c>
      <c r="F2" s="44" t="s">
        <v>163</v>
      </c>
      <c r="G2" s="45">
        <f>COUNTIF($A$1:$A$8368,A2)</f>
        <v>1</v>
      </c>
      <c r="H2" s="46"/>
      <c r="I2" s="47" t="s">
        <v>593</v>
      </c>
      <c r="J2" s="48" t="str">
        <f>""</f>
        <v/>
      </c>
      <c r="K2" s="49">
        <v>34000000</v>
      </c>
      <c r="L2" s="50">
        <v>247000</v>
      </c>
      <c r="M2" s="50" t="s">
        <v>601</v>
      </c>
      <c r="N2" s="51" t="s">
        <v>180</v>
      </c>
      <c r="O2" s="52" t="s">
        <v>594</v>
      </c>
      <c r="P2" s="53" t="s">
        <v>595</v>
      </c>
      <c r="Q2" s="54">
        <v>1</v>
      </c>
      <c r="R2" s="55" t="s">
        <v>180</v>
      </c>
      <c r="S2" s="56">
        <v>3</v>
      </c>
      <c r="T2" s="57" t="s">
        <v>164</v>
      </c>
      <c r="U2" s="58" t="s">
        <v>164</v>
      </c>
      <c r="V2" s="58" t="s">
        <v>167</v>
      </c>
      <c r="W2" s="58" t="s">
        <v>164</v>
      </c>
      <c r="X2" s="58" t="s">
        <v>164</v>
      </c>
      <c r="Y2" s="58" t="s">
        <v>164</v>
      </c>
      <c r="Z2" s="58" t="s">
        <v>164</v>
      </c>
      <c r="AA2" s="58" t="s">
        <v>164</v>
      </c>
      <c r="AB2" s="58" t="s">
        <v>164</v>
      </c>
      <c r="AC2" s="58" t="s">
        <v>164</v>
      </c>
      <c r="AD2" s="58" t="s">
        <v>164</v>
      </c>
      <c r="AE2" s="58" t="s">
        <v>164</v>
      </c>
      <c r="AF2" s="59" t="s">
        <v>164</v>
      </c>
      <c r="AG2" s="59" t="s">
        <v>164</v>
      </c>
      <c r="AH2" s="59" t="s">
        <v>167</v>
      </c>
      <c r="AI2" s="59" t="s">
        <v>164</v>
      </c>
      <c r="AJ2" s="59" t="s">
        <v>164</v>
      </c>
      <c r="AK2" s="59" t="s">
        <v>164</v>
      </c>
      <c r="AL2" s="59" t="s">
        <v>164</v>
      </c>
      <c r="AM2" s="59" t="s">
        <v>164</v>
      </c>
      <c r="AN2" s="59" t="s">
        <v>164</v>
      </c>
      <c r="AO2" s="59" t="s">
        <v>164</v>
      </c>
      <c r="AP2" s="59" t="s">
        <v>164</v>
      </c>
      <c r="AQ2" s="59" t="s">
        <v>164</v>
      </c>
      <c r="AR2" s="59" t="s">
        <v>164</v>
      </c>
      <c r="AS2" s="59" t="s">
        <v>164</v>
      </c>
      <c r="AT2" s="60">
        <v>1</v>
      </c>
      <c r="AU2" s="59"/>
      <c r="AV2" s="59" t="str">
        <f>IF(LEFT(A2,1)="[",LEFT(A2,5)&amp;AU2&amp;A2,"")</f>
        <v/>
      </c>
      <c r="AW2" s="59" t="str">
        <f t="shared" ref="AW2:AW3" si="0">C2&amp;H2&amp;A2</f>
        <v>1Ghana</v>
      </c>
      <c r="AX2" s="61" t="str">
        <f>_xlfn.TEXTJOIN(";",TRUE,AU2:AW2)</f>
        <v>1Ghana</v>
      </c>
      <c r="AY2" s="61"/>
      <c r="AZ2" s="62" t="s">
        <v>151</v>
      </c>
      <c r="BA2" s="62"/>
      <c r="BB2" s="62"/>
      <c r="BC2" s="63"/>
      <c r="BD2" s="64" t="s">
        <v>169</v>
      </c>
      <c r="BE2" s="47"/>
      <c r="BF2" s="64" t="s">
        <v>154</v>
      </c>
      <c r="BG2" s="64" t="s">
        <v>155</v>
      </c>
      <c r="BH2" s="64" t="s">
        <v>153</v>
      </c>
      <c r="BI2" s="64"/>
      <c r="BJ2" s="64"/>
      <c r="BK2" s="47"/>
      <c r="BL2" s="64" t="s">
        <v>154</v>
      </c>
      <c r="BM2" s="64" t="s">
        <v>155</v>
      </c>
      <c r="BN2" s="64" t="s">
        <v>153</v>
      </c>
      <c r="BO2" s="64" t="s">
        <v>151</v>
      </c>
      <c r="BP2" s="64"/>
      <c r="BQ2" s="64"/>
      <c r="BR2" s="64"/>
      <c r="BS2" s="64"/>
      <c r="BT2" s="64"/>
      <c r="BU2" s="65"/>
      <c r="BV2" s="66" t="s">
        <v>165</v>
      </c>
      <c r="BW2" s="66">
        <v>0</v>
      </c>
      <c r="BX2" s="47"/>
      <c r="CB2" s="6" t="s">
        <v>136</v>
      </c>
      <c r="CC2" s="6"/>
      <c r="CD2" s="67">
        <v>0</v>
      </c>
      <c r="CE2" s="67">
        <v>0</v>
      </c>
      <c r="CF2" s="67" t="e">
        <v>#REF!</v>
      </c>
      <c r="CG2" s="68" cm="1">
        <f t="array" ref="CG2">SUMPRODUCT(--(LEN(TRIM(BL2:BT2))&gt;0))</f>
        <v>4</v>
      </c>
      <c r="CH2" s="59" t="str">
        <f>IF(CG2=2,"y","n")</f>
        <v>n</v>
      </c>
      <c r="CI2" s="59" t="str">
        <f>IF(CG2=3,"y","n")</f>
        <v>n</v>
      </c>
      <c r="CJ2" s="59" t="str">
        <f>IF(CG2=4,"y","n")</f>
        <v>y</v>
      </c>
      <c r="CK2" s="59" t="str">
        <f>IF(CG2&gt;4,"y","n")</f>
        <v>n</v>
      </c>
      <c r="CL2" s="59" t="str">
        <f>IF(S2=0,"y","n")</f>
        <v>n</v>
      </c>
      <c r="CM2" s="59" t="str">
        <f>IF(S2=2,"y","n")</f>
        <v>n</v>
      </c>
      <c r="CN2" s="59" t="str">
        <f>IF(S2=3,"y","n")</f>
        <v>y</v>
      </c>
      <c r="CO2" s="59" t="str">
        <f>IF(S2&gt;=4,"y","n")</f>
        <v>n</v>
      </c>
      <c r="CP2" s="59" t="str">
        <f>IF(AT2=0,"y","n")</f>
        <v>n</v>
      </c>
      <c r="CQ2" s="59" t="str">
        <f>IF(AT2=1,"y","n")</f>
        <v>y</v>
      </c>
      <c r="CR2" s="59" t="str">
        <f>IF(AT2=2,"y","n")</f>
        <v>n</v>
      </c>
      <c r="CS2" s="59" t="str">
        <f>IF(AT2&gt;=3,"y","n")</f>
        <v>n</v>
      </c>
      <c r="CT2" s="69" t="str">
        <f>CHAR(34)&amp;A2&amp;CHAR(34)</f>
        <v>"Ghana"</v>
      </c>
      <c r="CU2" s="70" t="str">
        <f>CHAR(34)&amp;"rgn_"&amp;R2&amp;CHAR(34)</f>
        <v>"rgn_Africa"</v>
      </c>
      <c r="CV2" s="48" t="str">
        <f>CHAR(34)&amp;D2&amp;CHAR(34)</f>
        <v>"https://i.ibb.co/tcvq1Vn/Ghana-Flag.png"</v>
      </c>
      <c r="CW2" s="48" t="str">
        <f>IF(CH2="y",CHAR(34)&amp;CH$1&amp;CHAR(34)&amp;",","")</f>
        <v/>
      </c>
      <c r="CX2" s="48" t="str">
        <f>IF(CI2="y",CHAR(34)&amp;CI$1&amp;CHAR(34)&amp;",","")</f>
        <v/>
      </c>
      <c r="CY2" s="48" t="str">
        <f>IF(CJ2="y",CHAR(34)&amp;CJ$1&amp;CHAR(34)&amp;",","")</f>
        <v>"4Color",</v>
      </c>
      <c r="CZ2" s="48" t="str">
        <f>IF(CK2="y",CHAR(34)&amp;CK$1&amp;CHAR(34)&amp;",","")</f>
        <v/>
      </c>
      <c r="DA2" s="48" t="str">
        <f>IF(Q2&gt;1,CHAR(34)&amp;"words2"&amp;CHAR(34)&amp;",","")</f>
        <v/>
      </c>
      <c r="DB2" s="48" t="str">
        <f>IF(Q2&gt;2,CHAR(34)&amp;"words3"&amp;CHAR(34)&amp;",","")</f>
        <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"lets05",</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"startG",</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
      </c>
      <c r="DS2" s="6" t="str">
        <f>IF(W2="y",IF(AND(V2="n",BY2&lt;&gt;"y"),CHAR(34)&amp;"allver"&amp;CHAR(34)&amp;",",""),"")</f>
        <v/>
      </c>
      <c r="DT2" s="6" t="str">
        <f>IF(V2="y",IF(AND(W2="n",BY2&lt;&gt;"y"),CHAR(34)&amp;"allhor"&amp;CHAR(34)&amp;",",""),"")</f>
        <v>"allhor",</v>
      </c>
      <c r="DU2" s="6" t="str">
        <f>IF(BY2="y",IF(AND(W2="n",V2="n"),CHAR(34)&amp;"alldia"&amp;CHAR(34)&amp;",",""),"")</f>
        <v/>
      </c>
      <c r="DV2" s="48" t="str">
        <f>IF(IA2&lt;&gt;"",(IF(IA2="y",CHAR(34)&amp;"largec"&amp;CHAR(34)&amp;",",CHAR(34)&amp;"smallc"&amp;CHAR(34)&amp;",")),"")</f>
        <v/>
      </c>
      <c r="DW2" s="48" t="str">
        <f>IF(CL2="y",CHAR(34)&amp;CL$1&amp;CHAR(34)&amp;",","")</f>
        <v/>
      </c>
      <c r="DX2" s="48" t="str">
        <f>IF(CM2="y",CHAR(34)&amp;CM$1&amp;CHAR(34)&amp;",","")</f>
        <v/>
      </c>
      <c r="DY2" s="48" t="str">
        <f>IF(CN2="y",CHAR(34)&amp;CN$1&amp;CHAR(34)&amp;",","")</f>
        <v>"3Bands",</v>
      </c>
      <c r="DZ2" s="48" t="str">
        <f>IF(CO2="y",CHAR(34)&amp;CO$1&amp;CHAR(34)&amp;",","")</f>
        <v/>
      </c>
      <c r="EA2" s="48" t="str">
        <f>IF(T2="y",CHAR(34)&amp;T$1&amp;CHAR(34)&amp;",","")</f>
        <v/>
      </c>
      <c r="EB2" s="48" t="str">
        <f>IF(U2="y",CHAR(34)&amp;U$1&amp;CHAR(34)&amp;",","")</f>
        <v/>
      </c>
      <c r="EC2" s="48" t="str">
        <f>IF(V2="y",CHAR(34)&amp;V$1&amp;CHAR(34)&amp;",","")</f>
        <v>"Horizo",</v>
      </c>
      <c r="ED2" s="48" t="str">
        <f>IF(W2="y",CHAR(34)&amp;W$1&amp;CHAR(34)&amp;",","")</f>
        <v/>
      </c>
      <c r="EE2" s="48" t="str">
        <f>IF(X2="y",CHAR(34)&amp;X$1&amp;CHAR(34)&amp;",","")</f>
        <v/>
      </c>
      <c r="EF2" s="48" t="str">
        <f>IF(AND(Y2&lt;&gt;"n",Y2&lt;&gt;""),CHAR(34)&amp;Y$1&amp;CHAR(34)&amp;",","")</f>
        <v/>
      </c>
      <c r="EG2" s="48" t="str">
        <f>IF(Z2="y",CHAR(34)&amp;Z$1&amp;CHAR(34)&amp;",","")</f>
        <v/>
      </c>
      <c r="EH2" s="48" t="str">
        <f>IF(AA2="y",CHAR(34)&amp;AA$1&amp;CHAR(34)&amp;",","")</f>
        <v/>
      </c>
      <c r="EI2" s="48" t="str">
        <f>IF(AB2="y",CHAR(34)&amp;AB$1&amp;CHAR(34)&amp;",","")</f>
        <v/>
      </c>
      <c r="EJ2" s="48" t="str">
        <f>IF(AC2="y",CHAR(34)&amp;AC$1&amp;CHAR(34)&amp;",","")</f>
        <v/>
      </c>
      <c r="EK2" s="48" t="str">
        <f>IF(AD2="y",CHAR(34)&amp;AD$1&amp;CHAR(34)&amp;",","")</f>
        <v/>
      </c>
      <c r="EL2" s="48" t="str">
        <f>IF(AE2="y",CHAR(34)&amp;AE$1&amp;CHAR(34)&amp;",","")</f>
        <v/>
      </c>
      <c r="EM2" s="48" t="str">
        <f>IF(AF2="y",CHAR(34)&amp;AF$1&amp;CHAR(34)&amp;",","")</f>
        <v/>
      </c>
      <c r="EN2" s="48" t="str">
        <f>IF(AG2="y",CHAR(34)&amp;AG$1&amp;CHAR(34)&amp;",","")</f>
        <v/>
      </c>
      <c r="EO2" s="48" t="str">
        <f>IF(AH2="y",CHAR(34)&amp;AH$1&amp;CHAR(34)&amp;",","")</f>
        <v>"Center",</v>
      </c>
      <c r="EP2" s="48" t="str">
        <f>IF(AI2="y",CHAR(34)&amp;AI$1&amp;CHAR(34)&amp;",","")</f>
        <v/>
      </c>
      <c r="EQ2" s="48" t="str">
        <f>IF(AJ2="y",CHAR(34)&amp;AJ$1&amp;CHAR(34)&amp;",","")</f>
        <v/>
      </c>
      <c r="ER2" s="48" t="str">
        <f>IF(AK2="y",CHAR(34)&amp;AK$1&amp;CHAR(34)&amp;",","")</f>
        <v/>
      </c>
      <c r="ES2" s="48" t="str">
        <f>IF(AL2="y",CHAR(34)&amp;AL$1&amp;CHAR(34)&amp;",","")</f>
        <v/>
      </c>
      <c r="ET2" s="48" t="str">
        <f>IF(AM2="y",CHAR(34)&amp;AM$1&amp;CHAR(34)&amp;",","")</f>
        <v/>
      </c>
      <c r="EU2" s="48" t="str">
        <f>IF(AN2="y",CHAR(34)&amp;AN$1&amp;CHAR(34)&amp;",","")</f>
        <v/>
      </c>
      <c r="EV2" s="48" t="str">
        <f>IF(AO2="y",CHAR(34)&amp;AO$1&amp;CHAR(34)&amp;",","")</f>
        <v/>
      </c>
      <c r="EW2" s="48" t="str">
        <f>IF(AP2="y",CHAR(34)&amp;AP$1&amp;CHAR(34)&amp;",","")</f>
        <v/>
      </c>
      <c r="EX2" s="48" t="str">
        <f>IF(AQ2="y",CHAR(34)&amp;AQ$1&amp;CHAR(34)&amp;",","")</f>
        <v/>
      </c>
      <c r="EY2" s="48" t="str">
        <f>IF(AR2="y",CHAR(34)&amp;AR$1&amp;CHAR(34)&amp;",","")</f>
        <v/>
      </c>
      <c r="EZ2" s="48" t="str">
        <f>IF(AS2="y",CHAR(34)&amp;AS$1&amp;CHAR(34)&amp;",","")</f>
        <v/>
      </c>
      <c r="FA2" s="48" t="str">
        <f>IF(AT2&gt;0,CHAR(34)&amp;"sta"&amp;AZ2&amp;CHAR(34)&amp;",","")</f>
        <v>"staBLA",</v>
      </c>
      <c r="FB2" s="48" t="str">
        <f>IF(AND(AT2&gt;0,BA2&lt;&gt;""),CHAR(34)&amp;"sta"&amp;BA2&amp;CHAR(34)&amp;",","")</f>
        <v/>
      </c>
      <c r="FC2" s="48" t="str">
        <f>IF(AND(AT2&gt;0,BB2&lt;&gt;""),CHAR(34)&amp;"sta"&amp;BB2&amp;CHAR(34)&amp;",","")</f>
        <v/>
      </c>
      <c r="FD2" s="48" t="str">
        <f>IF(BV2="n",CHAR(34)&amp;"tcWHYE"&amp;CHAR(34)&amp;",",IF(BV2="y",CHAR(34)&amp;FD$1&amp;CHAR(34)&amp;",",""))</f>
        <v/>
      </c>
      <c r="FE2" s="48" t="str">
        <f>IF(COUNTIF(BL2:BT2,"BLU")=0,CHAR(34)&amp;"NO_BLU"&amp;CHAR(34)&amp;",", "")</f>
        <v>"NO_BLU",</v>
      </c>
      <c r="FF2" s="48" t="str">
        <f>IF(COUNTIF(BL2:BT2,"WHI")=0,CHAR(34)&amp;"NO_WHI"&amp;CHAR(34)&amp;",", "")</f>
        <v>"NO_WHI",</v>
      </c>
      <c r="FG2" s="48" t="str">
        <f>IF(COUNTIF(BL2:BT2,"RED")=0,CHAR(34)&amp;"NO_RED"&amp;CHAR(34)&amp;",", "")</f>
        <v/>
      </c>
      <c r="FH2" s="48" t="str">
        <f>IF(COUNTIF(BL2:BS2,"GRE")=0,CHAR(34)&amp;"NO_GRE"&amp;CHAR(34)&amp;",", "")</f>
        <v/>
      </c>
      <c r="FI2" s="48" t="str">
        <f>IF(COUNTIF(BL2:BT2,"YEL")=0,CHAR(34)&amp;"NO_YEL"&amp;CHAR(34)&amp;",", "")</f>
        <v/>
      </c>
      <c r="FJ2" s="48" t="str">
        <f>IF(COUNTIF(BL2:BT2,"BLA")=0,CHAR(34)&amp;"NO_BLA"&amp;CHAR(34)&amp;",", "")</f>
        <v/>
      </c>
      <c r="FK2" s="48" t="str">
        <f>IF(AND(FH2&lt;&gt;"",FF2&lt;&gt;""),CHAR(34)&amp;"WHGRNO"&amp;CHAR(34)&amp;",","")</f>
        <v/>
      </c>
      <c r="FL2" s="48" t="str">
        <f>IF(AND(FI2&lt;&gt;"",FF2&lt;&gt;""),CHAR(34)&amp;"WHYENO"&amp;CHAR(34)&amp;",","")</f>
        <v/>
      </c>
      <c r="FM2" s="48" t="str">
        <f>IF(AND(FJ2&lt;&gt;"",FF2&lt;&gt;""),CHAR(34)&amp;"BAWHNO"&amp;CHAR(34)&amp;",","")</f>
        <v/>
      </c>
      <c r="FN2" s="48" t="str">
        <f>IF(AND(FE2&lt;&gt;"",FF2&lt;&gt;""),CHAR(34)&amp;"BLWHNO"&amp;CHAR(34)&amp;",","")</f>
        <v>"BLWHNO",</v>
      </c>
      <c r="FO2" s="48" t="str">
        <f>IF(AND(FE2&lt;&gt;"",FG2&lt;&gt;""),CHAR(34)&amp;"BLRENO"&amp;CHAR(34)&amp;",","")</f>
        <v/>
      </c>
      <c r="FP2" s="48" t="str">
        <f>IF(AND(FF2&lt;&gt;"",FF2&lt;&gt;""),CHAR(34)&amp;"WHRENO"&amp;CHAR(34)&amp;",","")</f>
        <v>"WHRENO",</v>
      </c>
      <c r="FQ2" s="48" t="str">
        <f>IF(LEN(BF2)=3,CHAR(34)&amp;"001"&amp;BF2&amp;CHAR(34)&amp;",","")</f>
        <v>"001RED",</v>
      </c>
      <c r="FR2" s="48" t="str">
        <f>IF(LEN(BG2)=3,CHAR(34)&amp;"002"&amp;BG2&amp;CHAR(34)&amp;",","")</f>
        <v>"002YEL",</v>
      </c>
      <c r="FS2" s="48" t="str">
        <f>IF(LEN(BH2)=3,CHAR(34)&amp;"003"&amp;BH2&amp;CHAR(34)&amp;",","")</f>
        <v>"003GRE",</v>
      </c>
      <c r="FT2" s="48" t="str">
        <f>CHAR(34)&amp;"myr"&amp;BD2&amp;CHAR(34)&amp;","</f>
        <v>"myrEQ",</v>
      </c>
      <c r="FU2" s="48" t="str">
        <f>IF(AY2="y",CHAR(34)&amp;"island"&amp;CHAR(34)&amp;",","")</f>
        <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"englis",</v>
      </c>
      <c r="GA2" s="48" t="str">
        <f>IFERROR(IF(SEARCH("French",CB2)&gt;0,CHAR(34)&amp;"french"&amp;CHAR(34)&amp;",",""),"")</f>
        <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
      </c>
      <c r="GK2" s="48" t="str">
        <f>IF(GJ2="",CHAR(34)&amp;"HasSta"&amp;CHAR(34)&amp;",","")</f>
        <v>"HasSta",</v>
      </c>
      <c r="GL2" s="48" t="str">
        <f>IF(CQ2="y",CHAR(34)&amp;CQ$1&amp;CHAR(34)&amp;",","")</f>
        <v>"1Stars",</v>
      </c>
      <c r="GM2" s="48" t="str">
        <f>IF(CR2="y",CHAR(34)&amp;CR$1&amp;CHAR(34)&amp;",","")</f>
        <v/>
      </c>
      <c r="GN2" s="48" t="str">
        <f>IF(CS2="y",CHAR(34)&amp;CS$1&amp;CHAR(34)&amp;",","")</f>
        <v/>
      </c>
      <c r="GP2" s="48" t="str">
        <f>CHAR(34)&amp;AU2&amp;CHAR(34)</f>
        <v>""</v>
      </c>
      <c r="GS2" s="48" t="str">
        <f>SUBSTITUTE("["&amp;_xlfn.CONCAT(CW2:GN2)&amp;"]",",]","]")</f>
        <v>["4Color","lets05","startG","year19","allhor","3Bands","Horizo","Center","staBLA","NO_BLU","NO_WHI","BLWHNO","WHRENO","001RED","002YEL","003GRE","myrEQ","englis","HasSta","1Stars"]</v>
      </c>
      <c r="GT2" s="48" t="str">
        <f>IF(BL2&lt;&gt;"",CHAR(34)&amp;"cl_"&amp;BL2&amp;CHAR(34)&amp;",","")</f>
        <v>"cl_RED",</v>
      </c>
      <c r="GU2" s="48" t="str">
        <f>IF(BM2&lt;&gt;"",CHAR(34)&amp;"cl_"&amp;BM2&amp;CHAR(34)&amp;",","")</f>
        <v>"cl_YEL",</v>
      </c>
      <c r="GV2" s="48" t="str">
        <f>IF(BN2&lt;&gt;"",CHAR(34)&amp;"cl_"&amp;BN2&amp;CHAR(34)&amp;",","")</f>
        <v>"cl_GRE",</v>
      </c>
      <c r="GW2" s="48" t="str">
        <f>IF(BO2&lt;&gt;"",CHAR(34)&amp;"cl_"&amp;BO2&amp;CHAR(34)&amp;",","")</f>
        <v>"cl_BLA",</v>
      </c>
      <c r="GX2" s="48" t="str">
        <f>IF(BP2&lt;&gt;"",CHAR(34)&amp;"cl_"&amp;BP2&amp;CHAR(34)&amp;",","")</f>
        <v/>
      </c>
      <c r="GY2" s="48" t="str">
        <f>IF(BQ2&lt;&gt;"",CHAR(34)&amp;"cl_"&amp;BQ2&amp;CHAR(34)&amp;",","")</f>
        <v/>
      </c>
      <c r="GZ2" s="48" t="str">
        <f>IF(BR2&lt;&gt;"",CHAR(34)&amp;"cl_"&amp;BR2&amp;CHAR(34)&amp;",","")</f>
        <v/>
      </c>
      <c r="HA2" s="48" t="str">
        <f>IF(BS2&lt;&gt;"",CHAR(34)&amp;"cl_"&amp;BS2&amp;CHAR(34)&amp;",","")</f>
        <v/>
      </c>
      <c r="HB2" s="48" t="str">
        <f>IF(BT2&lt;&gt;"",CHAR(34)&amp;"cl_"&amp;BT2&amp;CHAR(34)&amp;",","")</f>
        <v/>
      </c>
      <c r="HC2" s="48" t="str">
        <f>SUBSTITUTE("["&amp;_xlfn.CONCAT(GT2:HB2)&amp;"]",",]","]")</f>
        <v>["cl_RED","cl_YEL","cl_GRE","cl_BLA"]</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{couname:"Ghana",year:"1957 ",region:"rgn_Africa",Colors:["cl_RED","cl_YEL","cl_GRE","cl_BLA"],Items:["4Color","lets05","startG","year19","allhor","3Bands","Horizo","Center","staBLA","NO_BLU","NO_WHI","BLWHNO","WHRENO","001RED","002YEL","003GRE","myrEQ","englis","HasSta","1Stars"],Flag:"https://i.ibb.co/tcvq1Vn/Ghana-Flag.png",HDFlag:"https://upload.wikimedia.org/wikipedia/commons/thumb/1/19/Flag_of_Ghana.svg/2560px-Flag_of_Ghana.svg.png",type:"", describe: "\nThe flag was adopted upon the independence of the Dominion of Ghana on March 6, 1957. It was designed the same year by Theodosia Okoh, a renowned Ghanaian artist. The flag was flown until 1964 and it was then reinstated in 1966. The flag of Ghana consists of the Ethiopian Pan-African colours of red, yellow, and green in horizontal stripes with a black five-pointed star in the centre of the gold stripe. The Ghanaian flag was the second African flag after the flag of the Ethiopian Empire to feature these colours, although the colours are inverted. The design of the Ghanaian flag influenced the designs of the flags of Guinea-Bissau (1973) and São Tomé and Príncipe (1975).", isnew:".", links: "https://en.wikipedia.org/wiki/Flag_of_Ghana"},</v>
      </c>
      <c r="HG2" s="73" t="str">
        <f>"{couname:"&amp;CT2&amp;(IF(HK2&lt;&gt;"",",subtype:"&amp;CHAR(34)&amp;HK2&amp;CHAR(34),""))&amp;",year:"&amp;HJ2&amp;",region:"&amp;CU2&amp;",Colors:"&amp;HC2&amp;",Items:"&amp;GS2&amp;",Flag:"&amp;CV2&amp;",HDFlag:"&amp;CHAR(34)&amp;E2&amp;CHAR(34)&amp;",type:"&amp;GP2&amp;", describe: "&amp;HI2&amp;", links: "&amp;HL2&amp;"},"</f>
        <v>{couname:"Ghana",year:"1957 ",region:"rgn_Africa",Colors:["cl_RED","cl_YEL","cl_GRE","cl_BLA"],Items:["4Color","lets05","startG","year19","allhor","3Bands","Horizo","Center","staBLA","NO_BLU","NO_WHI","BLWHNO","WHRENO","001RED","002YEL","003GRE","myrEQ","englis","HasSta","1Stars"],Flag:"https://i.ibb.co/tcvq1Vn/Ghana-Flag.png",HDFlag:"https://upload.wikimedia.org/wikipedia/commons/thumb/1/19/Flag_of_Ghana.svg/2560px-Flag_of_Ghana.svg.png",type:"", describe: "\nThe flag was adopted upon the independence of the Dominion of Ghana on March 6, 1957. It was designed the same year by Theodosia Okoh, a renowned Ghanaian artist. The flag was flown until 1964 and it was then reinstated in 1966. The flag of Ghana consists of the Ethiopian Pan-African colours of red, yellow, and green in horizontal stripes with a black five-pointed star in the centre of the gold stripe. The Ghanaian flag was the second African flag after the flag of the Ethiopian Empire to feature these colours, although the colours are inverted. The design of the Ghanaian flag influenced the designs of the flags of Guinea-Bissau (1973) and São Tomé and Príncipe (1975).", links: "https://en.wikipedia.org/wiki/Flag_of_Ghana"},</v>
      </c>
      <c r="HH2" s="48" t="str">
        <f>IF(P2&lt;&gt;"",CHAR(34)&amp;"\n"&amp;P2&amp;CHAR(34),CHAR(34)&amp;CHAR(34))</f>
        <v>"\nThe flag was adopted upon the independence of the Dominion of Ghana on March 6, 1957. It was designed the same year by Theodosia Okoh, a renowned Ghanaian artist. The flag was flown until 1964 and it was then reinstated in 1966. The flag of Ghana consists of the Ethiopian Pan-African colours of red, yellow, and green in horizontal stripes with a black five-pointed star in the centre of the gold stripe. The Ghanaian flag was the second African flag after the flag of the Ethiopian Empire to feature these colours, although the colours are inverted. The design of the Ghanaian flag influenced the designs of the flags of Guinea-Bissau (1973) and São Tomé and Príncipe (1975)."</v>
      </c>
      <c r="HI2" s="48" t="str">
        <f>IF(J2=0,CHAR(34)&amp;CHAR(34),HH2)</f>
        <v>"\nThe flag was adopted upon the independence of the Dominion of Ghana on March 6, 1957. It was designed the same year by Theodosia Okoh, a renowned Ghanaian artist. The flag was flown until 1964 and it was then reinstated in 1966. The flag of Ghana consists of the Ethiopian Pan-African colours of red, yellow, and green in horizontal stripes with a black five-pointed star in the centre of the gold stripe. The Ghanaian flag was the second African flag after the flag of the Ethiopian Empire to feature these colours, although the colours are inverted. The design of the Ghanaian flag influenced the designs of the flags of Guinea-Bissau (1973) and São Tomé and Príncipe (1975)."</v>
      </c>
      <c r="HJ2" s="48" t="str">
        <f>CHAR(34)&amp;O2&amp;CHAR(34)</f>
        <v>"1957 "</v>
      </c>
      <c r="HL2" s="48" t="str">
        <f>CHAR(34)&amp;I2&amp;CHAR(34)</f>
        <v>"https://en.wikipedia.org/wiki/Flag_of_Ghana"</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{"couname":"Ghana","year":"1957 ","region":"rgn_Africa","Colors":["cl_RED","cl_YEL","cl_GRE","cl_BLA"],"Items":["4Color","lets05","startG","year19","allhor","3Bands","Horizo","Center","staBLA","NO_BLU","NO_WHI","BLWHNO","WHRENO","001RED","002YEL","003GRE","myrEQ","englis","HasSta","1Stars"],"Flag":"https://i.ibb.co/tcvq1Vn/Ghana-Flag.png","HDFlag":"https://upload.wikimedia.org/wikipedia/commons/thumb/1/19/Flag_of_Ghana.svg/2560px-Flag_of_Ghana.svg.png","type":"", "describe": "\nThe flag was adopted upon the independence of the Dominion of Ghana on March 6, 1957. It was designed the same year by Theodosia Okoh, a renowned Ghanaian artist. The flag was flown until 1964 and it was then reinstated in 1966. The flag of Ghana consists of the Ethiopian Pan-African colours of red, yellow, and green in horizontal stripes with a black five-pointed star in the centre of the gold stripe. The Ghanaian flag was the second African flag after the flag of the Ethiopian Empire to feature these colours, although the colours are inverted. The design of the Ghanaian flag influenced the designs of the flags of Guinea-Bissau (1973) and São Tomé and Príncipe (1975).", "isnew": ".", "links": "https://en.wikipedia.org/wiki/Flag_of_Ghana"},</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{"couname":"Ghana","year":"1957 ","region":"rgn_Africa","Colors":["cl_RED","cl_YEL","cl_GRE","cl_BLA"],"Items":["4Color","lets05","startG","year19","allhor","3Bands","Horizo","Center","staBLA","NO_BLU","NO_WHI","BLWHNO","WHRENO","001RED","002YEL","003GRE","myrEQ","englis","HasSta","1Stars"],"Flag":"https://i.ibb.co/tcvq1Vn/Ghana-Flag.png","HDFlag":"https://upload.wikimedia.org/wikipedia/commons/thumb/1/19/Flag_of_Ghana.svg/2560px-Flag_of_Ghana.svg.png","type":"", "describe": "\nThe flag was adopted upon the independence of the Dominion of Ghana on March 6, 1957. It was designed the same year by Theodosia Okoh, a renowned Ghanaian artist. The flag was flown until 1964 and it was then reinstated in 1966. The flag of Ghana consists of the Ethiopian Pan-African colours of red, yellow, and green in horizontal stripes with a black five-pointed star in the centre of the gold stripe. The Ghanaian flag was the second African flag after the flag of the Ethiopian Empire to feature these colours, although the colours are inverted. The design of the Ghanaian flag influenced the designs of the flags of Guinea-Bissau (1973) and São Tomé and Príncipe (1975).", "isnew": ".", "links": "https://en.wikipedia.org/wiki/Flag_of_Ghana"},</v>
      </c>
      <c r="HO2" s="75"/>
      <c r="HP2" s="48" t="str" cm="1">
        <f t="array" ref="HP2">IF(_xlfn.TEXTJOIN(", ", TRUE, IF(ISNUMBER(SEARCH("BLA", BL2:BT2)), COLUMN(BL2:BT2) - COLUMN(BL2) + 1, ""))&lt;&gt;"","BLA","")</f>
        <v>BLA</v>
      </c>
      <c r="HQ2" s="48" t="str" cm="1">
        <f t="array" ref="HQ2">IF(_xlfn.TEXTJOIN(", ", TRUE, IF(ISNUMBER(SEARCH("BLU", BL2:BT2)), COLUMN(BL2:BT2) - COLUMN(BL2) + 1, ""))&lt;&gt;"","BLU","")</f>
        <v/>
      </c>
      <c r="HR2" s="48" t="str" cm="1">
        <f t="array" ref="HR2">IF(_xlfn.TEXTJOIN(", ", TRUE, IF(ISNUMBER(SEARCH("GRE", BL2:BT2)), COLUMN(BL2:BT2) - COLUMN(BL2) + 1, ""))&lt;&gt;"","GRE","")</f>
        <v>GRE</v>
      </c>
      <c r="HS2" s="48" t="str" cm="1">
        <f t="array" ref="HS2">IF(_xlfn.TEXTJOIN(", ", TRUE, IF(ISNUMBER(SEARCH("RED", BL2:BT2)), COLUMN(BL2:BT2) - COLUMN(BL2) + 1, ""))&lt;&gt;"","RED","")</f>
        <v>RED</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
      </c>
      <c r="HY2" s="76"/>
      <c r="HZ2" s="76"/>
      <c r="IA2" s="6"/>
      <c r="IB2" s="6"/>
      <c r="IC2" s="77"/>
      <c r="ID2" s="77"/>
      <c r="IE2" s="77"/>
      <c r="IF2" s="77"/>
      <c r="IG2" s="77"/>
      <c r="IH2" s="77"/>
      <c r="II2" s="77"/>
      <c r="IJ2" s="77"/>
      <c r="IK2" s="77"/>
      <c r="IL2" s="48">
        <f>SUM(IC2:IK2)</f>
        <v>0</v>
      </c>
      <c r="IM2" s="45">
        <f>COUNTIF(IC2:IK2,"&gt;0")-CG2</f>
        <v>-4</v>
      </c>
      <c r="IN2" s="78" t="str">
        <f>"http://mkweb.bcgsc.ca/color-summarizer/?url="&amp;D2&amp;"&amp;precision=low&amp;num_clusters="&amp;CG2&amp;"&amp;text=1"</f>
        <v>http://mkweb.bcgsc.ca/color-summarizer/?url=https://i.ibb.co/tcvq1Vn/Ghana-Flag.png&amp;precision=low&amp;num_clusters=4&amp;text=1</v>
      </c>
      <c r="IO2" s="48" t="str">
        <f>IF(HP2&lt;&gt;"",CHAR(34)&amp;"black"&amp;CHAR(34),"")</f>
        <v>"black"</v>
      </c>
      <c r="IP2" s="48" t="str">
        <f>IF(HQ2&lt;&gt;"",CHAR(34)&amp;"blue"&amp;CHAR(34),"")</f>
        <v/>
      </c>
      <c r="IQ2" s="48" t="str">
        <f>IF(HR2&lt;&gt;"",CHAR(34)&amp;"green"&amp;CHAR(34),"")</f>
        <v>"green"</v>
      </c>
      <c r="IR2" s="48" t="str">
        <f>IF(HS2&lt;&gt;"",CHAR(34)&amp;"red"&amp;CHAR(34),"")</f>
        <v>"red"</v>
      </c>
      <c r="IS2" s="48" t="str">
        <f>IF(HT2&lt;&gt;"",CHAR(34)&amp;"yellow"&amp;CHAR(34),"")</f>
        <v>"yellow"</v>
      </c>
      <c r="IT2" s="48" t="str">
        <f>IF(HU2&lt;&gt;"",CHAR(34)&amp;"orange"&amp;CHAR(34),"")</f>
        <v/>
      </c>
      <c r="IU2" s="48" t="str">
        <f>IF(HV2&lt;&gt;"",CHAR(34)&amp;"brown"&amp;CHAR(34),"")</f>
        <v/>
      </c>
      <c r="IV2" s="48" t="str">
        <f>IF(HW2&lt;&gt;"",CHAR(34)&amp;"purple"&amp;CHAR(34),"")</f>
        <v/>
      </c>
      <c r="IW2" s="48" t="str">
        <f>IF(HX2&lt;&gt;"",CHAR(34)&amp;"white"&amp;CHAR(34),"")</f>
        <v/>
      </c>
      <c r="IX2" s="48" t="str">
        <f>"{"&amp;CHAR(34)&amp;"url"&amp;CHAR(34)&amp;":"&amp;CHAR(34)&amp;IN2&amp;CHAR(34)&amp;","&amp;CHAR(34)&amp;"name"&amp;CHAR(34)&amp;":"&amp;CHAR(34)&amp;A2&amp;CHAR(34)&amp;"},"</f>
        <v>{"url":"http://mkweb.bcgsc.ca/color-summarizer/?url=https://i.ibb.co/tcvq1Vn/Ghana-Flag.png&amp;precision=low&amp;num_clusters=4&amp;text=1","name":"Ghana"},</v>
      </c>
      <c r="IY2" s="48">
        <v>84</v>
      </c>
    </row>
    <row r="3" spans="1:259" s="48" customFormat="1" ht="38.4" customHeight="1" thickBot="1" x14ac:dyDescent="0.35">
      <c r="A3" s="79" t="s">
        <v>596</v>
      </c>
      <c r="B3" s="40" t="e" vm="50">
        <v>#VALUE!</v>
      </c>
      <c r="C3" s="41"/>
      <c r="D3" s="42" t="s">
        <v>597</v>
      </c>
      <c r="E3" s="43" t="s">
        <v>598</v>
      </c>
      <c r="F3" s="44" t="s">
        <v>163</v>
      </c>
      <c r="G3" s="45">
        <f>COUNTIF($A$1:$A$8380,A3)</f>
        <v>1</v>
      </c>
      <c r="H3" s="46"/>
      <c r="I3" s="47" t="s">
        <v>599</v>
      </c>
      <c r="J3" s="48" t="str">
        <f>""</f>
        <v/>
      </c>
      <c r="K3" s="49"/>
      <c r="L3" s="50"/>
      <c r="M3" s="50"/>
      <c r="N3" s="51" t="s">
        <v>180</v>
      </c>
      <c r="O3" s="52" t="s">
        <v>170</v>
      </c>
      <c r="P3" s="53" t="s">
        <v>600</v>
      </c>
      <c r="Q3" s="54">
        <v>1</v>
      </c>
      <c r="R3" s="55" t="s">
        <v>180</v>
      </c>
      <c r="S3" s="56">
        <v>0</v>
      </c>
      <c r="T3" s="57" t="s">
        <v>164</v>
      </c>
      <c r="U3" s="58" t="s">
        <v>164</v>
      </c>
      <c r="V3" s="58" t="s">
        <v>164</v>
      </c>
      <c r="W3" s="58" t="s">
        <v>164</v>
      </c>
      <c r="X3" s="58" t="s">
        <v>167</v>
      </c>
      <c r="Y3" s="58" t="s">
        <v>164</v>
      </c>
      <c r="Z3" s="58" t="s">
        <v>164</v>
      </c>
      <c r="AA3" s="58" t="s">
        <v>167</v>
      </c>
      <c r="AB3" s="58" t="s">
        <v>167</v>
      </c>
      <c r="AC3" s="58" t="s">
        <v>164</v>
      </c>
      <c r="AD3" s="58" t="s">
        <v>164</v>
      </c>
      <c r="AE3" s="58" t="s">
        <v>164</v>
      </c>
      <c r="AF3" s="59" t="s">
        <v>164</v>
      </c>
      <c r="AG3" s="59" t="s">
        <v>164</v>
      </c>
      <c r="AH3" s="59" t="s">
        <v>167</v>
      </c>
      <c r="AI3" s="59" t="s">
        <v>164</v>
      </c>
      <c r="AJ3" s="59" t="s">
        <v>164</v>
      </c>
      <c r="AK3" s="59" t="s">
        <v>164</v>
      </c>
      <c r="AL3" s="59" t="s">
        <v>164</v>
      </c>
      <c r="AM3" s="59" t="s">
        <v>164</v>
      </c>
      <c r="AN3" s="59" t="s">
        <v>164</v>
      </c>
      <c r="AO3" s="59" t="s">
        <v>164</v>
      </c>
      <c r="AP3" s="59" t="s">
        <v>164</v>
      </c>
      <c r="AQ3" s="59" t="s">
        <v>164</v>
      </c>
      <c r="AR3" s="59" t="s">
        <v>164</v>
      </c>
      <c r="AS3" s="59" t="s">
        <v>164</v>
      </c>
      <c r="AT3" s="60">
        <v>0</v>
      </c>
      <c r="AU3" s="59" t="s">
        <v>171</v>
      </c>
      <c r="AV3" s="59" t="str">
        <f>IF(LEFT(A3,1)="[",LEFT(A3,5)&amp;AU3&amp;A3,"")</f>
        <v>[GHA]Capital City[GHA] Accra</v>
      </c>
      <c r="AW3" s="59" t="str">
        <f t="shared" si="0"/>
        <v>[GHA] Accra</v>
      </c>
      <c r="AX3" s="61"/>
      <c r="AY3" s="61"/>
      <c r="AZ3" s="62" t="s">
        <v>172</v>
      </c>
      <c r="BA3" s="62" t="s">
        <v>172</v>
      </c>
      <c r="BB3" s="62"/>
      <c r="BC3" s="63"/>
      <c r="BD3" s="64" t="s">
        <v>153</v>
      </c>
      <c r="BE3" s="47"/>
      <c r="BF3" s="64" t="s">
        <v>172</v>
      </c>
      <c r="BG3" s="64" t="s">
        <v>172</v>
      </c>
      <c r="BH3" s="64" t="s">
        <v>172</v>
      </c>
      <c r="BI3" s="64"/>
      <c r="BJ3" s="64"/>
      <c r="BK3" s="47"/>
      <c r="BL3" s="64" t="s">
        <v>172</v>
      </c>
      <c r="BM3" s="64" t="s">
        <v>152</v>
      </c>
      <c r="BN3" s="64" t="s">
        <v>153</v>
      </c>
      <c r="BO3" s="64" t="s">
        <v>172</v>
      </c>
      <c r="BP3" s="64" t="s">
        <v>155</v>
      </c>
      <c r="BQ3" s="64" t="s">
        <v>172</v>
      </c>
      <c r="BR3" s="64" t="s">
        <v>157</v>
      </c>
      <c r="BS3" s="64" t="s">
        <v>172</v>
      </c>
      <c r="BT3" s="64" t="s">
        <v>159</v>
      </c>
      <c r="BU3" s="65"/>
      <c r="BV3" s="66"/>
      <c r="BW3" s="66">
        <v>0</v>
      </c>
      <c r="BX3" s="47"/>
      <c r="CB3" s="6"/>
      <c r="CC3" s="6"/>
      <c r="CD3" s="67">
        <v>0</v>
      </c>
      <c r="CE3" s="67">
        <v>0</v>
      </c>
      <c r="CF3" s="67" t="e">
        <v>#REF!</v>
      </c>
      <c r="CG3" s="68" cm="1">
        <f t="array" ref="CG3">SUMPRODUCT(--(LEN(TRIM(BL3:BT3))&gt;0))</f>
        <v>5</v>
      </c>
      <c r="CH3" s="59" t="str">
        <f>IF(CG3=2,"y","n")</f>
        <v>n</v>
      </c>
      <c r="CI3" s="59" t="str">
        <f>IF(CG3=3,"y","n")</f>
        <v>n</v>
      </c>
      <c r="CJ3" s="59" t="str">
        <f>IF(CG3=4,"y","n")</f>
        <v>n</v>
      </c>
      <c r="CK3" s="59" t="str">
        <f>IF(CG3&gt;4,"y","n")</f>
        <v>y</v>
      </c>
      <c r="CL3" s="59" t="str">
        <f>IF(S3=0,"y","n")</f>
        <v>y</v>
      </c>
      <c r="CM3" s="59" t="str">
        <f>IF(S3=2,"y","n")</f>
        <v>n</v>
      </c>
      <c r="CN3" s="59" t="str">
        <f>IF(S3=3,"y","n")</f>
        <v>n</v>
      </c>
      <c r="CO3" s="59" t="str">
        <f>IF(S3&gt;=4,"y","n")</f>
        <v>n</v>
      </c>
      <c r="CP3" s="59" t="str">
        <f>IF(AT3=0,"y","n")</f>
        <v>y</v>
      </c>
      <c r="CQ3" s="59" t="str">
        <f>IF(AT3=1,"y","n")</f>
        <v>n</v>
      </c>
      <c r="CR3" s="59" t="str">
        <f>IF(AT3=2,"y","n")</f>
        <v>n</v>
      </c>
      <c r="CS3" s="59" t="str">
        <f>IF(AT3&gt;=3,"y","n")</f>
        <v>n</v>
      </c>
      <c r="CT3" s="69" t="str">
        <f>CHAR(34)&amp;A3&amp;CHAR(34)</f>
        <v>"[GHA] Accra"</v>
      </c>
      <c r="CU3" s="70" t="str">
        <f>CHAR(34)&amp;"rgn_"&amp;R3&amp;CHAR(34)</f>
        <v>"rgn_Africa"</v>
      </c>
      <c r="CV3" s="48" t="str">
        <f>CHAR(34)&amp;D3&amp;CHAR(34)</f>
        <v>"https://upload.wikimedia.org/wikipedia/commons/thumb/c/cd/Flag_of_Accra.svg/320px-Flag_of_Accra.svg.png"</v>
      </c>
      <c r="CW3" s="48" t="str">
        <f>IF(CH3="y",CHAR(34)&amp;CH$1&amp;CHAR(34)&amp;",","")</f>
        <v/>
      </c>
      <c r="CX3" s="48" t="str">
        <f>IF(CI3="y",CHAR(34)&amp;CI$1&amp;CHAR(34)&amp;",","")</f>
        <v/>
      </c>
      <c r="CY3" s="48" t="str">
        <f>IF(CJ3="y",CHAR(34)&amp;CJ$1&amp;CHAR(34)&amp;",","")</f>
        <v/>
      </c>
      <c r="CZ3" s="48" t="str">
        <f>IF(CK3="y",CHAR(34)&amp;CK$1&amp;CHAR(34)&amp;",","")</f>
        <v>"5+Colo",</v>
      </c>
      <c r="DA3" s="48" t="str">
        <f>IF(Q3&gt;1,CHAR(34)&amp;"words2"&amp;CHAR(34)&amp;",","")</f>
        <v/>
      </c>
      <c r="DB3" s="48" t="str">
        <f>IF(Q3&gt;2,CHAR(34)&amp;"words3"&amp;CHAR(34)&amp;",","")</f>
        <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"lets05",</v>
      </c>
      <c r="DE3" s="48" t="str">
        <f>CHAR(34)&amp;"start"&amp;IFERROR(LEFT(SUBSTITUTE(A3,"["&amp;MID(A3,FIND("[",A3)+1,FIND("]",A3)-FIND("[",A3)-1)&amp;"] ",""),1),LEFT(A3,1))&amp;CHAR(34)&amp;","</f>
        <v>"startA",</v>
      </c>
      <c r="DF3" s="48" t="str">
        <f>IFERROR(IF(SEARCH("tan",A3)&gt;0,CHAR(34)&amp;"withtn"&amp;CHAR(34)&amp;",",""),"")</f>
        <v/>
      </c>
      <c r="DG3" s="48" t="str">
        <f>IFERROR(IF(SEARCH("q",A3)&gt;0,CHAR(34)&amp;"with_q"&amp;CHAR(34)&amp;",",""),"")</f>
        <v/>
      </c>
      <c r="DH3" s="48" t="str">
        <f>IFERROR(IF(SEARCH("v",A3)&gt;0,CHAR(34)&amp;"with_v"&amp;CHAR(34)&amp;",",""),"")</f>
        <v/>
      </c>
      <c r="DI3" s="48" t="str">
        <f>IFERROR(IF(SEARCH("w",A3)&gt;0,CHAR(34)&amp;"with_w"&amp;CHAR(34)&amp;",",""),"")</f>
        <v/>
      </c>
      <c r="DJ3" s="48" t="str">
        <f>IFERROR(IF(SEARCH("y",A3)&gt;0,CHAR(34)&amp;"with_y"&amp;CHAR(34)&amp;",",""),"")</f>
        <v/>
      </c>
      <c r="DK3" s="48" t="str">
        <f>IFERROR(IF(SEARCH("z",A3)&gt;0,CHAR(34)&amp;"with_z"&amp;CHAR(34)&amp;",",""),"")</f>
        <v/>
      </c>
      <c r="DL3" s="48" t="str">
        <f>IF(CG3=2, CHAR(34) &amp; _xlfn.TEXTJOIN("", TRUE, _xlfn._xlws.SORT(HP3:HX3)) &amp; CHAR(34) &amp; ",", "")</f>
        <v/>
      </c>
      <c r="DM3" s="48" t="str" cm="1">
        <f t="array" ref="DM3">IF(CG3=3,CHAR(34) &amp; _xlfn.TEXTJOIN("", TRUE, RIGHT(HP3:HX3, 2)) &amp; CHAR(34) &amp; ",", "")</f>
        <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
      </c>
      <c r="DP3" s="6" t="str">
        <f>IF(AND(ISNUMBER(SEARCH("20", O3)), ISERROR(SEARCH("1920", O3))), CHAR(34)&amp;"year00"&amp;CHAR(34)&amp;",", "")</f>
        <v/>
      </c>
      <c r="DQ3" s="6" t="str">
        <f>IF(CC3="y",CHAR(34)&amp;"soviet"&amp;CHAR(34)&amp;",","")</f>
        <v/>
      </c>
      <c r="DR3" s="6" t="str">
        <f>IF(BY3="y",CHAR(34)&amp;"dgband"&amp;CHAR(34)&amp;",","")</f>
        <v/>
      </c>
      <c r="DS3" s="6" t="str">
        <f>IF(W3="y",IF(AND(V3="n",BY3&lt;&gt;"y"),CHAR(34)&amp;"allver"&amp;CHAR(34)&amp;",",""),"")</f>
        <v/>
      </c>
      <c r="DT3" s="6" t="str">
        <f>IF(V3="y",IF(AND(W3="n",BY3&lt;&gt;"y"),CHAR(34)&amp;"allhor"&amp;CHAR(34)&amp;",",""),"")</f>
        <v/>
      </c>
      <c r="DU3" s="6" t="str">
        <f>IF(BY3="y",IF(AND(W3="n",V3="n"),CHAR(34)&amp;"alldia"&amp;CHAR(34)&amp;",",""),"")</f>
        <v/>
      </c>
      <c r="DW3" s="48" t="str">
        <f>IF(CL3="y",CHAR(34)&amp;CL$1&amp;CHAR(34)&amp;",","")</f>
        <v>"NoBand",</v>
      </c>
      <c r="DX3" s="48" t="str">
        <f>IF(CM3="y",CHAR(34)&amp;CM$1&amp;CHAR(34)&amp;",","")</f>
        <v/>
      </c>
      <c r="DY3" s="48" t="str">
        <f>IF(CN3="y",CHAR(34)&amp;CN$1&amp;CHAR(34)&amp;",","")</f>
        <v/>
      </c>
      <c r="DZ3" s="48" t="str">
        <f>IF(CO3="y",CHAR(34)&amp;CO$1&amp;CHAR(34)&amp;",","")</f>
        <v/>
      </c>
      <c r="EA3" s="48" t="str">
        <f>IF(T3="y",CHAR(34)&amp;T$1&amp;CHAR(34)&amp;",","")</f>
        <v/>
      </c>
      <c r="EB3" s="48" t="str">
        <f>IF(U3="y",CHAR(34)&amp;U$1&amp;CHAR(34)&amp;",","")</f>
        <v/>
      </c>
      <c r="EC3" s="48" t="str">
        <f>IF(V3="y",CHAR(34)&amp;V$1&amp;CHAR(34)&amp;",","")</f>
        <v/>
      </c>
      <c r="ED3" s="48" t="str">
        <f>IF(W3="y",CHAR(34)&amp;W$1&amp;CHAR(34)&amp;",","")</f>
        <v/>
      </c>
      <c r="EE3" s="48" t="str">
        <f>IF(X3="y",CHAR(34)&amp;X$1&amp;CHAR(34)&amp;",","")</f>
        <v>"Circle",</v>
      </c>
      <c r="EF3" s="48" t="str">
        <f>IF(AND(Y3&lt;&gt;"n",Y3&lt;&gt;""),CHAR(34)&amp;Y$1&amp;CHAR(34)&amp;",","")</f>
        <v/>
      </c>
      <c r="EG3" s="48" t="str">
        <f>IF(Z3="y",CHAR(34)&amp;Z$1&amp;CHAR(34)&amp;",","")</f>
        <v/>
      </c>
      <c r="EH3" s="48" t="str">
        <f>IF(AA3="y",CHAR(34)&amp;AA$1&amp;CHAR(34)&amp;",","")</f>
        <v>"Plants",</v>
      </c>
      <c r="EI3" s="48" t="str">
        <f>IF(AB3="y",CHAR(34)&amp;AB$1&amp;CHAR(34)&amp;",","")</f>
        <v>"Texted",</v>
      </c>
      <c r="EJ3" s="48" t="str">
        <f>IF(AC3="y",CHAR(34)&amp;AC$1&amp;CHAR(34)&amp;",","")</f>
        <v/>
      </c>
      <c r="EK3" s="48" t="str">
        <f>IF(AD3="y",CHAR(34)&amp;AD$1&amp;CHAR(34)&amp;",","")</f>
        <v/>
      </c>
      <c r="EL3" s="48" t="str">
        <f>IF(AE3="y",CHAR(34)&amp;AE$1&amp;CHAR(34)&amp;",","")</f>
        <v/>
      </c>
      <c r="EM3" s="48" t="str">
        <f>IF(AF3="y",CHAR(34)&amp;AF$1&amp;CHAR(34)&amp;",","")</f>
        <v/>
      </c>
      <c r="EN3" s="48" t="str">
        <f>IF(AG3="y",CHAR(34)&amp;AG$1&amp;CHAR(34)&amp;",","")</f>
        <v/>
      </c>
      <c r="EO3" s="48" t="str">
        <f>IF(AH3="y",CHAR(34)&amp;AH$1&amp;CHAR(34)&amp;",","")</f>
        <v>"Center",</v>
      </c>
      <c r="EP3" s="48" t="str">
        <f>IF(AI3="y",CHAR(34)&amp;AI$1&amp;CHAR(34)&amp;",","")</f>
        <v/>
      </c>
      <c r="EQ3" s="48" t="str">
        <f>IF(AJ3="y",CHAR(34)&amp;AJ$1&amp;CHAR(34)&amp;",","")</f>
        <v/>
      </c>
      <c r="ER3" s="48" t="str">
        <f>IF(AK3="y",CHAR(34)&amp;AK$1&amp;CHAR(34)&amp;",","")</f>
        <v/>
      </c>
      <c r="ES3" s="48" t="str">
        <f>IF(AL3="y",CHAR(34)&amp;AL$1&amp;CHAR(34)&amp;",","")</f>
        <v/>
      </c>
      <c r="ET3" s="48" t="str">
        <f>IF(AM3="y",CHAR(34)&amp;AM$1&amp;CHAR(34)&amp;",","")</f>
        <v/>
      </c>
      <c r="EU3" s="48" t="str">
        <f>IF(AN3="y",CHAR(34)&amp;AN$1&amp;CHAR(34)&amp;",","")</f>
        <v/>
      </c>
      <c r="EV3" s="48" t="str">
        <f>IF(AO3="y",CHAR(34)&amp;AO$1&amp;CHAR(34)&amp;",","")</f>
        <v/>
      </c>
      <c r="EW3" s="48" t="str">
        <f>IF(AP3="y",CHAR(34)&amp;AP$1&amp;CHAR(34)&amp;",","")</f>
        <v/>
      </c>
      <c r="EX3" s="48" t="str">
        <f>IF(AQ3="y",CHAR(34)&amp;AQ$1&amp;CHAR(34)&amp;",","")</f>
        <v/>
      </c>
      <c r="EY3" s="48" t="str">
        <f>IF(AR3="y",CHAR(34)&amp;AR$1&amp;CHAR(34)&amp;",","")</f>
        <v/>
      </c>
      <c r="EZ3" s="48" t="str">
        <f>IF(AS3="y",CHAR(34)&amp;AS$1&amp;CHAR(34)&amp;",","")</f>
        <v/>
      </c>
      <c r="FA3" s="48" t="str">
        <f>IF(AT3&gt;0,CHAR(34)&amp;"sta"&amp;AZ3&amp;CHAR(34)&amp;",","")</f>
        <v/>
      </c>
      <c r="FB3" s="48" t="str">
        <f>IF(AND(AT3&gt;0,BA3&lt;&gt;""),CHAR(34)&amp;"sta"&amp;BA3&amp;CHAR(34)&amp;",","")</f>
        <v/>
      </c>
      <c r="FD3" s="48" t="str">
        <f>IF(BV3="n",CHAR(34)&amp;"tcWHYE"&amp;CHAR(34)&amp;",",IF(BV3="y",CHAR(34)&amp;FD$1&amp;CHAR(34)&amp;",",""))</f>
        <v/>
      </c>
      <c r="FE3" s="48" t="str">
        <f>IF(COUNTIF(BL3:BT3,"BLU")=0,CHAR(34)&amp;"NO_BLU"&amp;CHAR(34)&amp;",", "")</f>
        <v/>
      </c>
      <c r="FF3" s="48" t="str">
        <f>IF(COUNTIF(BL3:BT3,"WHI")=0,CHAR(34)&amp;"NO_WHI"&amp;CHAR(34)&amp;",", "")</f>
        <v/>
      </c>
      <c r="FG3" s="48" t="str">
        <f>IF(COUNTIF(BL3:BT3,"RED")=0,CHAR(34)&amp;"NO_RED"&amp;CHAR(34)&amp;",", "")</f>
        <v>"NO_RED",</v>
      </c>
      <c r="FH3" s="48" t="str">
        <f>IF(COUNTIF(BL3:BS3,"GRE")=0,CHAR(34)&amp;"NO_GRE"&amp;CHAR(34)&amp;",", "")</f>
        <v/>
      </c>
      <c r="FI3" s="48" t="str">
        <f>IF(COUNTIF(BL3:BT3,"YEL")=0,CHAR(34)&amp;"NO_YEL"&amp;CHAR(34)&amp;",", "")</f>
        <v/>
      </c>
      <c r="FJ3" s="48" t="str">
        <f>IF(COUNTIF(BL3:BT3,"BLA")=0,CHAR(34)&amp;"NO_BLA"&amp;CHAR(34)&amp;",", "")</f>
        <v>"NO_BLA",</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
      </c>
      <c r="FQ3" s="48" t="str">
        <f>IF(LEN(BF3)=3,CHAR(34)&amp;"001"&amp;BF3&amp;CHAR(34)&amp;",","")</f>
        <v/>
      </c>
      <c r="FR3" s="48" t="str">
        <f>IF(LEN(BG3)=3,CHAR(34)&amp;"002"&amp;BG3&amp;CHAR(34)&amp;",","")</f>
        <v/>
      </c>
      <c r="FS3" s="48" t="str">
        <f>IF(LEN(BH3)=3,CHAR(34)&amp;"003"&amp;BH3&amp;CHAR(34)&amp;",","")</f>
        <v/>
      </c>
      <c r="FT3" s="48" t="str">
        <f>CHAR(34)&amp;"myr"&amp;BD3&amp;CHAR(34)&amp;","</f>
        <v>"myrGRE",</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
      </c>
      <c r="GG3" s="48" t="str">
        <f>IF(BU3="y",CHAR(34)&amp;"unjack"&amp;CHAR(34)&amp;",","")</f>
        <v/>
      </c>
      <c r="GH3" s="48" t="str">
        <f>IF(CD3=1,CHAR(34)&amp;"southc"&amp;CHAR(34)&amp;",","")</f>
        <v/>
      </c>
      <c r="GI3" s="48" t="str">
        <f>IF(CE3=1,CHAR(34)&amp;"hasmap"&amp;CHAR(34)&amp;",","")</f>
        <v/>
      </c>
      <c r="GJ3" s="48" t="str">
        <f>IF(CP3="y",CHAR(34)&amp;CP$1&amp;CHAR(34)&amp;",","")</f>
        <v>"NoStar",</v>
      </c>
      <c r="GK3" s="48" t="str">
        <f>IF(GJ3="",CHAR(34)&amp;"HasSta"&amp;CHAR(34)&amp;",","")</f>
        <v/>
      </c>
      <c r="GL3" s="48" t="str">
        <f>IF(CQ3="y",CHAR(34)&amp;CQ$1&amp;CHAR(34)&amp;",","")</f>
        <v/>
      </c>
      <c r="GM3" s="48" t="str">
        <f>IF(CR3="y",CHAR(34)&amp;CR$1&amp;CHAR(34)&amp;",","")</f>
        <v/>
      </c>
      <c r="GN3" s="48" t="str">
        <f>IF(CS3="y",CHAR(34)&amp;CS$1&amp;CHAR(34)&amp;",","")</f>
        <v/>
      </c>
      <c r="GP3" s="48" t="str">
        <f>CHAR(34)&amp;AU3&amp;CHAR(34)</f>
        <v>"Capital City"</v>
      </c>
      <c r="GS3" s="48" t="str">
        <f>SUBSTITUTE("["&amp;_xlfn.CONCAT(CW3:GN3)&amp;"]",",]","]")</f>
        <v>["5+Colo","lets05","startA","NoBand","Circle","Plants","Texted","Center","NO_RED","NO_BLA","myrGRE","NoStar"]</v>
      </c>
      <c r="GT3" s="48" t="str">
        <f>IF(BL3&lt;&gt;"",CHAR(34)&amp;"cl_"&amp;BL3&amp;CHAR(34)&amp;",","")</f>
        <v/>
      </c>
      <c r="GU3" s="48" t="str">
        <f>IF(BM3&lt;&gt;"",CHAR(34)&amp;"cl_"&amp;BM3&amp;CHAR(34)&amp;",","")</f>
        <v>"cl_BLU",</v>
      </c>
      <c r="GV3" s="48" t="str">
        <f>IF(BN3&lt;&gt;"",CHAR(34)&amp;"cl_"&amp;BN3&amp;CHAR(34)&amp;",","")</f>
        <v>"cl_GRE",</v>
      </c>
      <c r="GW3" s="48" t="str">
        <f>IF(BO3&lt;&gt;"",CHAR(34)&amp;"cl_"&amp;BO3&amp;CHAR(34)&amp;",","")</f>
        <v/>
      </c>
      <c r="GX3" s="48" t="str">
        <f>IF(BP3&lt;&gt;"",CHAR(34)&amp;"cl_"&amp;BP3&amp;CHAR(34)&amp;",","")</f>
        <v>"cl_YEL",</v>
      </c>
      <c r="GY3" s="48" t="str">
        <f>IF(BQ3&lt;&gt;"",CHAR(34)&amp;"cl_"&amp;BQ3&amp;CHAR(34)&amp;",","")</f>
        <v/>
      </c>
      <c r="GZ3" s="48" t="str">
        <f>IF(BR3&lt;&gt;"",CHAR(34)&amp;"cl_"&amp;BR3&amp;CHAR(34)&amp;",","")</f>
        <v>"cl_BRO",</v>
      </c>
      <c r="HA3" s="48" t="str">
        <f>IF(BS3&lt;&gt;"",CHAR(34)&amp;"cl_"&amp;BS3&amp;CHAR(34)&amp;",","")</f>
        <v/>
      </c>
      <c r="HB3" s="48" t="str">
        <f>IF(BT3&lt;&gt;"",CHAR(34)&amp;"cl_"&amp;BT3&amp;CHAR(34)&amp;",","")</f>
        <v>"cl_WHI",</v>
      </c>
      <c r="HC3" s="48" t="str">
        <f>SUBSTITUTE("["&amp;_xlfn.CONCAT(GT3:HB3)&amp;"]",",]","]")</f>
        <v>["cl_BLU","cl_GRE","cl_YEL","cl_BRO","cl_WHI"]</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{couname:"[GHA] Accra",year:"???",region:"rgn_Africa",Colors:["cl_BLU","cl_GRE","cl_YEL","cl_BRO","cl_WHI"],Items:["5+Colo","lets05","startA","NoBand","Circle","Plants","Texted","Center","NO_RED","NO_BLA","myrGRE","NoStar"],Flag:"https://upload.wikimedia.org/wikipedia/commons/thumb/c/cd/Flag_of_Accra.svg/320px-Flag_of_Accra.svg.png",HDFlag:"https://upload.wikimedia.org/wikipedia/commons/thumb/c/cd/Flag_of_Accra.svg/800px-Flag_of_Accra.svg.png",type:"Capital City", describe: "\nThe flag consists of the seal of Accra superimposed in the center on a green field. The coat of arms seems to be a full achievement of arms, with blue and white mantling, a branch of peaches for crest, and a white scroll reading 'GA SƐ GBƐ DZI GBƐ'. The shield seems to be Argent two flames and on a pale azure is a palm tree Proper and on a chief Sable a representation of the city skyline Or.", isnew:".", links: "https://www.crwflags.com/fotw/flags/gh-accra.html"},</v>
      </c>
      <c r="HG3" s="73" t="str">
        <f>"{couname:"&amp;CT3&amp;(IF(HK3&lt;&gt;"",",subtype:"&amp;CHAR(34)&amp;HK3&amp;CHAR(34),""))&amp;",year:"&amp;HJ3&amp;",region:"&amp;CU3&amp;",Colors:"&amp;HC3&amp;",Items:"&amp;GS3&amp;",Flag:"&amp;CV3&amp;",HDFlag:"&amp;CHAR(34)&amp;E3&amp;CHAR(34)&amp;",type:"&amp;GP3&amp;", describe: "&amp;HI3&amp;", links: "&amp;HL3&amp;"},"</f>
        <v>{couname:"[GHA] Accra",year:"???",region:"rgn_Africa",Colors:["cl_BLU","cl_GRE","cl_YEL","cl_BRO","cl_WHI"],Items:["5+Colo","lets05","startA","NoBand","Circle","Plants","Texted","Center","NO_RED","NO_BLA","myrGRE","NoStar"],Flag:"https://upload.wikimedia.org/wikipedia/commons/thumb/c/cd/Flag_of_Accra.svg/320px-Flag_of_Accra.svg.png",HDFlag:"https://upload.wikimedia.org/wikipedia/commons/thumb/c/cd/Flag_of_Accra.svg/800px-Flag_of_Accra.svg.png",type:"Capital City", describe: "\nThe flag consists of the seal of Accra superimposed in the center on a green field. The coat of arms seems to be a full achievement of arms, with blue and white mantling, a branch of peaches for crest, and a white scroll reading 'GA SƐ GBƐ DZI GBƐ'. The shield seems to be Argent two flames and on a pale azure is a palm tree Proper and on a chief Sable a representation of the city skyline Or.", links: "https://www.crwflags.com/fotw/flags/gh-accra.html"},</v>
      </c>
      <c r="HH3" s="48" t="str">
        <f>IF(P3&lt;&gt;"",CHAR(34)&amp;"\n"&amp;P3&amp;CHAR(34),CHAR(34)&amp;CHAR(34))</f>
        <v>"\nThe flag consists of the seal of Accra superimposed in the center on a green field. The coat of arms seems to be a full achievement of arms, with blue and white mantling, a branch of peaches for crest, and a white scroll reading 'GA SƐ GBƐ DZI GBƐ'. The shield seems to be Argent two flames and on a pale azure is a palm tree Proper and on a chief Sable a representation of the city skyline Or."</v>
      </c>
      <c r="HI3" s="48" t="str">
        <f>IF(J3=0,CHAR(34)&amp;CHAR(34),HH3)</f>
        <v>"\nThe flag consists of the seal of Accra superimposed in the center on a green field. The coat of arms seems to be a full achievement of arms, with blue and white mantling, a branch of peaches for crest, and a white scroll reading 'GA SƐ GBƐ DZI GBƐ'. The shield seems to be Argent two flames and on a pale azure is a palm tree Proper and on a chief Sable a representation of the city skyline Or."</v>
      </c>
      <c r="HJ3" s="48" t="str">
        <f>CHAR(34)&amp;O3&amp;CHAR(34)</f>
        <v>"???"</v>
      </c>
      <c r="HL3" s="48" t="str">
        <f>CHAR(34)&amp;I3&amp;CHAR(34)</f>
        <v>"https://www.crwflags.com/fotw/flags/gh-accra.html"</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{"couname":"[GHA] Accra","year":"???","region":"rgn_Africa","Colors":["cl_BLU","cl_GRE","cl_YEL","cl_BRO","cl_WHI"],"Items":["5+Colo","lets05","startA","NoBand","Circle","Plants","Texted","Center","NO_RED","NO_BLA","myrGRE","NoStar"],"Flag":"https://upload.wikimedia.org/wikipedia/commons/thumb/c/cd/Flag_of_Accra.svg/320px-Flag_of_Accra.svg.png","HDFlag":"https://upload.wikimedia.org/wikipedia/commons/thumb/c/cd/Flag_of_Accra.svg/800px-Flag_of_Accra.svg.png","type":"Capital City", "describe": "\nThe flag consists of the seal of Accra superimposed in the center on a green field. The coat of arms seems to be a full achievement of arms, with blue and white mantling, a branch of peaches for crest, and a white scroll reading 'GA SƐ GBƐ DZI GBƐ'. The shield seems to be Argent two flames and on a pale azure is a palm tree Proper and on a chief Sable a representation of the city skyline Or.", "isnew": ".", "links": "https://www.crwflags.com/fotw/flags/gh-accra.html"},</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{"couname":"[GHA] Accra","year":"???","region":"rgn_Africa","Colors":["cl_BLU","cl_GRE","cl_YEL","cl_BRO","cl_WHI"],"Items":["5+Colo","lets05","startA","NoBand","Circle","Plants","Texted","Center","NO_RED","NO_BLA","myrGRE","NoStar"],"Flag":"https://upload.wikimedia.org/wikipedia/commons/thumb/c/cd/Flag_of_Accra.svg/320px-Flag_of_Accra.svg.png","HDFlag":"https://upload.wikimedia.org/wikipedia/commons/thumb/c/cd/Flag_of_Accra.svg/800px-Flag_of_Accra.svg.png","type":"Capital City", "describe": "\nThe flag consists of the seal of Accra superimposed in the center on a green field. The coat of arms seems to be a full achievement of arms, with blue and white mantling, a branch of peaches for crest, and a white scroll reading 'GA SƐ GBƐ DZI GBƐ'. The shield seems to be Argent two flames and on a pale azure is a palm tree Proper and on a chief Sable a representation of the city skyline Or.", "isnew": ".", "links": "https://www.crwflags.com/fotw/flags/gh-accra.html"},</v>
      </c>
      <c r="HO3" s="75">
        <v>45610</v>
      </c>
      <c r="HP3" s="48" t="str" cm="1">
        <f t="array" ref="HP3">IF(_xlfn.TEXTJOIN(", ", TRUE, IF(ISNUMBER(SEARCH("BLA", BL3:BT3)), COLUMN(BL3:BT3) - COLUMN(BL3) + 1, ""))&lt;&gt;"","BLA","")</f>
        <v/>
      </c>
      <c r="HQ3" s="48" t="str" cm="1">
        <f t="array" ref="HQ3">IF(_xlfn.TEXTJOIN(", ", TRUE, IF(ISNUMBER(SEARCH("BLU", BL3:BT3)), COLUMN(BL3:BT3) - COLUMN(BL3) + 1, ""))&lt;&gt;"","BLU","")</f>
        <v>BLU</v>
      </c>
      <c r="HR3" s="48" t="str" cm="1">
        <f t="array" ref="HR3">IF(_xlfn.TEXTJOIN(", ", TRUE, IF(ISNUMBER(SEARCH("GRE", BL3:BT3)), COLUMN(BL3:BT3) - COLUMN(BL3) + 1, ""))&lt;&gt;"","GRE","")</f>
        <v>GRE</v>
      </c>
      <c r="HS3" s="48" t="str" cm="1">
        <f t="array" ref="HS3">IF(_xlfn.TEXTJOIN(", ", TRUE, IF(ISNUMBER(SEARCH("RED", BL3:BT3)), COLUMN(BL3:BT3) - COLUMN(BL3) + 1, ""))&lt;&gt;"","RED","")</f>
        <v/>
      </c>
      <c r="HT3" s="48" t="str" cm="1">
        <f t="array" ref="HT3">IF(_xlfn.TEXTJOIN(", ", TRUE, IF(ISNUMBER(SEARCH("YEL", BL3:BT3)), COLUMN(BL3:BT3) - COLUMN(BL3) + 1, ""))&lt;&gt;"","YEL","")</f>
        <v>YEL</v>
      </c>
      <c r="HU3" s="48" t="str" cm="1">
        <f t="array" ref="HU3">IF(_xlfn.TEXTJOIN(", ", TRUE, IF(ISNUMBER(SEARCH("ORA", BL3:BT3)), COLUMN(BL3:BT3) - COLUMN(BL3) + 1, ""))&lt;&gt;"","ORA","")</f>
        <v/>
      </c>
      <c r="HV3" s="48" t="str" cm="1">
        <f t="array" ref="HV3">IF(_xlfn.TEXTJOIN(", ", TRUE, IF(ISNUMBER(SEARCH("BRO", BL3:BT3)), COLUMN(BL3:BT3) - COLUMN(BL3) + 1, ""))&lt;&gt;"","BRO","")</f>
        <v>BRO</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M3" s="45">
        <f>COUNTIF(IC3:IK3,"&gt;0")-CG3</f>
        <v>-5</v>
      </c>
      <c r="IN3" s="78" t="str">
        <f>"http://mkweb.bcgsc.ca/color-summarizer/?url="&amp;D3&amp;"&amp;precision=low&amp;num_clusters="&amp;CG3&amp;"&amp;text=1"</f>
        <v>http://mkweb.bcgsc.ca/color-summarizer/?url=https://upload.wikimedia.org/wikipedia/commons/thumb/c/cd/Flag_of_Accra.svg/320px-Flag_of_Accra.svg.png&amp;precision=low&amp;num_clusters=5&amp;text=1</v>
      </c>
      <c r="IO3" s="48" t="str">
        <f>IF(HP3&lt;&gt;"",CHAR(34)&amp;"black"&amp;CHAR(34),"")</f>
        <v/>
      </c>
      <c r="IP3" s="48" t="str">
        <f>IF(HQ3&lt;&gt;"",CHAR(34)&amp;"blue"&amp;CHAR(34),"")</f>
        <v>"blue"</v>
      </c>
      <c r="IQ3" s="48" t="str">
        <f>IF(HR3&lt;&gt;"",CHAR(34)&amp;"green"&amp;CHAR(34),"")</f>
        <v>"green"</v>
      </c>
      <c r="IR3" s="48" t="str">
        <f>IF(HS3&lt;&gt;"",CHAR(34)&amp;"red"&amp;CHAR(34),"")</f>
        <v/>
      </c>
      <c r="IS3" s="48" t="str">
        <f>IF(HT3&lt;&gt;"",CHAR(34)&amp;"yellow"&amp;CHAR(34),"")</f>
        <v>"yellow"</v>
      </c>
      <c r="IT3" s="48" t="str">
        <f>IF(HU3&lt;&gt;"",CHAR(34)&amp;"orange"&amp;CHAR(34),"")</f>
        <v/>
      </c>
      <c r="IU3" s="48" t="str">
        <f>IF(HV3&lt;&gt;"",CHAR(34)&amp;"brown"&amp;CHAR(34),"")</f>
        <v>"brown"</v>
      </c>
      <c r="IV3" s="48" t="str">
        <f>IF(HW3&lt;&gt;"",CHAR(34)&amp;"purple"&amp;CHAR(34),"")</f>
        <v/>
      </c>
      <c r="IW3" s="48" t="str">
        <f>IF(HX3&lt;&gt;"",CHAR(34)&amp;"white"&amp;CHAR(34),"")</f>
        <v>"white"</v>
      </c>
      <c r="IX3" s="48" t="str">
        <f>"{"&amp;CHAR(34)&amp;"url"&amp;CHAR(34)&amp;":"&amp;CHAR(34)&amp;IN3&amp;CHAR(34)&amp;","&amp;CHAR(34)&amp;"name"&amp;CHAR(34)&amp;":"&amp;CHAR(34)&amp;A3&amp;CHAR(34)&amp;"},"</f>
        <v>{"url":"http://mkweb.bcgsc.ca/color-summarizer/?url=https://upload.wikimedia.org/wikipedia/commons/thumb/c/cd/Flag_of_Accra.svg/320px-Flag_of_Accra.svg.png&amp;precision=low&amp;num_clusters=5&amp;text=1","name":"[GHA] Accra"},</v>
      </c>
      <c r="IY3" s="48">
        <v>1300</v>
      </c>
    </row>
    <row r="4" spans="1:259" ht="38.4" customHeight="1" x14ac:dyDescent="0.3">
      <c r="F4" s="82"/>
      <c r="G4" s="82"/>
      <c r="H4" s="82"/>
      <c r="I4" s="82"/>
      <c r="J4" s="82"/>
      <c r="K4" s="82"/>
    </row>
    <row r="5" spans="1:259" ht="38.4" customHeight="1" x14ac:dyDescent="0.3">
      <c r="F5" s="82"/>
      <c r="G5" s="82"/>
      <c r="H5" s="82"/>
      <c r="I5" s="82"/>
      <c r="J5" s="82"/>
      <c r="K5" s="82"/>
    </row>
    <row r="6" spans="1:259" ht="38.4" customHeight="1" x14ac:dyDescent="0.3">
      <c r="F6" s="82"/>
      <c r="G6" s="82"/>
      <c r="H6" s="82"/>
      <c r="I6" s="82"/>
      <c r="J6" s="82"/>
      <c r="K6" s="82"/>
    </row>
  </sheetData>
  <autoFilter ref="A1:IY1" xr:uid="{A1051193-A95B-4CFB-A73C-F0184620C81F}">
    <sortState xmlns:xlrd2="http://schemas.microsoft.com/office/spreadsheetml/2017/richdata2" ref="A2:IY5">
      <sortCondition ref="AW1"/>
    </sortState>
  </autoFilter>
  <conditionalFormatting sqref="H1 CW1:GS1 IA1:IB1">
    <cfRule type="cellIs" dxfId="4250" priority="118" operator="greaterThan">
      <formula>0</formula>
    </cfRule>
  </conditionalFormatting>
  <conditionalFormatting sqref="H1 H7:H1048576">
    <cfRule type="cellIs" dxfId="4249" priority="84" stopIfTrue="1" operator="notEqual">
      <formula>""</formula>
    </cfRule>
  </conditionalFormatting>
  <conditionalFormatting sqref="T1:BK1">
    <cfRule type="cellIs" dxfId="4248" priority="121" operator="greaterThan">
      <formula>0</formula>
    </cfRule>
  </conditionalFormatting>
  <conditionalFormatting sqref="BV1:BW1 BV4:BW1048576">
    <cfRule type="cellIs" dxfId="4247" priority="120" operator="equal">
      <formula>"nc"</formula>
    </cfRule>
  </conditionalFormatting>
  <conditionalFormatting sqref="HF1:HG1">
    <cfRule type="cellIs" dxfId="4246" priority="122" operator="greaterThan">
      <formula>0</formula>
    </cfRule>
  </conditionalFormatting>
  <conditionalFormatting sqref="HK1">
    <cfRule type="cellIs" dxfId="4245" priority="119" operator="greaterThan">
      <formula>0</formula>
    </cfRule>
  </conditionalFormatting>
  <conditionalFormatting sqref="HP1:HX1">
    <cfRule type="cellIs" dxfId="4244" priority="96" operator="equal">
      <formula>"PIN"</formula>
    </cfRule>
    <cfRule type="cellIs" dxfId="4243" priority="97" operator="equal">
      <formula>"ORA"</formula>
    </cfRule>
    <cfRule type="cellIs" dxfId="4242" priority="98" operator="equal">
      <formula>"GRA"</formula>
    </cfRule>
    <cfRule type="cellIs" dxfId="4241" priority="99" operator="equal">
      <formula>"PUR"</formula>
    </cfRule>
    <cfRule type="cellIs" dxfId="4240" priority="100" operator="equal">
      <formula>"BRO"</formula>
    </cfRule>
    <cfRule type="cellIs" dxfId="4239" priority="101" operator="equal">
      <formula>"YEL"</formula>
    </cfRule>
    <cfRule type="cellIs" dxfId="4238" priority="102" operator="equal">
      <formula>"BLU"</formula>
    </cfRule>
    <cfRule type="cellIs" dxfId="4237" priority="103" operator="equal">
      <formula>"WHI"</formula>
    </cfRule>
    <cfRule type="cellIs" dxfId="4236" priority="104" operator="equal">
      <formula>"GRE"</formula>
    </cfRule>
    <cfRule type="cellIs" dxfId="4235" priority="105" operator="equal">
      <formula>"RED"</formula>
    </cfRule>
    <cfRule type="cellIs" dxfId="4234" priority="106" operator="equal">
      <formula>"BLA"</formula>
    </cfRule>
  </conditionalFormatting>
  <conditionalFormatting sqref="IC1:IK1">
    <cfRule type="cellIs" dxfId="4233" priority="107" operator="equal">
      <formula>"PIN"</formula>
    </cfRule>
    <cfRule type="cellIs" dxfId="4232" priority="108" operator="equal">
      <formula>"ORA"</formula>
    </cfRule>
    <cfRule type="cellIs" dxfId="4231" priority="109" operator="equal">
      <formula>"GRA"</formula>
    </cfRule>
    <cfRule type="cellIs" dxfId="4230" priority="110" operator="equal">
      <formula>"PUR"</formula>
    </cfRule>
    <cfRule type="cellIs" dxfId="4229" priority="111" operator="equal">
      <formula>"BRO"</formula>
    </cfRule>
    <cfRule type="cellIs" dxfId="4228" priority="112" operator="equal">
      <formula>"YEL"</formula>
    </cfRule>
    <cfRule type="cellIs" dxfId="4227" priority="113" operator="equal">
      <formula>"BLU"</formula>
    </cfRule>
    <cfRule type="cellIs" dxfId="4226" priority="114" operator="equal">
      <formula>"WHI"</formula>
    </cfRule>
    <cfRule type="cellIs" dxfId="4225" priority="115" operator="equal">
      <formula>"GRE"</formula>
    </cfRule>
    <cfRule type="cellIs" dxfId="4224" priority="116" operator="equal">
      <formula>"RED"</formula>
    </cfRule>
    <cfRule type="cellIs" dxfId="4223" priority="117" operator="equal">
      <formula>"BLA"</formula>
    </cfRule>
  </conditionalFormatting>
  <conditionalFormatting sqref="IO1:IW1">
    <cfRule type="cellIs" dxfId="4222" priority="85" operator="equal">
      <formula>"PIN"</formula>
    </cfRule>
    <cfRule type="cellIs" dxfId="4221" priority="86" operator="equal">
      <formula>"ORA"</formula>
    </cfRule>
    <cfRule type="cellIs" dxfId="4220" priority="87" operator="equal">
      <formula>"GRA"</formula>
    </cfRule>
    <cfRule type="cellIs" dxfId="4219" priority="88" operator="equal">
      <formula>"PUR"</formula>
    </cfRule>
    <cfRule type="cellIs" dxfId="4218" priority="89" operator="equal">
      <formula>"BRO"</formula>
    </cfRule>
    <cfRule type="cellIs" dxfId="4217" priority="90" operator="equal">
      <formula>"YEL"</formula>
    </cfRule>
    <cfRule type="cellIs" dxfId="4216" priority="91" operator="equal">
      <formula>"BLU"</formula>
    </cfRule>
    <cfRule type="cellIs" dxfId="4215" priority="92" operator="equal">
      <formula>"WHI"</formula>
    </cfRule>
    <cfRule type="cellIs" dxfId="4214" priority="93" operator="equal">
      <formula>"GRE"</formula>
    </cfRule>
    <cfRule type="cellIs" dxfId="4213" priority="94" operator="equal">
      <formula>"RED"</formula>
    </cfRule>
    <cfRule type="cellIs" dxfId="4212" priority="95" operator="equal">
      <formula>"BLA"</formula>
    </cfRule>
  </conditionalFormatting>
  <conditionalFormatting sqref="H2">
    <cfRule type="cellIs" dxfId="4211" priority="77" stopIfTrue="1" operator="notEqual">
      <formula>""</formula>
    </cfRule>
  </conditionalFormatting>
  <conditionalFormatting sqref="R2 CU2">
    <cfRule type="cellIs" dxfId="4210" priority="79" operator="greaterThan">
      <formula>0</formula>
    </cfRule>
  </conditionalFormatting>
  <conditionalFormatting sqref="T2:AS2 CH2:CS2">
    <cfRule type="cellIs" dxfId="4209" priority="74" stopIfTrue="1" operator="equal">
      <formula>"n"</formula>
    </cfRule>
    <cfRule type="cellIs" dxfId="4208" priority="75" stopIfTrue="1" operator="equal">
      <formula>"y"</formula>
    </cfRule>
    <cfRule type="cellIs" dxfId="4207" priority="76" operator="greaterThan">
      <formula>0</formula>
    </cfRule>
  </conditionalFormatting>
  <conditionalFormatting sqref="AZ2:BB2">
    <cfRule type="expression" dxfId="4206" priority="61">
      <formula>$AT2=0</formula>
    </cfRule>
  </conditionalFormatting>
  <conditionalFormatting sqref="AZ2:BU2">
    <cfRule type="cellIs" dxfId="4205" priority="62" operator="equal">
      <formula>"PIN"</formula>
    </cfRule>
    <cfRule type="cellIs" dxfId="4204" priority="63" operator="equal">
      <formula>"ORA"</formula>
    </cfRule>
    <cfRule type="cellIs" dxfId="4203" priority="64" operator="equal">
      <formula>"GRA"</formula>
    </cfRule>
    <cfRule type="cellIs" dxfId="4202" priority="65" operator="equal">
      <formula>"PUR"</formula>
    </cfRule>
    <cfRule type="cellIs" dxfId="4201" priority="66" operator="equal">
      <formula>"BRO"</formula>
    </cfRule>
    <cfRule type="cellIs" dxfId="4200" priority="67" operator="equal">
      <formula>"YEL"</formula>
    </cfRule>
    <cfRule type="cellIs" dxfId="4199" priority="68" operator="equal">
      <formula>"BLU"</formula>
    </cfRule>
    <cfRule type="cellIs" dxfId="4198" priority="69" operator="equal">
      <formula>"WHI"</formula>
    </cfRule>
    <cfRule type="cellIs" dxfId="4197" priority="70" operator="equal">
      <formula>"GRE"</formula>
    </cfRule>
    <cfRule type="cellIs" dxfId="4196" priority="71" operator="equal">
      <formula>"RED"</formula>
    </cfRule>
    <cfRule type="cellIs" dxfId="4195" priority="72" operator="equal">
      <formula>"BLA"</formula>
    </cfRule>
  </conditionalFormatting>
  <conditionalFormatting sqref="BV2">
    <cfRule type="cellIs" dxfId="4194" priority="78" operator="equal">
      <formula>"nc"</formula>
    </cfRule>
  </conditionalFormatting>
  <conditionalFormatting sqref="CD2:CF2 BZ2:CA2">
    <cfRule type="cellIs" dxfId="4193" priority="73" operator="greaterThan">
      <formula>0</formula>
    </cfRule>
  </conditionalFormatting>
  <conditionalFormatting sqref="IC2:IK2">
    <cfRule type="expression" dxfId="4192" priority="60">
      <formula>$IL2&gt;0</formula>
    </cfRule>
  </conditionalFormatting>
  <conditionalFormatting sqref="BX2:CA2 CD2:CF2">
    <cfRule type="cellIs" dxfId="4191" priority="48" operator="equal">
      <formula>"y"</formula>
    </cfRule>
    <cfRule type="cellIs" dxfId="4190" priority="49" operator="equal">
      <formula>"PIN"</formula>
    </cfRule>
    <cfRule type="cellIs" dxfId="4189" priority="50" operator="equal">
      <formula>"ORA"</formula>
    </cfRule>
    <cfRule type="cellIs" dxfId="4188" priority="51" operator="equal">
      <formula>"GRA"</formula>
    </cfRule>
    <cfRule type="cellIs" dxfId="4187" priority="52" operator="equal">
      <formula>"PUR"</formula>
    </cfRule>
    <cfRule type="cellIs" dxfId="4186" priority="53" operator="equal">
      <formula>"BRO"</formula>
    </cfRule>
    <cfRule type="cellIs" dxfId="4185" priority="54" operator="equal">
      <formula>"YEL"</formula>
    </cfRule>
    <cfRule type="cellIs" dxfId="4184" priority="55" operator="equal">
      <formula>"BLU"</formula>
    </cfRule>
    <cfRule type="cellIs" dxfId="4183" priority="56" operator="equal">
      <formula>"WHI"</formula>
    </cfRule>
    <cfRule type="cellIs" dxfId="4182" priority="57" operator="equal">
      <formula>"GRE"</formula>
    </cfRule>
    <cfRule type="cellIs" dxfId="4181" priority="58" operator="equal">
      <formula>"RED"</formula>
    </cfRule>
    <cfRule type="cellIs" dxfId="4180" priority="59" operator="equal">
      <formula>"BLA"</formula>
    </cfRule>
  </conditionalFormatting>
  <conditionalFormatting sqref="J2">
    <cfRule type="colorScale" priority="80">
      <colorScale>
        <cfvo type="min"/>
        <cfvo type="percentile" val="50"/>
        <cfvo type="max"/>
        <color rgb="FFF8696B"/>
        <color rgb="FFFFEB84"/>
        <color rgb="FF63BE7B"/>
      </colorScale>
    </cfRule>
  </conditionalFormatting>
  <conditionalFormatting sqref="S2">
    <cfRule type="colorScale" priority="81">
      <colorScale>
        <cfvo type="min"/>
        <cfvo type="max"/>
        <color rgb="FFFCFCFF"/>
        <color rgb="FF754BFB"/>
      </colorScale>
    </cfRule>
  </conditionalFormatting>
  <conditionalFormatting sqref="AT2">
    <cfRule type="colorScale" priority="82">
      <colorScale>
        <cfvo type="min"/>
        <cfvo type="max"/>
        <color rgb="FFFCFCFF"/>
        <color theme="8" tint="0.39997558519241921"/>
      </colorScale>
    </cfRule>
  </conditionalFormatting>
  <conditionalFormatting sqref="CG2">
    <cfRule type="colorScale" priority="83">
      <colorScale>
        <cfvo type="min"/>
        <cfvo type="max"/>
        <color rgb="FFFCFCFF"/>
        <color rgb="FF63BE7B"/>
      </colorScale>
    </cfRule>
  </conditionalFormatting>
  <conditionalFormatting sqref="H3">
    <cfRule type="cellIs" dxfId="4179" priority="40" stopIfTrue="1" operator="notEqual">
      <formula>""</formula>
    </cfRule>
  </conditionalFormatting>
  <conditionalFormatting sqref="R3 CU3">
    <cfRule type="cellIs" dxfId="4178" priority="43" operator="greaterThan">
      <formula>0</formula>
    </cfRule>
  </conditionalFormatting>
  <conditionalFormatting sqref="T3:AS3 CH3:CS3">
    <cfRule type="cellIs" dxfId="4177" priority="37" stopIfTrue="1" operator="equal">
      <formula>"n"</formula>
    </cfRule>
    <cfRule type="cellIs" dxfId="4176" priority="38" stopIfTrue="1" operator="equal">
      <formula>"y"</formula>
    </cfRule>
    <cfRule type="cellIs" dxfId="4175" priority="39" operator="greaterThan">
      <formula>0</formula>
    </cfRule>
  </conditionalFormatting>
  <conditionalFormatting sqref="AZ3:BB3">
    <cfRule type="expression" dxfId="4174" priority="24">
      <formula>$AT3=0</formula>
    </cfRule>
  </conditionalFormatting>
  <conditionalFormatting sqref="CD3:CF3 BX3:CA3 AZ3:BU3">
    <cfRule type="cellIs" dxfId="4173" priority="25" operator="equal">
      <formula>"PIN"</formula>
    </cfRule>
    <cfRule type="cellIs" dxfId="4172" priority="26" operator="equal">
      <formula>"ORA"</formula>
    </cfRule>
    <cfRule type="cellIs" dxfId="4171" priority="27" operator="equal">
      <formula>"GRA"</formula>
    </cfRule>
    <cfRule type="cellIs" dxfId="4170" priority="28" operator="equal">
      <formula>"PUR"</formula>
    </cfRule>
    <cfRule type="cellIs" dxfId="4169" priority="29" operator="equal">
      <formula>"BRO"</formula>
    </cfRule>
    <cfRule type="cellIs" dxfId="4168" priority="30" operator="equal">
      <formula>"YEL"</formula>
    </cfRule>
    <cfRule type="cellIs" dxfId="4167" priority="31" operator="equal">
      <formula>"BLU"</formula>
    </cfRule>
    <cfRule type="cellIs" dxfId="4166" priority="32" operator="equal">
      <formula>"WHI"</formula>
    </cfRule>
    <cfRule type="cellIs" dxfId="4165" priority="33" operator="equal">
      <formula>"GRE"</formula>
    </cfRule>
    <cfRule type="cellIs" dxfId="4164" priority="34" operator="equal">
      <formula>"RED"</formula>
    </cfRule>
    <cfRule type="cellIs" dxfId="4163" priority="35" operator="equal">
      <formula>"BLA"</formula>
    </cfRule>
  </conditionalFormatting>
  <conditionalFormatting sqref="BV3">
    <cfRule type="cellIs" dxfId="4162" priority="42" operator="equal">
      <formula>"nc"</formula>
    </cfRule>
  </conditionalFormatting>
  <conditionalFormatting sqref="CD3:CF3 BX3:CA3">
    <cfRule type="cellIs" dxfId="4161" priority="41" operator="equal">
      <formula>"y"</formula>
    </cfRule>
  </conditionalFormatting>
  <conditionalFormatting sqref="CD3:CF3 BZ3:CA3">
    <cfRule type="cellIs" dxfId="4160" priority="36" operator="greaterThan">
      <formula>0</formula>
    </cfRule>
  </conditionalFormatting>
  <conditionalFormatting sqref="IC3:IK3">
    <cfRule type="expression" dxfId="4159" priority="23">
      <formula>$IL3&gt;0</formula>
    </cfRule>
  </conditionalFormatting>
  <conditionalFormatting sqref="IC3">
    <cfRule type="cellIs" dxfId="4158" priority="17" stopIfTrue="1" operator="greaterThan">
      <formula>0</formula>
    </cfRule>
  </conditionalFormatting>
  <conditionalFormatting sqref="ID3">
    <cfRule type="cellIs" dxfId="4157" priority="15" stopIfTrue="1" operator="greaterThan">
      <formula>0</formula>
    </cfRule>
  </conditionalFormatting>
  <conditionalFormatting sqref="II3 IE3:IF3">
    <cfRule type="cellIs" dxfId="4156" priority="22" operator="greaterThan">
      <formula>0</formula>
    </cfRule>
  </conditionalFormatting>
  <conditionalFormatting sqref="II3 IF3">
    <cfRule type="cellIs" dxfId="4155" priority="16" stopIfTrue="1" operator="greaterThan">
      <formula>0</formula>
    </cfRule>
  </conditionalFormatting>
  <conditionalFormatting sqref="IG3">
    <cfRule type="cellIs" dxfId="4154" priority="21" operator="greaterThan">
      <formula>0</formula>
    </cfRule>
  </conditionalFormatting>
  <conditionalFormatting sqref="IH3:II3">
    <cfRule type="cellIs" dxfId="4153" priority="20" operator="greaterThan">
      <formula>0</formula>
    </cfRule>
  </conditionalFormatting>
  <conditionalFormatting sqref="IJ3">
    <cfRule type="cellIs" dxfId="4152" priority="19" operator="greaterThan">
      <formula>0</formula>
    </cfRule>
  </conditionalFormatting>
  <conditionalFormatting sqref="IK3">
    <cfRule type="cellIs" dxfId="4151" priority="18" operator="greaterThan">
      <formula>0</formula>
    </cfRule>
  </conditionalFormatting>
  <conditionalFormatting sqref="IF3">
    <cfRule type="cellIs" dxfId="4150" priority="14" stopIfTrue="1" operator="greaterThan">
      <formula>0</formula>
    </cfRule>
  </conditionalFormatting>
  <conditionalFormatting sqref="IM3">
    <cfRule type="cellIs" dxfId="4149" priority="13" operator="equal">
      <formula>0</formula>
    </cfRule>
  </conditionalFormatting>
  <conditionalFormatting sqref="BX3:CA3 CD3:CF3">
    <cfRule type="cellIs" dxfId="4148" priority="1" operator="equal">
      <formula>"y"</formula>
    </cfRule>
    <cfRule type="cellIs" dxfId="4147" priority="2" operator="equal">
      <formula>"PIN"</formula>
    </cfRule>
    <cfRule type="cellIs" dxfId="4146" priority="3" operator="equal">
      <formula>"ORA"</formula>
    </cfRule>
    <cfRule type="cellIs" dxfId="4145" priority="4" operator="equal">
      <formula>"GRA"</formula>
    </cfRule>
    <cfRule type="cellIs" dxfId="4144" priority="5" operator="equal">
      <formula>"PUR"</formula>
    </cfRule>
    <cfRule type="cellIs" dxfId="4143" priority="6" operator="equal">
      <formula>"BRO"</formula>
    </cfRule>
    <cfRule type="cellIs" dxfId="4142" priority="7" operator="equal">
      <formula>"YEL"</formula>
    </cfRule>
    <cfRule type="cellIs" dxfId="4141" priority="8" operator="equal">
      <formula>"BLU"</formula>
    </cfRule>
    <cfRule type="cellIs" dxfId="4140" priority="9" operator="equal">
      <formula>"WHI"</formula>
    </cfRule>
    <cfRule type="cellIs" dxfId="4139" priority="10" operator="equal">
      <formula>"GRE"</formula>
    </cfRule>
    <cfRule type="cellIs" dxfId="4138" priority="11" operator="equal">
      <formula>"RED"</formula>
    </cfRule>
    <cfRule type="cellIs" dxfId="4137" priority="12" operator="equal">
      <formula>"BLA"</formula>
    </cfRule>
  </conditionalFormatting>
  <conditionalFormatting sqref="AT3">
    <cfRule type="colorScale" priority="44">
      <colorScale>
        <cfvo type="min"/>
        <cfvo type="max"/>
        <color rgb="FFFCFCFF"/>
        <color theme="8" tint="0.39997558519241921"/>
      </colorScale>
    </cfRule>
  </conditionalFormatting>
  <conditionalFormatting sqref="S3">
    <cfRule type="colorScale" priority="45">
      <colorScale>
        <cfvo type="min"/>
        <cfvo type="max"/>
        <color rgb="FFFCFCFF"/>
        <color rgb="FF754BFB"/>
      </colorScale>
    </cfRule>
  </conditionalFormatting>
  <conditionalFormatting sqref="J3">
    <cfRule type="colorScale" priority="46">
      <colorScale>
        <cfvo type="min"/>
        <cfvo type="percentile" val="50"/>
        <cfvo type="max"/>
        <color rgb="FFF8696B"/>
        <color rgb="FFFFEB84"/>
        <color rgb="FF63BE7B"/>
      </colorScale>
    </cfRule>
  </conditionalFormatting>
  <conditionalFormatting sqref="CG3">
    <cfRule type="colorScale" priority="47">
      <colorScale>
        <cfvo type="min"/>
        <cfvo type="max"/>
        <color rgb="FFFCFCFF"/>
        <color rgb="FF63BE7B"/>
      </colorScale>
    </cfRule>
  </conditionalFormatting>
  <hyperlinks>
    <hyperlink ref="A2" r:id="rId1" display="https://fbref.com/en/country/GHA/Ghana-Football" xr:uid="{7D52567C-C803-4071-A911-C4A4C0C6AF42}"/>
    <hyperlink ref="I2" r:id="rId2" xr:uid="{E8E6111F-239B-45CF-B51B-E4CDB0619A54}"/>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6865" r:id="rId6"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36866" r:id="rId7"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36867" r:id="rId8"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CEF513-3A75-4EBD-99F0-AD287B846A51}">
  <sheetPr codeName="Sheet62"/>
  <dimension ref="A1:IY6"/>
  <sheetViews>
    <sheetView zoomScale="70" zoomScaleNormal="70" workbookViewId="0">
      <pane xSplit="5" ySplit="1" topLeftCell="F2" activePane="bottomRight" state="frozen"/>
      <selection pane="topRight" activeCell="F1" sqref="F1"/>
      <selection pane="bottomLeft" activeCell="A2" sqref="A2"/>
      <selection pane="bottomRight" activeCell="M3" sqref="M3"/>
    </sheetView>
  </sheetViews>
  <sheetFormatPr defaultRowHeight="38.4" customHeight="1" x14ac:dyDescent="0.3"/>
  <cols>
    <col min="1" max="1" width="52.44140625" style="81" bestFit="1" customWidth="1"/>
    <col min="2" max="2" width="10.109375" style="81" customWidth="1"/>
    <col min="3" max="3" width="7.44140625" style="82" customWidth="1"/>
    <col min="4" max="4" width="4.77734375" style="83" customWidth="1"/>
    <col min="5" max="5" width="4.5546875" style="83" customWidth="1"/>
    <col min="6" max="6" width="5.77734375" style="83" customWidth="1"/>
    <col min="7" max="7" width="7.44140625" style="81" customWidth="1"/>
    <col min="8" max="8" width="11.44140625" style="81" customWidth="1"/>
    <col min="9" max="9" width="10" style="81" customWidth="1"/>
    <col min="10" max="10" width="4.21875" style="81" customWidth="1"/>
    <col min="11" max="11" width="5.6640625" style="83" customWidth="1"/>
    <col min="12" max="12" width="2.88671875" style="83" customWidth="1"/>
    <col min="13" max="13" width="6.44140625" style="83" customWidth="1"/>
    <col min="14" max="14" width="4.5546875" style="83" customWidth="1"/>
    <col min="15" max="15" width="10.5546875" style="84" customWidth="1"/>
    <col min="16" max="16" width="6.88671875" style="83" customWidth="1"/>
    <col min="17" max="17" width="4.77734375" style="83" customWidth="1"/>
    <col min="18" max="18" width="13.109375" style="82" customWidth="1"/>
    <col min="19" max="19" width="6.77734375" style="82" customWidth="1"/>
    <col min="20" max="46" width="8.44140625" style="81" customWidth="1"/>
    <col min="47" max="47" width="24.5546875" style="81" customWidth="1"/>
    <col min="48" max="51" width="16.6640625" style="81" customWidth="1"/>
    <col min="52" max="52" width="6.5546875" style="81" customWidth="1"/>
    <col min="53" max="54" width="5.88671875" style="81" customWidth="1"/>
    <col min="55" max="55" width="1.33203125" style="81" customWidth="1"/>
    <col min="56" max="56" width="7.44140625" style="81" customWidth="1"/>
    <col min="57" max="57" width="2.33203125" style="81" customWidth="1"/>
    <col min="58" max="62" width="6.109375" style="81" customWidth="1"/>
    <col min="63" max="63" width="2.33203125" style="81" customWidth="1"/>
    <col min="64" max="64" width="7" style="81" bestFit="1" customWidth="1"/>
    <col min="65" max="65" width="6.44140625" style="81" bestFit="1" customWidth="1"/>
    <col min="66" max="66" width="7.109375" style="81" bestFit="1" customWidth="1"/>
    <col min="67" max="71" width="6.44140625" style="81" bestFit="1" customWidth="1"/>
    <col min="72" max="73" width="6.44140625" style="81" customWidth="1"/>
    <col min="74" max="75" width="13.44140625" style="81" customWidth="1"/>
    <col min="76" max="84" width="14.6640625" style="81" customWidth="1"/>
    <col min="85" max="85" width="6.44140625" style="81" customWidth="1"/>
    <col min="86" max="87" width="11.6640625" style="81" bestFit="1" customWidth="1"/>
    <col min="88" max="88" width="11.6640625" style="81" customWidth="1"/>
    <col min="89" max="89" width="12.77734375" style="81" bestFit="1" customWidth="1"/>
    <col min="90" max="90" width="16.44140625" style="82" bestFit="1" customWidth="1"/>
    <col min="91" max="92" width="14.88671875" style="82" bestFit="1" customWidth="1"/>
    <col min="93" max="93" width="16" style="82" bestFit="1" customWidth="1"/>
    <col min="94" max="97" width="7.77734375" style="81" customWidth="1"/>
    <col min="98" max="98" width="33.21875" style="81" customWidth="1"/>
    <col min="99" max="99" width="18" style="81" customWidth="1"/>
    <col min="100" max="100" width="75.6640625" style="81" customWidth="1"/>
    <col min="101" max="125" width="33" style="81" customWidth="1"/>
    <col min="126" max="126" width="8.88671875" style="81"/>
    <col min="127" max="128" width="9.44140625" style="81" bestFit="1" customWidth="1"/>
    <col min="129" max="129" width="10.77734375" style="81" bestFit="1" customWidth="1"/>
    <col min="130" max="134" width="10.77734375" style="81" customWidth="1"/>
    <col min="135" max="135" width="10.109375" style="81" bestFit="1" customWidth="1"/>
    <col min="136" max="136" width="7.77734375" style="81" bestFit="1" customWidth="1"/>
    <col min="137" max="137" width="7.77734375" style="81" customWidth="1"/>
    <col min="138" max="138" width="9" style="81" bestFit="1" customWidth="1"/>
    <col min="139" max="139" width="11.33203125" style="81" bestFit="1" customWidth="1"/>
    <col min="140" max="140" width="9.109375" style="81" bestFit="1" customWidth="1"/>
    <col min="141" max="141" width="9" style="81" bestFit="1" customWidth="1"/>
    <col min="142" max="142" width="12" style="81" bestFit="1" customWidth="1"/>
    <col min="143" max="166" width="12" style="81" customWidth="1"/>
    <col min="167" max="167" width="17.21875" style="81" customWidth="1"/>
    <col min="168" max="191" width="12" style="81" customWidth="1"/>
    <col min="192" max="192" width="8.5546875" style="81" bestFit="1" customWidth="1"/>
    <col min="193" max="193" width="8.5546875" style="81" customWidth="1"/>
    <col min="194" max="194" width="7.109375" style="81" bestFit="1" customWidth="1"/>
    <col min="195" max="195" width="7.5546875" style="81" bestFit="1" customWidth="1"/>
    <col min="196" max="196" width="8.5546875" style="81" bestFit="1" customWidth="1"/>
    <col min="197" max="200" width="8.5546875" style="81" customWidth="1"/>
    <col min="201" max="201" width="188.88671875" style="81" customWidth="1"/>
    <col min="202" max="202" width="9.5546875" style="81" bestFit="1" customWidth="1"/>
    <col min="203" max="203" width="10.44140625" style="81" bestFit="1" customWidth="1"/>
    <col min="204" max="204" width="11.109375" style="81" bestFit="1" customWidth="1"/>
    <col min="205" max="205" width="10.44140625" style="81" bestFit="1" customWidth="1"/>
    <col min="206" max="210" width="10.44140625" style="81" customWidth="1"/>
    <col min="211" max="211" width="45.44140625" style="81" customWidth="1"/>
    <col min="212" max="212" width="47.5546875" style="81" bestFit="1" customWidth="1"/>
    <col min="213" max="213" width="9.33203125" style="85" customWidth="1"/>
    <col min="214" max="214" width="119.5546875" style="81" customWidth="1"/>
    <col min="215" max="215" width="69.6640625" style="81" customWidth="1"/>
    <col min="216" max="218" width="8.88671875" style="81"/>
    <col min="219" max="219" width="37.109375" style="81" customWidth="1"/>
    <col min="220" max="220" width="16.33203125" style="81" customWidth="1"/>
    <col min="221" max="222" width="8.88671875" style="81"/>
    <col min="223" max="223" width="10.109375" style="81" bestFit="1" customWidth="1"/>
    <col min="224" max="232" width="10.88671875" style="81" customWidth="1"/>
    <col min="233" max="234" width="30.77734375" style="81" customWidth="1"/>
    <col min="235" max="235" width="5.109375" style="81" customWidth="1"/>
    <col min="236" max="236" width="3" style="81" customWidth="1"/>
    <col min="237" max="245" width="6.77734375" style="86" customWidth="1"/>
    <col min="246" max="247" width="8.88671875" style="81"/>
    <col min="248" max="248" width="61.5546875" style="81" customWidth="1"/>
    <col min="249" max="253" width="8.88671875" style="81"/>
    <col min="254" max="254" width="9" style="81" customWidth="1"/>
    <col min="255" max="16384" width="8.88671875" style="8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583</v>
      </c>
      <c r="B2" s="40" t="e" vm="51">
        <v>#VALUE!</v>
      </c>
      <c r="C2" s="41">
        <v>1</v>
      </c>
      <c r="D2" s="42" t="s">
        <v>584</v>
      </c>
      <c r="E2" s="43" t="s">
        <v>585</v>
      </c>
      <c r="F2" s="44" t="s">
        <v>163</v>
      </c>
      <c r="G2" s="45">
        <f>COUNTIF($A$1:$A$8369,A2)</f>
        <v>1</v>
      </c>
      <c r="H2" s="46"/>
      <c r="I2" s="47" t="s">
        <v>586</v>
      </c>
      <c r="J2" s="48" t="str">
        <f>""</f>
        <v/>
      </c>
      <c r="K2" s="49">
        <v>14020000</v>
      </c>
      <c r="L2" s="50">
        <v>140000</v>
      </c>
      <c r="M2" s="50" t="s">
        <v>589</v>
      </c>
      <c r="N2" s="51" t="s">
        <v>180</v>
      </c>
      <c r="O2" s="52" t="s">
        <v>587</v>
      </c>
      <c r="P2" s="53" t="s">
        <v>588</v>
      </c>
      <c r="Q2" s="54">
        <v>1</v>
      </c>
      <c r="R2" s="55" t="s">
        <v>180</v>
      </c>
      <c r="S2" s="56">
        <v>3</v>
      </c>
      <c r="T2" s="57" t="s">
        <v>164</v>
      </c>
      <c r="U2" s="58" t="s">
        <v>164</v>
      </c>
      <c r="V2" s="58" t="s">
        <v>164</v>
      </c>
      <c r="W2" s="58" t="s">
        <v>167</v>
      </c>
      <c r="X2" s="58" t="s">
        <v>164</v>
      </c>
      <c r="Y2" s="58" t="s">
        <v>164</v>
      </c>
      <c r="Z2" s="58" t="s">
        <v>164</v>
      </c>
      <c r="AA2" s="58" t="s">
        <v>164</v>
      </c>
      <c r="AB2" s="58" t="s">
        <v>164</v>
      </c>
      <c r="AC2" s="58" t="s">
        <v>164</v>
      </c>
      <c r="AD2" s="58" t="s">
        <v>164</v>
      </c>
      <c r="AE2" s="58" t="s">
        <v>164</v>
      </c>
      <c r="AF2" s="59" t="s">
        <v>164</v>
      </c>
      <c r="AG2" s="59" t="s">
        <v>164</v>
      </c>
      <c r="AH2" s="59" t="s">
        <v>164</v>
      </c>
      <c r="AI2" s="59" t="s">
        <v>164</v>
      </c>
      <c r="AJ2" s="59" t="s">
        <v>164</v>
      </c>
      <c r="AK2" s="59" t="s">
        <v>167</v>
      </c>
      <c r="AL2" s="59" t="s">
        <v>164</v>
      </c>
      <c r="AM2" s="59" t="s">
        <v>164</v>
      </c>
      <c r="AN2" s="59" t="s">
        <v>164</v>
      </c>
      <c r="AO2" s="59" t="s">
        <v>164</v>
      </c>
      <c r="AP2" s="59" t="s">
        <v>164</v>
      </c>
      <c r="AQ2" s="59" t="s">
        <v>164</v>
      </c>
      <c r="AR2" s="59" t="s">
        <v>164</v>
      </c>
      <c r="AS2" s="59" t="s">
        <v>164</v>
      </c>
      <c r="AT2" s="60">
        <v>0</v>
      </c>
      <c r="AU2" s="59"/>
      <c r="AV2" s="59" t="str">
        <f>IF(LEFT(A2,1)="[",LEFT(A2,5)&amp;AU2&amp;A2,"")</f>
        <v/>
      </c>
      <c r="AW2" s="59" t="str">
        <f t="shared" ref="AW2" si="0">C2&amp;H2&amp;A2</f>
        <v>1Guinea</v>
      </c>
      <c r="AX2" s="61" t="str">
        <f>_xlfn.TEXTJOIN(";",TRUE,AU2:AW2)</f>
        <v>1Guinea</v>
      </c>
      <c r="AY2" s="61"/>
      <c r="AZ2" s="62"/>
      <c r="BA2" s="62"/>
      <c r="BB2" s="62"/>
      <c r="BC2" s="63"/>
      <c r="BD2" s="64" t="s">
        <v>169</v>
      </c>
      <c r="BE2" s="47"/>
      <c r="BF2" s="64" t="s">
        <v>154</v>
      </c>
      <c r="BG2" s="64" t="s">
        <v>155</v>
      </c>
      <c r="BH2" s="64" t="s">
        <v>153</v>
      </c>
      <c r="BI2" s="64"/>
      <c r="BJ2" s="64"/>
      <c r="BK2" s="47"/>
      <c r="BL2" s="64" t="s">
        <v>154</v>
      </c>
      <c r="BM2" s="64" t="s">
        <v>155</v>
      </c>
      <c r="BN2" s="64" t="s">
        <v>153</v>
      </c>
      <c r="BO2" s="64"/>
      <c r="BP2" s="64"/>
      <c r="BQ2" s="64"/>
      <c r="BR2" s="64"/>
      <c r="BS2" s="64"/>
      <c r="BT2" s="64"/>
      <c r="BU2" s="65"/>
      <c r="BV2" s="66" t="s">
        <v>165</v>
      </c>
      <c r="BW2" s="66">
        <v>0</v>
      </c>
      <c r="BX2" s="47"/>
      <c r="CB2" s="6" t="s">
        <v>137</v>
      </c>
      <c r="CC2" s="6"/>
      <c r="CD2" s="67">
        <v>0</v>
      </c>
      <c r="CE2" s="67">
        <v>0</v>
      </c>
      <c r="CF2" s="67" t="e">
        <v>#REF!</v>
      </c>
      <c r="CG2" s="68" cm="1">
        <f t="array" ref="CG2">SUMPRODUCT(--(LEN(TRIM(BL2:BT2))&gt;0))</f>
        <v>3</v>
      </c>
      <c r="CH2" s="59" t="str">
        <f>IF(CG2=2,"y","n")</f>
        <v>n</v>
      </c>
      <c r="CI2" s="59" t="str">
        <f>IF(CG2=3,"y","n")</f>
        <v>y</v>
      </c>
      <c r="CJ2" s="59" t="str">
        <f>IF(CG2=4,"y","n")</f>
        <v>n</v>
      </c>
      <c r="CK2" s="59" t="str">
        <f>IF(CG2&gt;4,"y","n")</f>
        <v>n</v>
      </c>
      <c r="CL2" s="59" t="str">
        <f>IF(S2=0,"y","n")</f>
        <v>n</v>
      </c>
      <c r="CM2" s="59" t="str">
        <f>IF(S2=2,"y","n")</f>
        <v>n</v>
      </c>
      <c r="CN2" s="59" t="str">
        <f>IF(S2=3,"y","n")</f>
        <v>y</v>
      </c>
      <c r="CO2" s="59" t="str">
        <f>IF(S2&gt;=4,"y","n")</f>
        <v>n</v>
      </c>
      <c r="CP2" s="59" t="str">
        <f>IF(AT2=0,"y","n")</f>
        <v>y</v>
      </c>
      <c r="CQ2" s="59" t="str">
        <f>IF(AT2=1,"y","n")</f>
        <v>n</v>
      </c>
      <c r="CR2" s="59" t="str">
        <f>IF(AT2=2,"y","n")</f>
        <v>n</v>
      </c>
      <c r="CS2" s="59" t="str">
        <f>IF(AT2&gt;=3,"y","n")</f>
        <v>n</v>
      </c>
      <c r="CT2" s="69" t="str">
        <f>CHAR(34)&amp;A2&amp;CHAR(34)</f>
        <v>"Guinea"</v>
      </c>
      <c r="CU2" s="70" t="str">
        <f>CHAR(34)&amp;"rgn_"&amp;R2&amp;CHAR(34)</f>
        <v>"rgn_Africa"</v>
      </c>
      <c r="CV2" s="48" t="str">
        <f>CHAR(34)&amp;D2&amp;CHAR(34)</f>
        <v>"https://i.ibb.co/NmRXjj0/Guinea-Flag.png"</v>
      </c>
      <c r="CW2" s="48" t="str">
        <f>IF(CH2="y",CHAR(34)&amp;CH$1&amp;CHAR(34)&amp;",","")</f>
        <v/>
      </c>
      <c r="CX2" s="48" t="str">
        <f>IF(CI2="y",CHAR(34)&amp;CI$1&amp;CHAR(34)&amp;",","")</f>
        <v>"3Color",</v>
      </c>
      <c r="CY2" s="48" t="str">
        <f>IF(CJ2="y",CHAR(34)&amp;CJ$1&amp;CHAR(34)&amp;",","")</f>
        <v/>
      </c>
      <c r="CZ2" s="48" t="str">
        <f>IF(CK2="y",CHAR(34)&amp;CK$1&amp;CHAR(34)&amp;",","")</f>
        <v/>
      </c>
      <c r="DA2" s="48" t="str">
        <f>IF(Q2&gt;1,CHAR(34)&amp;"words2"&amp;CHAR(34)&amp;",","")</f>
        <v/>
      </c>
      <c r="DB2" s="48" t="str">
        <f>IF(Q2&gt;2,CHAR(34)&amp;"words3"&amp;CHAR(34)&amp;",","")</f>
        <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"lets06",</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"startG",</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"REEDEL",</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
      </c>
      <c r="DS2" s="6" t="str">
        <f>IF(W2="y",IF(AND(V2="n",BY2&lt;&gt;"y"),CHAR(34)&amp;"allver"&amp;CHAR(34)&amp;",",""),"")</f>
        <v>"allver",</v>
      </c>
      <c r="DT2" s="6" t="str">
        <f>IF(V2="y",IF(AND(W2="n",BY2&lt;&gt;"y"),CHAR(34)&amp;"allhor"&amp;CHAR(34)&amp;",",""),"")</f>
        <v/>
      </c>
      <c r="DU2" s="6" t="str">
        <f>IF(BY2="y",IF(AND(W2="n",V2="n"),CHAR(34)&amp;"alldia"&amp;CHAR(34)&amp;",",""),"")</f>
        <v/>
      </c>
      <c r="DV2" s="48" t="str">
        <f>IF(IA2&lt;&gt;"",(IF(IA2="y",CHAR(34)&amp;"largec"&amp;CHAR(34)&amp;",",CHAR(34)&amp;"smallc"&amp;CHAR(34)&amp;",")),"")</f>
        <v/>
      </c>
      <c r="DW2" s="48" t="str">
        <f>IF(CL2="y",CHAR(34)&amp;CL$1&amp;CHAR(34)&amp;",","")</f>
        <v/>
      </c>
      <c r="DX2" s="48" t="str">
        <f>IF(CM2="y",CHAR(34)&amp;CM$1&amp;CHAR(34)&amp;",","")</f>
        <v/>
      </c>
      <c r="DY2" s="48" t="str">
        <f>IF(CN2="y",CHAR(34)&amp;CN$1&amp;CHAR(34)&amp;",","")</f>
        <v>"3Bands",</v>
      </c>
      <c r="DZ2" s="48" t="str">
        <f>IF(CO2="y",CHAR(34)&amp;CO$1&amp;CHAR(34)&amp;",","")</f>
        <v/>
      </c>
      <c r="EA2" s="48" t="str">
        <f>IF(T2="y",CHAR(34)&amp;T$1&amp;CHAR(34)&amp;",","")</f>
        <v/>
      </c>
      <c r="EB2" s="48" t="str">
        <f>IF(U2="y",CHAR(34)&amp;U$1&amp;CHAR(34)&amp;",","")</f>
        <v/>
      </c>
      <c r="EC2" s="48" t="str">
        <f>IF(V2="y",CHAR(34)&amp;V$1&amp;CHAR(34)&amp;",","")</f>
        <v/>
      </c>
      <c r="ED2" s="48" t="str">
        <f>IF(W2="y",CHAR(34)&amp;W$1&amp;CHAR(34)&amp;",","")</f>
        <v>"Vertic",</v>
      </c>
      <c r="EE2" s="48" t="str">
        <f>IF(X2="y",CHAR(34)&amp;X$1&amp;CHAR(34)&amp;",","")</f>
        <v/>
      </c>
      <c r="EF2" s="48" t="str">
        <f>IF(AND(Y2&lt;&gt;"n",Y2&lt;&gt;""),CHAR(34)&amp;Y$1&amp;CHAR(34)&amp;",","")</f>
        <v/>
      </c>
      <c r="EG2" s="48" t="str">
        <f>IF(Z2="y",CHAR(34)&amp;Z$1&amp;CHAR(34)&amp;",","")</f>
        <v/>
      </c>
      <c r="EH2" s="48" t="str">
        <f>IF(AA2="y",CHAR(34)&amp;AA$1&amp;CHAR(34)&amp;",","")</f>
        <v/>
      </c>
      <c r="EI2" s="48" t="str">
        <f>IF(AB2="y",CHAR(34)&amp;AB$1&amp;CHAR(34)&amp;",","")</f>
        <v/>
      </c>
      <c r="EJ2" s="48" t="str">
        <f>IF(AC2="y",CHAR(34)&amp;AC$1&amp;CHAR(34)&amp;",","")</f>
        <v/>
      </c>
      <c r="EK2" s="48" t="str">
        <f>IF(AD2="y",CHAR(34)&amp;AD$1&amp;CHAR(34)&amp;",","")</f>
        <v/>
      </c>
      <c r="EL2" s="48" t="str">
        <f>IF(AE2="y",CHAR(34)&amp;AE$1&amp;CHAR(34)&amp;",","")</f>
        <v/>
      </c>
      <c r="EM2" s="48" t="str">
        <f>IF(AF2="y",CHAR(34)&amp;AF$1&amp;CHAR(34)&amp;",","")</f>
        <v/>
      </c>
      <c r="EN2" s="48" t="str">
        <f>IF(AG2="y",CHAR(34)&amp;AG$1&amp;CHAR(34)&amp;",","")</f>
        <v/>
      </c>
      <c r="EO2" s="48" t="str">
        <f>IF(AH2="y",CHAR(34)&amp;AH$1&amp;CHAR(34)&amp;",","")</f>
        <v/>
      </c>
      <c r="EP2" s="48" t="str">
        <f>IF(AI2="y",CHAR(34)&amp;AI$1&amp;CHAR(34)&amp;",","")</f>
        <v/>
      </c>
      <c r="EQ2" s="48" t="str">
        <f>IF(AJ2="y",CHAR(34)&amp;AJ$1&amp;CHAR(34)&amp;",","")</f>
        <v/>
      </c>
      <c r="ER2" s="48" t="str">
        <f>IF(AK2="y",CHAR(34)&amp;AK$1&amp;CHAR(34)&amp;",","")</f>
        <v>"OnlyBa",</v>
      </c>
      <c r="ES2" s="48" t="str">
        <f>IF(AL2="y",CHAR(34)&amp;AL$1&amp;CHAR(34)&amp;",","")</f>
        <v/>
      </c>
      <c r="ET2" s="48" t="str">
        <f>IF(AM2="y",CHAR(34)&amp;AM$1&amp;CHAR(34)&amp;",","")</f>
        <v/>
      </c>
      <c r="EU2" s="48" t="str">
        <f>IF(AN2="y",CHAR(34)&amp;AN$1&amp;CHAR(34)&amp;",","")</f>
        <v/>
      </c>
      <c r="EV2" s="48" t="str">
        <f>IF(AO2="y",CHAR(34)&amp;AO$1&amp;CHAR(34)&amp;",","")</f>
        <v/>
      </c>
      <c r="EW2" s="48" t="str">
        <f>IF(AP2="y",CHAR(34)&amp;AP$1&amp;CHAR(34)&amp;",","")</f>
        <v/>
      </c>
      <c r="EX2" s="48" t="str">
        <f>IF(AQ2="y",CHAR(34)&amp;AQ$1&amp;CHAR(34)&amp;",","")</f>
        <v/>
      </c>
      <c r="EY2" s="48" t="str">
        <f>IF(AR2="y",CHAR(34)&amp;AR$1&amp;CHAR(34)&amp;",","")</f>
        <v/>
      </c>
      <c r="EZ2" s="48" t="str">
        <f>IF(AS2="y",CHAR(34)&amp;AS$1&amp;CHAR(34)&amp;",","")</f>
        <v/>
      </c>
      <c r="FA2" s="48" t="str">
        <f>IF(AT2&gt;0,CHAR(34)&amp;"sta"&amp;AZ2&amp;CHAR(34)&amp;",","")</f>
        <v/>
      </c>
      <c r="FB2" s="48" t="str">
        <f>IF(AND(AT2&gt;0,BA2&lt;&gt;""),CHAR(34)&amp;"sta"&amp;BA2&amp;CHAR(34)&amp;",","")</f>
        <v/>
      </c>
      <c r="FC2" s="48" t="str">
        <f>IF(AND(AT2&gt;0,BB2&lt;&gt;""),CHAR(34)&amp;"sta"&amp;BB2&amp;CHAR(34)&amp;",","")</f>
        <v/>
      </c>
      <c r="FD2" s="48" t="str">
        <f>IF(BV2="n",CHAR(34)&amp;"tcWHYE"&amp;CHAR(34)&amp;",",IF(BV2="y",CHAR(34)&amp;FD$1&amp;CHAR(34)&amp;",",""))</f>
        <v/>
      </c>
      <c r="FE2" s="48" t="str">
        <f>IF(COUNTIF(BL2:BT2,"BLU")=0,CHAR(34)&amp;"NO_BLU"&amp;CHAR(34)&amp;",", "")</f>
        <v>"NO_BLU",</v>
      </c>
      <c r="FF2" s="48" t="str">
        <f>IF(COUNTIF(BL2:BT2,"WHI")=0,CHAR(34)&amp;"NO_WHI"&amp;CHAR(34)&amp;",", "")</f>
        <v>"NO_WHI",</v>
      </c>
      <c r="FG2" s="48" t="str">
        <f>IF(COUNTIF(BL2:BT2,"RED")=0,CHAR(34)&amp;"NO_RED"&amp;CHAR(34)&amp;",", "")</f>
        <v/>
      </c>
      <c r="FH2" s="48" t="str">
        <f>IF(COUNTIF(BL2:BS2,"GRE")=0,CHAR(34)&amp;"NO_GRE"&amp;CHAR(34)&amp;",", "")</f>
        <v/>
      </c>
      <c r="FI2" s="48" t="str">
        <f>IF(COUNTIF(BL2:BT2,"YEL")=0,CHAR(34)&amp;"NO_YEL"&amp;CHAR(34)&amp;",", "")</f>
        <v/>
      </c>
      <c r="FJ2" s="48" t="str">
        <f>IF(COUNTIF(BL2:BT2,"BLA")=0,CHAR(34)&amp;"NO_BLA"&amp;CHAR(34)&amp;",", "")</f>
        <v>"NO_BLA",</v>
      </c>
      <c r="FK2" s="48" t="str">
        <f>IF(AND(FH2&lt;&gt;"",FF2&lt;&gt;""),CHAR(34)&amp;"WHGRNO"&amp;CHAR(34)&amp;",","")</f>
        <v/>
      </c>
      <c r="FL2" s="48" t="str">
        <f>IF(AND(FI2&lt;&gt;"",FF2&lt;&gt;""),CHAR(34)&amp;"WHYENO"&amp;CHAR(34)&amp;",","")</f>
        <v/>
      </c>
      <c r="FM2" s="48" t="str">
        <f>IF(AND(FJ2&lt;&gt;"",FF2&lt;&gt;""),CHAR(34)&amp;"BAWHNO"&amp;CHAR(34)&amp;",","")</f>
        <v>"BAWHNO",</v>
      </c>
      <c r="FN2" s="48" t="str">
        <f>IF(AND(FE2&lt;&gt;"",FF2&lt;&gt;""),CHAR(34)&amp;"BLWHNO"&amp;CHAR(34)&amp;",","")</f>
        <v>"BLWHNO",</v>
      </c>
      <c r="FO2" s="48" t="str">
        <f>IF(AND(FE2&lt;&gt;"",FG2&lt;&gt;""),CHAR(34)&amp;"BLRENO"&amp;CHAR(34)&amp;",","")</f>
        <v/>
      </c>
      <c r="FP2" s="48" t="str">
        <f>IF(AND(FF2&lt;&gt;"",FF2&lt;&gt;""),CHAR(34)&amp;"WHRENO"&amp;CHAR(34)&amp;",","")</f>
        <v>"WHRENO",</v>
      </c>
      <c r="FQ2" s="48" t="str">
        <f>IF(LEN(BF2)=3,CHAR(34)&amp;"001"&amp;BF2&amp;CHAR(34)&amp;",","")</f>
        <v>"001RED",</v>
      </c>
      <c r="FR2" s="48" t="str">
        <f>IF(LEN(BG2)=3,CHAR(34)&amp;"002"&amp;BG2&amp;CHAR(34)&amp;",","")</f>
        <v>"002YEL",</v>
      </c>
      <c r="FS2" s="48" t="str">
        <f>IF(LEN(BH2)=3,CHAR(34)&amp;"003"&amp;BH2&amp;CHAR(34)&amp;",","")</f>
        <v>"003GRE",</v>
      </c>
      <c r="FT2" s="48" t="str">
        <f>CHAR(34)&amp;"myr"&amp;BD2&amp;CHAR(34)&amp;","</f>
        <v>"myrEQ",</v>
      </c>
      <c r="FU2" s="48" t="str">
        <f>IF(AY2="y",CHAR(34)&amp;"island"&amp;CHAR(34)&amp;",","")</f>
        <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
      </c>
      <c r="GA2" s="48" t="str">
        <f>IFERROR(IF(SEARCH("French",CB2)&gt;0,CHAR(34)&amp;"french"&amp;CHAR(34)&amp;",",""),"")</f>
        <v>"french",</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"NoStar",</v>
      </c>
      <c r="GK2" s="48" t="str">
        <f>IF(GJ2="",CHAR(34)&amp;"HasSta"&amp;CHAR(34)&amp;",","")</f>
        <v/>
      </c>
      <c r="GL2" s="48" t="str">
        <f>IF(CQ2="y",CHAR(34)&amp;CQ$1&amp;CHAR(34)&amp;",","")</f>
        <v/>
      </c>
      <c r="GM2" s="48" t="str">
        <f>IF(CR2="y",CHAR(34)&amp;CR$1&amp;CHAR(34)&amp;",","")</f>
        <v/>
      </c>
      <c r="GN2" s="48" t="str">
        <f>IF(CS2="y",CHAR(34)&amp;CS$1&amp;CHAR(34)&amp;",","")</f>
        <v/>
      </c>
      <c r="GP2" s="48" t="str">
        <f>CHAR(34)&amp;AU2&amp;CHAR(34)</f>
        <v>""</v>
      </c>
      <c r="GS2" s="48" t="str">
        <f>SUBSTITUTE("["&amp;_xlfn.CONCAT(CW2:GN2)&amp;"]",",]","]")</f>
        <v>["3Color","lets06","startG","REEDEL","year19","allver","3Bands","Vertic","OnlyBa","NO_BLU","NO_WHI","NO_BLA","BAWHNO","BLWHNO","WHRENO","001RED","002YEL","003GRE","myrEQ","french","NoStar"]</v>
      </c>
      <c r="GT2" s="48" t="str">
        <f>IF(BL2&lt;&gt;"",CHAR(34)&amp;"cl_"&amp;BL2&amp;CHAR(34)&amp;",","")</f>
        <v>"cl_RED",</v>
      </c>
      <c r="GU2" s="48" t="str">
        <f>IF(BM2&lt;&gt;"",CHAR(34)&amp;"cl_"&amp;BM2&amp;CHAR(34)&amp;",","")</f>
        <v>"cl_YEL",</v>
      </c>
      <c r="GV2" s="48" t="str">
        <f>IF(BN2&lt;&gt;"",CHAR(34)&amp;"cl_"&amp;BN2&amp;CHAR(34)&amp;",","")</f>
        <v>"cl_GRE",</v>
      </c>
      <c r="GW2" s="48" t="str">
        <f>IF(BO2&lt;&gt;"",CHAR(34)&amp;"cl_"&amp;BO2&amp;CHAR(34)&amp;",","")</f>
        <v/>
      </c>
      <c r="GX2" s="48" t="str">
        <f>IF(BP2&lt;&gt;"",CHAR(34)&amp;"cl_"&amp;BP2&amp;CHAR(34)&amp;",","")</f>
        <v/>
      </c>
      <c r="GY2" s="48" t="str">
        <f>IF(BQ2&lt;&gt;"",CHAR(34)&amp;"cl_"&amp;BQ2&amp;CHAR(34)&amp;",","")</f>
        <v/>
      </c>
      <c r="GZ2" s="48" t="str">
        <f>IF(BR2&lt;&gt;"",CHAR(34)&amp;"cl_"&amp;BR2&amp;CHAR(34)&amp;",","")</f>
        <v/>
      </c>
      <c r="HA2" s="48" t="str">
        <f>IF(BS2&lt;&gt;"",CHAR(34)&amp;"cl_"&amp;BS2&amp;CHAR(34)&amp;",","")</f>
        <v/>
      </c>
      <c r="HB2" s="48" t="str">
        <f>IF(BT2&lt;&gt;"",CHAR(34)&amp;"cl_"&amp;BT2&amp;CHAR(34)&amp;",","")</f>
        <v/>
      </c>
      <c r="HC2" s="48" t="str">
        <f>SUBSTITUTE("["&amp;_xlfn.CONCAT(GT2:HB2)&amp;"]",",]","]")</f>
        <v>["cl_RED","cl_YEL","cl_GRE"]</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{couname:"Guinea",year:"1958 ",region:"rgn_Africa",Colors:["cl_RED","cl_YEL","cl_GRE"],Items:["3Color","lets06","startG","REEDEL","year19","allver","3Bands","Vertic","OnlyBa","NO_BLU","NO_WHI","NO_BLA","BAWHNO","BLWHNO","WHRENO","001RED","002YEL","003GRE","myrEQ","french","NoStar"],Flag:"https://i.ibb.co/NmRXjj0/Guinea-Flag.png",HDFlag:"https://upload.wikimedia.org/wikipedia/commons/thumb/e/ed/Flag_of_Guinea.svg/2560px-Flag_of_Guinea.svg.png",type:"", describe: "\nRed symbolizes the blood of anti-colonialist martyrs, the labor of the working classes, and the wish for progress; yellow represents Guinean gold, as well as the sun, which is the source of energy, generosity and equality for all men to which he gives light equally; and green represents the country's vegetation, continued prosperity arising from its natural resources, and the historically difficult life of the Guinean masses who live in the countryside. In turn, the symbolism behind each of the three colors corresponds to the three components of the national motto: Travail, Justice, Solidarité (Work, Justice, Solidarity).\n\nIn keeping with other flags in the region, the Pan-African movement's colors of red, yellow, and green are used.", isnew:".", links: "https://en.wikipedia.org/wiki/Flag_of_Guinea"},</v>
      </c>
      <c r="HG2" s="73" t="str">
        <f>"{couname:"&amp;CT2&amp;(IF(HK2&lt;&gt;"",",subtype:"&amp;CHAR(34)&amp;HK2&amp;CHAR(34),""))&amp;",year:"&amp;HJ2&amp;",region:"&amp;CU2&amp;",Colors:"&amp;HC2&amp;",Items:"&amp;GS2&amp;",Flag:"&amp;CV2&amp;",HDFlag:"&amp;CHAR(34)&amp;E2&amp;CHAR(34)&amp;",type:"&amp;GP2&amp;", describe: "&amp;HI2&amp;", links: "&amp;HL2&amp;"},"</f>
        <v>{couname:"Guinea",year:"1958 ",region:"rgn_Africa",Colors:["cl_RED","cl_YEL","cl_GRE"],Items:["3Color","lets06","startG","REEDEL","year19","allver","3Bands","Vertic","OnlyBa","NO_BLU","NO_WHI","NO_BLA","BAWHNO","BLWHNO","WHRENO","001RED","002YEL","003GRE","myrEQ","french","NoStar"],Flag:"https://i.ibb.co/NmRXjj0/Guinea-Flag.png",HDFlag:"https://upload.wikimedia.org/wikipedia/commons/thumb/e/ed/Flag_of_Guinea.svg/2560px-Flag_of_Guinea.svg.png",type:"", describe: "\nRed symbolizes the blood of anti-colonialist martyrs, the labor of the working classes, and the wish for progress; yellow represents Guinean gold, as well as the sun, which is the source of energy, generosity and equality for all men to which he gives light equally; and green represents the country's vegetation, continued prosperity arising from its natural resources, and the historically difficult life of the Guinean masses who live in the countryside. In turn, the symbolism behind each of the three colors corresponds to the three components of the national motto: Travail, Justice, Solidarité (Work, Justice, Solidarity).\n\nIn keeping with other flags in the region, the Pan-African movement's colors of red, yellow, and green are used.", links: "https://en.wikipedia.org/wiki/Flag_of_Guinea"},</v>
      </c>
      <c r="HH2" s="48" t="str">
        <f>IF(P2&lt;&gt;"",CHAR(34)&amp;"\n"&amp;P2&amp;CHAR(34),CHAR(34)&amp;CHAR(34))</f>
        <v>"\nRed symbolizes the blood of anti-colonialist martyrs, the labor of the working classes, and the wish for progress; yellow represents Guinean gold, as well as the sun, which is the source of energy, generosity and equality for all men to which he gives light equally; and green represents the country's vegetation, continued prosperity arising from its natural resources, and the historically difficult life of the Guinean masses who live in the countryside. In turn, the symbolism behind each of the three colors corresponds to the three components of the national motto: Travail, Justice, Solidarité (Work, Justice, Solidarity).\n\nIn keeping with other flags in the region, the Pan-African movement's colors of red, yellow, and green are used."</v>
      </c>
      <c r="HI2" s="48" t="str">
        <f>IF(J2=0,CHAR(34)&amp;CHAR(34),HH2)</f>
        <v>"\nRed symbolizes the blood of anti-colonialist martyrs, the labor of the working classes, and the wish for progress; yellow represents Guinean gold, as well as the sun, which is the source of energy, generosity and equality for all men to which he gives light equally; and green represents the country's vegetation, continued prosperity arising from its natural resources, and the historically difficult life of the Guinean masses who live in the countryside. In turn, the symbolism behind each of the three colors corresponds to the three components of the national motto: Travail, Justice, Solidarité (Work, Justice, Solidarity).\n\nIn keeping with other flags in the region, the Pan-African movement's colors of red, yellow, and green are used."</v>
      </c>
      <c r="HJ2" s="48" t="str">
        <f>CHAR(34)&amp;O2&amp;CHAR(34)</f>
        <v>"1958 "</v>
      </c>
      <c r="HL2" s="48" t="str">
        <f>CHAR(34)&amp;I2&amp;CHAR(34)</f>
        <v>"https://en.wikipedia.org/wiki/Flag_of_Guinea"</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{"couname":"Guinea","year":"1958 ","region":"rgn_Africa","Colors":["cl_RED","cl_YEL","cl_GRE"],"Items":["3Color","lets06","startG","REEDEL","year19","allver","3Bands","Vertic","OnlyBa","NO_BLU","NO_WHI","NO_BLA","BAWHNO","BLWHNO","WHRENO","001RED","002YEL","003GRE","myrEQ","french","NoStar"],"Flag":"https://i.ibb.co/NmRXjj0/Guinea-Flag.png","HDFlag":"https://upload.wikimedia.org/wikipedia/commons/thumb/e/ed/Flag_of_Guinea.svg/2560px-Flag_of_Guinea.svg.png","type":"", "describe": "\nRed symbolizes the blood of anti-colonialist martyrs, the labor of the working classes, and the wish for progress; yellow represents Guinean gold, as well as the sun, which is the source of energy, generosity and equality for all men to which he gives light equally; and green represents the country's vegetation, continued prosperity arising from its natural resources, and the historically difficult life of the Guinean masses who live in the countryside. In turn, the symbolism behind each of the three colors corresponds to the three components of the national motto: Travail, Justice, Solidarité (Work, Justice, Solidarity).\n\nIn keeping with other flags in the region, the Pan-African movement's colors of red, yellow, and green are used.", "isnew": ".", "links": "https://en.wikipedia.org/wiki/Flag_of_Guinea"},</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{"couname":"Guinea","year":"1958 ","region":"rgn_Africa","Colors":["cl_RED","cl_YEL","cl_GRE"],"Items":["3Color","lets06","startG","REEDEL","year19","allver","3Bands","Vertic","OnlyBa","NO_BLU","NO_WHI","NO_BLA","BAWHNO","BLWHNO","WHRENO","001RED","002YEL","003GRE","myrEQ","french","NoStar"],"Flag":"https://i.ibb.co/NmRXjj0/Guinea-Flag.png","HDFlag":"https://upload.wikimedia.org/wikipedia/commons/thumb/e/ed/Flag_of_Guinea.svg/2560px-Flag_of_Guinea.svg.png","type":"", "describe": "\nRed symbolizes the blood of anti-colonialist martyrs, the labor of the working classes, and the wish for progress; yellow represents Guinean gold, as well as the sun, which is the source of energy, generosity and equality for all men to which he gives light equally; and green represents the country's vegetation, continued prosperity arising from its natural resources, and the historically difficult life of the Guinean masses who live in the countryside. In turn, the symbolism behind each of the three colors corresponds to the three components of the national motto: Travail, Justice, Solidarité (Work, Justice, Solidarity).\n\nIn keeping with other flags in the region, the Pan-African movement's colors of red, yellow, and green are used.", "isnew": ".", "links": "https://en.wikipedia.org/wiki/Flag_of_Guinea"},</v>
      </c>
      <c r="HO2" s="75"/>
      <c r="HP2" s="48" t="str" cm="1">
        <f t="array" ref="HP2">IF(_xlfn.TEXTJOIN(", ", TRUE, IF(ISNUMBER(SEARCH("BLA", BL2:BT2)), COLUMN(BL2:BT2) - COLUMN(BL2) + 1, ""))&lt;&gt;"","BLA","")</f>
        <v/>
      </c>
      <c r="HQ2" s="48" t="str" cm="1">
        <f t="array" ref="HQ2">IF(_xlfn.TEXTJOIN(", ", TRUE, IF(ISNUMBER(SEARCH("BLU", BL2:BT2)), COLUMN(BL2:BT2) - COLUMN(BL2) + 1, ""))&lt;&gt;"","BLU","")</f>
        <v/>
      </c>
      <c r="HR2" s="48" t="str" cm="1">
        <f t="array" ref="HR2">IF(_xlfn.TEXTJOIN(", ", TRUE, IF(ISNUMBER(SEARCH("GRE", BL2:BT2)), COLUMN(BL2:BT2) - COLUMN(BL2) + 1, ""))&lt;&gt;"","GRE","")</f>
        <v>GRE</v>
      </c>
      <c r="HS2" s="48" t="str" cm="1">
        <f t="array" ref="HS2">IF(_xlfn.TEXTJOIN(", ", TRUE, IF(ISNUMBER(SEARCH("RED", BL2:BT2)), COLUMN(BL2:BT2) - COLUMN(BL2) + 1, ""))&lt;&gt;"","RED","")</f>
        <v>RED</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
      </c>
      <c r="HY2" s="76"/>
      <c r="HZ2" s="76"/>
      <c r="IA2" s="6"/>
      <c r="IB2" s="6"/>
      <c r="IC2" s="77"/>
      <c r="ID2" s="77"/>
      <c r="IE2" s="77"/>
      <c r="IF2" s="77"/>
      <c r="IG2" s="77"/>
      <c r="IH2" s="77"/>
      <c r="II2" s="77"/>
      <c r="IJ2" s="77"/>
      <c r="IK2" s="77"/>
      <c r="IL2" s="48">
        <f>SUM(IC2:IK2)</f>
        <v>0</v>
      </c>
      <c r="IM2" s="45">
        <f>COUNTIF(IC2:IK2,"&gt;0")-CG2</f>
        <v>-3</v>
      </c>
      <c r="IN2" s="78" t="str">
        <f>"http://mkweb.bcgsc.ca/color-summarizer/?url="&amp;D2&amp;"&amp;precision=low&amp;num_clusters="&amp;CG2&amp;"&amp;text=1"</f>
        <v>http://mkweb.bcgsc.ca/color-summarizer/?url=https://i.ibb.co/NmRXjj0/Guinea-Flag.png&amp;precision=low&amp;num_clusters=3&amp;text=1</v>
      </c>
      <c r="IO2" s="48" t="str">
        <f>IF(HP2&lt;&gt;"",CHAR(34)&amp;"black"&amp;CHAR(34),"")</f>
        <v/>
      </c>
      <c r="IP2" s="48" t="str">
        <f>IF(HQ2&lt;&gt;"",CHAR(34)&amp;"blue"&amp;CHAR(34),"")</f>
        <v/>
      </c>
      <c r="IQ2" s="48" t="str">
        <f>IF(HR2&lt;&gt;"",CHAR(34)&amp;"green"&amp;CHAR(34),"")</f>
        <v>"green"</v>
      </c>
      <c r="IR2" s="48" t="str">
        <f>IF(HS2&lt;&gt;"",CHAR(34)&amp;"red"&amp;CHAR(34),"")</f>
        <v>"red"</v>
      </c>
      <c r="IS2" s="48" t="str">
        <f>IF(HT2&lt;&gt;"",CHAR(34)&amp;"yellow"&amp;CHAR(34),"")</f>
        <v>"yellow"</v>
      </c>
      <c r="IT2" s="48" t="str">
        <f>IF(HU2&lt;&gt;"",CHAR(34)&amp;"orange"&amp;CHAR(34),"")</f>
        <v/>
      </c>
      <c r="IU2" s="48" t="str">
        <f>IF(HV2&lt;&gt;"",CHAR(34)&amp;"brown"&amp;CHAR(34),"")</f>
        <v/>
      </c>
      <c r="IV2" s="48" t="str">
        <f>IF(HW2&lt;&gt;"",CHAR(34)&amp;"purple"&amp;CHAR(34),"")</f>
        <v/>
      </c>
      <c r="IW2" s="48" t="str">
        <f>IF(HX2&lt;&gt;"",CHAR(34)&amp;"white"&amp;CHAR(34),"")</f>
        <v/>
      </c>
      <c r="IX2" s="48" t="str">
        <f>"{"&amp;CHAR(34)&amp;"url"&amp;CHAR(34)&amp;":"&amp;CHAR(34)&amp;IN2&amp;CHAR(34)&amp;","&amp;CHAR(34)&amp;"name"&amp;CHAR(34)&amp;":"&amp;CHAR(34)&amp;A2&amp;CHAR(34)&amp;"},"</f>
        <v>{"url":"http://mkweb.bcgsc.ca/color-summarizer/?url=https://i.ibb.co/NmRXjj0/Guinea-Flag.png&amp;precision=low&amp;num_clusters=3&amp;text=1","name":"Guinea"},</v>
      </c>
      <c r="IY2" s="48">
        <v>92</v>
      </c>
    </row>
    <row r="3" spans="1:259" s="48" customFormat="1" ht="38.4" customHeight="1" thickBot="1" x14ac:dyDescent="0.35">
      <c r="A3" s="79" t="s">
        <v>578</v>
      </c>
      <c r="B3" s="40" t="e" vm="52">
        <v>#VALUE!</v>
      </c>
      <c r="C3" s="41">
        <v>2</v>
      </c>
      <c r="D3" s="42" t="s">
        <v>579</v>
      </c>
      <c r="E3" s="43" t="s">
        <v>580</v>
      </c>
      <c r="F3" s="44" t="s">
        <v>163</v>
      </c>
      <c r="G3" s="45">
        <f>COUNTIF($A$1:$A$8381,A3)</f>
        <v>1</v>
      </c>
      <c r="H3" s="46"/>
      <c r="I3" s="47" t="s">
        <v>581</v>
      </c>
      <c r="J3" s="48" t="str">
        <f>""</f>
        <v/>
      </c>
      <c r="K3" s="49"/>
      <c r="L3" s="50"/>
      <c r="M3" s="50"/>
      <c r="N3" s="51" t="s">
        <v>180</v>
      </c>
      <c r="O3" s="52" t="s">
        <v>170</v>
      </c>
      <c r="P3" s="53" t="s">
        <v>582</v>
      </c>
      <c r="Q3" s="54">
        <v>1</v>
      </c>
      <c r="R3" s="55" t="s">
        <v>180</v>
      </c>
      <c r="S3" s="56">
        <v>0</v>
      </c>
      <c r="T3" s="57" t="s">
        <v>164</v>
      </c>
      <c r="U3" s="58" t="s">
        <v>164</v>
      </c>
      <c r="V3" s="58" t="s">
        <v>164</v>
      </c>
      <c r="W3" s="58" t="s">
        <v>164</v>
      </c>
      <c r="X3" s="58" t="s">
        <v>164</v>
      </c>
      <c r="Y3" s="58" t="s">
        <v>167</v>
      </c>
      <c r="Z3" s="58" t="s">
        <v>167</v>
      </c>
      <c r="AA3" s="58" t="s">
        <v>167</v>
      </c>
      <c r="AB3" s="58" t="s">
        <v>167</v>
      </c>
      <c r="AC3" s="58" t="s">
        <v>164</v>
      </c>
      <c r="AD3" s="58" t="s">
        <v>164</v>
      </c>
      <c r="AE3" s="58" t="s">
        <v>164</v>
      </c>
      <c r="AF3" s="59" t="s">
        <v>164</v>
      </c>
      <c r="AG3" s="59" t="s">
        <v>164</v>
      </c>
      <c r="AH3" s="59" t="s">
        <v>164</v>
      </c>
      <c r="AI3" s="59" t="s">
        <v>164</v>
      </c>
      <c r="AJ3" s="59" t="s">
        <v>164</v>
      </c>
      <c r="AK3" s="59" t="s">
        <v>164</v>
      </c>
      <c r="AL3" s="59" t="s">
        <v>164</v>
      </c>
      <c r="AM3" s="59" t="s">
        <v>167</v>
      </c>
      <c r="AN3" s="59" t="s">
        <v>164</v>
      </c>
      <c r="AO3" s="59" t="s">
        <v>167</v>
      </c>
      <c r="AP3" s="59" t="s">
        <v>167</v>
      </c>
      <c r="AQ3" s="59" t="s">
        <v>164</v>
      </c>
      <c r="AR3" s="59" t="s">
        <v>164</v>
      </c>
      <c r="AS3" s="59" t="s">
        <v>164</v>
      </c>
      <c r="AT3" s="60">
        <v>0</v>
      </c>
      <c r="AU3" s="59" t="s">
        <v>171</v>
      </c>
      <c r="AV3" s="59" t="str">
        <f>IF(LEFT(A3,1)="[",LEFT(A3,5)&amp;AU3&amp;A3,"")</f>
        <v>[GIN]Capital City[GIN] Conakry</v>
      </c>
      <c r="AW3" s="59" t="str">
        <f t="shared" ref="AW3" si="1">C3&amp;H3&amp;A3</f>
        <v>2[GIN] Conakry</v>
      </c>
      <c r="AX3" s="61"/>
      <c r="AY3" s="61"/>
      <c r="AZ3" s="62"/>
      <c r="BA3" s="62"/>
      <c r="BB3" s="62"/>
      <c r="BC3" s="63"/>
      <c r="BD3" s="64" t="s">
        <v>159</v>
      </c>
      <c r="BE3" s="47"/>
      <c r="BF3" s="64"/>
      <c r="BG3" s="64"/>
      <c r="BH3" s="64"/>
      <c r="BI3" s="64"/>
      <c r="BJ3" s="64"/>
      <c r="BK3" s="47"/>
      <c r="BL3" s="64" t="s">
        <v>159</v>
      </c>
      <c r="BM3" s="64" t="s">
        <v>151</v>
      </c>
      <c r="BN3" s="64" t="s">
        <v>153</v>
      </c>
      <c r="BO3" s="64" t="s">
        <v>152</v>
      </c>
      <c r="BP3" s="64" t="s">
        <v>154</v>
      </c>
      <c r="BQ3" s="64"/>
      <c r="BR3" s="64"/>
      <c r="BS3" s="64"/>
      <c r="BT3" s="64"/>
      <c r="BU3" s="65"/>
      <c r="BV3" s="66"/>
      <c r="BW3" s="66">
        <v>0</v>
      </c>
      <c r="BX3" s="47"/>
      <c r="CB3" s="6"/>
      <c r="CC3" s="6"/>
      <c r="CD3" s="67">
        <v>0</v>
      </c>
      <c r="CE3" s="67">
        <v>0</v>
      </c>
      <c r="CF3" s="67" t="e">
        <v>#REF!</v>
      </c>
      <c r="CG3" s="68" cm="1">
        <f t="array" ref="CG3">SUMPRODUCT(--(LEN(TRIM(BL3:BT3))&gt;0))</f>
        <v>5</v>
      </c>
      <c r="CH3" s="59" t="str">
        <f>IF(CG3=2,"y","n")</f>
        <v>n</v>
      </c>
      <c r="CI3" s="59" t="str">
        <f>IF(CG3=3,"y","n")</f>
        <v>n</v>
      </c>
      <c r="CJ3" s="59" t="str">
        <f>IF(CG3=4,"y","n")</f>
        <v>n</v>
      </c>
      <c r="CK3" s="59" t="str">
        <f>IF(CG3&gt;4,"y","n")</f>
        <v>y</v>
      </c>
      <c r="CL3" s="59" t="str">
        <f>IF(S3=0,"y","n")</f>
        <v>y</v>
      </c>
      <c r="CM3" s="59" t="str">
        <f>IF(S3=2,"y","n")</f>
        <v>n</v>
      </c>
      <c r="CN3" s="59" t="str">
        <f>IF(S3=3,"y","n")</f>
        <v>n</v>
      </c>
      <c r="CO3" s="59" t="str">
        <f>IF(S3&gt;=4,"y","n")</f>
        <v>n</v>
      </c>
      <c r="CP3" s="59" t="str">
        <f>IF(AT3=0,"y","n")</f>
        <v>y</v>
      </c>
      <c r="CQ3" s="59" t="str">
        <f>IF(AT3=1,"y","n")</f>
        <v>n</v>
      </c>
      <c r="CR3" s="59" t="str">
        <f>IF(AT3=2,"y","n")</f>
        <v>n</v>
      </c>
      <c r="CS3" s="59" t="str">
        <f>IF(AT3&gt;=3,"y","n")</f>
        <v>n</v>
      </c>
      <c r="CT3" s="69" t="str">
        <f>CHAR(34)&amp;A3&amp;CHAR(34)</f>
        <v>"[GIN] Conakry"</v>
      </c>
      <c r="CU3" s="70" t="str">
        <f>CHAR(34)&amp;"rgn_"&amp;R3&amp;CHAR(34)</f>
        <v>"rgn_Africa"</v>
      </c>
      <c r="CV3" s="48" t="str">
        <f>CHAR(34)&amp;D3&amp;CHAR(34)</f>
        <v>"https://upload.wikimedia.org/wikipedia/commons/thumb/8/87/Flag_of_Conakry.jpg/800px-Flag_of_Conakry.jpg"</v>
      </c>
      <c r="CW3" s="48" t="str">
        <f>IF(CH3="y",CHAR(34)&amp;CH$1&amp;CHAR(34)&amp;",","")</f>
        <v/>
      </c>
      <c r="CX3" s="48" t="str">
        <f>IF(CI3="y",CHAR(34)&amp;CI$1&amp;CHAR(34)&amp;",","")</f>
        <v/>
      </c>
      <c r="CY3" s="48" t="str">
        <f>IF(CJ3="y",CHAR(34)&amp;CJ$1&amp;CHAR(34)&amp;",","")</f>
        <v/>
      </c>
      <c r="CZ3" s="48" t="str">
        <f>IF(CK3="y",CHAR(34)&amp;CK$1&amp;CHAR(34)&amp;",","")</f>
        <v>"5+Colo",</v>
      </c>
      <c r="DA3" s="48" t="str">
        <f>IF(Q3&gt;1,CHAR(34)&amp;"words2"&amp;CHAR(34)&amp;",","")</f>
        <v/>
      </c>
      <c r="DB3" s="48" t="str">
        <f>IF(Q3&gt;2,CHAR(34)&amp;"words3"&amp;CHAR(34)&amp;",","")</f>
        <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"lets07",</v>
      </c>
      <c r="DE3" s="48" t="str">
        <f>CHAR(34)&amp;"start"&amp;IFERROR(LEFT(SUBSTITUTE(A3,"["&amp;MID(A3,FIND("[",A3)+1,FIND("]",A3)-FIND("[",A3)-1)&amp;"] ",""),1),LEFT(A3,1))&amp;CHAR(34)&amp;","</f>
        <v>"startC",</v>
      </c>
      <c r="DF3" s="48" t="str">
        <f>IFERROR(IF(SEARCH("tan",A3)&gt;0,CHAR(34)&amp;"withtn"&amp;CHAR(34)&amp;",",""),"")</f>
        <v/>
      </c>
      <c r="DG3" s="48" t="str">
        <f>IFERROR(IF(SEARCH("q",A3)&gt;0,CHAR(34)&amp;"with_q"&amp;CHAR(34)&amp;",",""),"")</f>
        <v/>
      </c>
      <c r="DH3" s="48" t="str">
        <f>IFERROR(IF(SEARCH("v",A3)&gt;0,CHAR(34)&amp;"with_v"&amp;CHAR(34)&amp;",",""),"")</f>
        <v/>
      </c>
      <c r="DI3" s="48" t="str">
        <f>IFERROR(IF(SEARCH("w",A3)&gt;0,CHAR(34)&amp;"with_w"&amp;CHAR(34)&amp;",",""),"")</f>
        <v/>
      </c>
      <c r="DJ3" s="48" t="str">
        <f>IFERROR(IF(SEARCH("y",A3)&gt;0,CHAR(34)&amp;"with_y"&amp;CHAR(34)&amp;",",""),"")</f>
        <v>"with_y",</v>
      </c>
      <c r="DK3" s="48" t="str">
        <f>IFERROR(IF(SEARCH("z",A3)&gt;0,CHAR(34)&amp;"with_z"&amp;CHAR(34)&amp;",",""),"")</f>
        <v/>
      </c>
      <c r="DL3" s="48" t="str">
        <f>IF(CG3=2, CHAR(34) &amp; _xlfn.TEXTJOIN("", TRUE, _xlfn._xlws.SORT(HP3:HX3)) &amp; CHAR(34) &amp; ",", "")</f>
        <v/>
      </c>
      <c r="DM3" s="48" t="str" cm="1">
        <f t="array" ref="DM3">IF(CG3=3,CHAR(34) &amp; _xlfn.TEXTJOIN("", TRUE, RIGHT(HP3:HX3, 2)) &amp; CHAR(34) &amp; ",", "")</f>
        <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
      </c>
      <c r="DP3" s="6" t="str">
        <f>IF(AND(ISNUMBER(SEARCH("20", O3)), ISERROR(SEARCH("1920", O3))), CHAR(34)&amp;"year00"&amp;CHAR(34)&amp;",", "")</f>
        <v/>
      </c>
      <c r="DQ3" s="6" t="str">
        <f>IF(CC3="y",CHAR(34)&amp;"soviet"&amp;CHAR(34)&amp;",","")</f>
        <v/>
      </c>
      <c r="DR3" s="6" t="str">
        <f>IF(BY3="y",CHAR(34)&amp;"dgband"&amp;CHAR(34)&amp;",","")</f>
        <v/>
      </c>
      <c r="DS3" s="6" t="str">
        <f>IF(W3="y",IF(AND(V3="n",BY3&lt;&gt;"y"),CHAR(34)&amp;"allver"&amp;CHAR(34)&amp;",",""),"")</f>
        <v/>
      </c>
      <c r="DT3" s="6" t="str">
        <f>IF(V3="y",IF(AND(W3="n",BY3&lt;&gt;"y"),CHAR(34)&amp;"allhor"&amp;CHAR(34)&amp;",",""),"")</f>
        <v/>
      </c>
      <c r="DU3" s="6" t="str">
        <f>IF(BY3="y",IF(AND(W3="n",V3="n"),CHAR(34)&amp;"alldia"&amp;CHAR(34)&amp;",",""),"")</f>
        <v/>
      </c>
      <c r="DW3" s="48" t="str">
        <f>IF(CL3="y",CHAR(34)&amp;CL$1&amp;CHAR(34)&amp;",","")</f>
        <v>"NoBand",</v>
      </c>
      <c r="DX3" s="48" t="str">
        <f>IF(CM3="y",CHAR(34)&amp;CM$1&amp;CHAR(34)&amp;",","")</f>
        <v/>
      </c>
      <c r="DY3" s="48" t="str">
        <f>IF(CN3="y",CHAR(34)&amp;CN$1&amp;CHAR(34)&amp;",","")</f>
        <v/>
      </c>
      <c r="DZ3" s="48" t="str">
        <f>IF(CO3="y",CHAR(34)&amp;CO$1&amp;CHAR(34)&amp;",","")</f>
        <v/>
      </c>
      <c r="EA3" s="48" t="str">
        <f>IF(T3="y",CHAR(34)&amp;T$1&amp;CHAR(34)&amp;",","")</f>
        <v/>
      </c>
      <c r="EB3" s="48" t="str">
        <f>IF(U3="y",CHAR(34)&amp;U$1&amp;CHAR(34)&amp;",","")</f>
        <v/>
      </c>
      <c r="EC3" s="48" t="str">
        <f>IF(V3="y",CHAR(34)&amp;V$1&amp;CHAR(34)&amp;",","")</f>
        <v/>
      </c>
      <c r="ED3" s="48" t="str">
        <f>IF(W3="y",CHAR(34)&amp;W$1&amp;CHAR(34)&amp;",","")</f>
        <v/>
      </c>
      <c r="EE3" s="48" t="str">
        <f>IF(X3="y",CHAR(34)&amp;X$1&amp;CHAR(34)&amp;",","")</f>
        <v/>
      </c>
      <c r="EF3" s="48" t="str">
        <f>IF(AND(Y3&lt;&gt;"n",Y3&lt;&gt;""),CHAR(34)&amp;Y$1&amp;CHAR(34)&amp;",","")</f>
        <v>"Animal",</v>
      </c>
      <c r="EG3" s="48" t="str">
        <f>IF(Z3="y",CHAR(34)&amp;Z$1&amp;CHAR(34)&amp;",","")</f>
        <v>"Bird",</v>
      </c>
      <c r="EH3" s="48" t="str">
        <f>IF(AA3="y",CHAR(34)&amp;AA$1&amp;CHAR(34)&amp;",","")</f>
        <v>"Plants",</v>
      </c>
      <c r="EI3" s="48" t="str">
        <f>IF(AB3="y",CHAR(34)&amp;AB$1&amp;CHAR(34)&amp;",","")</f>
        <v>"Texted",</v>
      </c>
      <c r="EJ3" s="48" t="str">
        <f>IF(AC3="y",CHAR(34)&amp;AC$1&amp;CHAR(34)&amp;",","")</f>
        <v/>
      </c>
      <c r="EK3" s="48" t="str">
        <f>IF(AD3="y",CHAR(34)&amp;AD$1&amp;CHAR(34)&amp;",","")</f>
        <v/>
      </c>
      <c r="EL3" s="48" t="str">
        <f>IF(AE3="y",CHAR(34)&amp;AE$1&amp;CHAR(34)&amp;",","")</f>
        <v/>
      </c>
      <c r="EM3" s="48" t="str">
        <f>IF(AF3="y",CHAR(34)&amp;AF$1&amp;CHAR(34)&amp;",","")</f>
        <v/>
      </c>
      <c r="EN3" s="48" t="str">
        <f>IF(AG3="y",CHAR(34)&amp;AG$1&amp;CHAR(34)&amp;",","")</f>
        <v/>
      </c>
      <c r="EO3" s="48" t="str">
        <f>IF(AH3="y",CHAR(34)&amp;AH$1&amp;CHAR(34)&amp;",","")</f>
        <v/>
      </c>
      <c r="EP3" s="48" t="str">
        <f>IF(AI3="y",CHAR(34)&amp;AI$1&amp;CHAR(34)&amp;",","")</f>
        <v/>
      </c>
      <c r="EQ3" s="48" t="str">
        <f>IF(AJ3="y",CHAR(34)&amp;AJ$1&amp;CHAR(34)&amp;",","")</f>
        <v/>
      </c>
      <c r="ER3" s="48" t="str">
        <f>IF(AK3="y",CHAR(34)&amp;AK$1&amp;CHAR(34)&amp;",","")</f>
        <v/>
      </c>
      <c r="ES3" s="48" t="str">
        <f>IF(AL3="y",CHAR(34)&amp;AL$1&amp;CHAR(34)&amp;",","")</f>
        <v/>
      </c>
      <c r="ET3" s="48" t="str">
        <f>IF(AM3="y",CHAR(34)&amp;AM$1&amp;CHAR(34)&amp;",","")</f>
        <v>"Geogrh",</v>
      </c>
      <c r="EU3" s="48" t="str">
        <f>IF(AN3="y",CHAR(34)&amp;AN$1&amp;CHAR(34)&amp;",","")</f>
        <v/>
      </c>
      <c r="EV3" s="48" t="str">
        <f>IF(AO3="y",CHAR(34)&amp;AO$1&amp;CHAR(34)&amp;",","")</f>
        <v>"Builds",</v>
      </c>
      <c r="EW3" s="48" t="str">
        <f>IF(AP3="y",CHAR(34)&amp;AP$1&amp;CHAR(34)&amp;",","")</f>
        <v>"Ships!",</v>
      </c>
      <c r="EX3" s="48" t="str">
        <f>IF(AQ3="y",CHAR(34)&amp;AQ$1&amp;CHAR(34)&amp;",","")</f>
        <v/>
      </c>
      <c r="EY3" s="48" t="str">
        <f>IF(AR3="y",CHAR(34)&amp;AR$1&amp;CHAR(34)&amp;",","")</f>
        <v/>
      </c>
      <c r="EZ3" s="48" t="str">
        <f>IF(AS3="y",CHAR(34)&amp;AS$1&amp;CHAR(34)&amp;",","")</f>
        <v/>
      </c>
      <c r="FA3" s="48" t="str">
        <f>IF(AT3&gt;0,CHAR(34)&amp;"sta"&amp;AZ3&amp;CHAR(34)&amp;",","")</f>
        <v/>
      </c>
      <c r="FB3" s="48" t="str">
        <f>IF(AND(AT3&gt;0,BA3&lt;&gt;""),CHAR(34)&amp;"sta"&amp;BA3&amp;CHAR(34)&amp;",","")</f>
        <v/>
      </c>
      <c r="FD3" s="48" t="str">
        <f>IF(BV3="n",CHAR(34)&amp;"tcWHYE"&amp;CHAR(34)&amp;",",IF(BV3="y",CHAR(34)&amp;FD$1&amp;CHAR(34)&amp;",",""))</f>
        <v/>
      </c>
      <c r="FE3" s="48" t="str">
        <f>IF(COUNTIF(BL3:BT3,"BLU")=0,CHAR(34)&amp;"NO_BLU"&amp;CHAR(34)&amp;",", "")</f>
        <v/>
      </c>
      <c r="FF3" s="48" t="str">
        <f>IF(COUNTIF(BL3:BT3,"WHI")=0,CHAR(34)&amp;"NO_WHI"&amp;CHAR(34)&amp;",", "")</f>
        <v/>
      </c>
      <c r="FG3" s="48" t="str">
        <f>IF(COUNTIF(BL3:BT3,"RED")=0,CHAR(34)&amp;"NO_RED"&amp;CHAR(34)&amp;",", "")</f>
        <v/>
      </c>
      <c r="FH3" s="48" t="str">
        <f>IF(COUNTIF(BL3:BS3,"GRE")=0,CHAR(34)&amp;"NO_GRE"&amp;CHAR(34)&amp;",", "")</f>
        <v/>
      </c>
      <c r="FI3" s="48" t="str">
        <f>IF(COUNTIF(BL3:BT3,"YEL")=0,CHAR(34)&amp;"NO_YEL"&amp;CHAR(34)&amp;",", "")</f>
        <v>"NO_YEL",</v>
      </c>
      <c r="FJ3" s="48" t="str">
        <f>IF(COUNTIF(BL3:BT3,"BLA")=0,CHAR(34)&amp;"NO_BLA"&amp;CHAR(34)&amp;",", "")</f>
        <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
      </c>
      <c r="FQ3" s="48" t="str">
        <f>IF(LEN(BF3)=3,CHAR(34)&amp;"001"&amp;BF3&amp;CHAR(34)&amp;",","")</f>
        <v/>
      </c>
      <c r="FR3" s="48" t="str">
        <f>IF(LEN(BG3)=3,CHAR(34)&amp;"002"&amp;BG3&amp;CHAR(34)&amp;",","")</f>
        <v/>
      </c>
      <c r="FS3" s="48" t="str">
        <f>IF(LEN(BH3)=3,CHAR(34)&amp;"003"&amp;BH3&amp;CHAR(34)&amp;",","")</f>
        <v/>
      </c>
      <c r="FT3" s="48" t="str">
        <f>CHAR(34)&amp;"myr"&amp;BD3&amp;CHAR(34)&amp;","</f>
        <v>"myrWHI",</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
      </c>
      <c r="GG3" s="48" t="str">
        <f>IF(BU3="y",CHAR(34)&amp;"unjack"&amp;CHAR(34)&amp;",","")</f>
        <v/>
      </c>
      <c r="GH3" s="48" t="str">
        <f>IF(CD3=1,CHAR(34)&amp;"southc"&amp;CHAR(34)&amp;",","")</f>
        <v/>
      </c>
      <c r="GI3" s="48" t="str">
        <f>IF(CE3=1,CHAR(34)&amp;"hasmap"&amp;CHAR(34)&amp;",","")</f>
        <v/>
      </c>
      <c r="GJ3" s="48" t="str">
        <f>IF(CP3="y",CHAR(34)&amp;CP$1&amp;CHAR(34)&amp;",","")</f>
        <v>"NoStar",</v>
      </c>
      <c r="GK3" s="48" t="str">
        <f>IF(GJ3="",CHAR(34)&amp;"HasSta"&amp;CHAR(34)&amp;",","")</f>
        <v/>
      </c>
      <c r="GL3" s="48" t="str">
        <f>IF(CQ3="y",CHAR(34)&amp;CQ$1&amp;CHAR(34)&amp;",","")</f>
        <v/>
      </c>
      <c r="GM3" s="48" t="str">
        <f>IF(CR3="y",CHAR(34)&amp;CR$1&amp;CHAR(34)&amp;",","")</f>
        <v/>
      </c>
      <c r="GN3" s="48" t="str">
        <f>IF(CS3="y",CHAR(34)&amp;CS$1&amp;CHAR(34)&amp;",","")</f>
        <v/>
      </c>
      <c r="GP3" s="48" t="str">
        <f>CHAR(34)&amp;AU3&amp;CHAR(34)</f>
        <v>"Capital City"</v>
      </c>
      <c r="GS3" s="48" t="str">
        <f>SUBSTITUTE("["&amp;_xlfn.CONCAT(CW3:GN3)&amp;"]",",]","]")</f>
        <v>["5+Colo","lets07","startC","with_y","NoBand","Animal","Bird","Plants","Texted","Geogrh","Builds","Ships!","NO_YEL","myrWHI","NoStar"]</v>
      </c>
      <c r="GT3" s="48" t="str">
        <f>IF(BL3&lt;&gt;"",CHAR(34)&amp;"cl_"&amp;BL3&amp;CHAR(34)&amp;",","")</f>
        <v>"cl_WHI",</v>
      </c>
      <c r="GU3" s="48" t="str">
        <f>IF(BM3&lt;&gt;"",CHAR(34)&amp;"cl_"&amp;BM3&amp;CHAR(34)&amp;",","")</f>
        <v>"cl_BLA",</v>
      </c>
      <c r="GV3" s="48" t="str">
        <f>IF(BN3&lt;&gt;"",CHAR(34)&amp;"cl_"&amp;BN3&amp;CHAR(34)&amp;",","")</f>
        <v>"cl_GRE",</v>
      </c>
      <c r="GW3" s="48" t="str">
        <f>IF(BO3&lt;&gt;"",CHAR(34)&amp;"cl_"&amp;BO3&amp;CHAR(34)&amp;",","")</f>
        <v>"cl_BLU",</v>
      </c>
      <c r="GX3" s="48" t="str">
        <f>IF(BP3&lt;&gt;"",CHAR(34)&amp;"cl_"&amp;BP3&amp;CHAR(34)&amp;",","")</f>
        <v>"cl_RED",</v>
      </c>
      <c r="GY3" s="48" t="str">
        <f>IF(BQ3&lt;&gt;"",CHAR(34)&amp;"cl_"&amp;BQ3&amp;CHAR(34)&amp;",","")</f>
        <v/>
      </c>
      <c r="GZ3" s="48" t="str">
        <f>IF(BR3&lt;&gt;"",CHAR(34)&amp;"cl_"&amp;BR3&amp;CHAR(34)&amp;",","")</f>
        <v/>
      </c>
      <c r="HA3" s="48" t="str">
        <f>IF(BS3&lt;&gt;"",CHAR(34)&amp;"cl_"&amp;BS3&amp;CHAR(34)&amp;",","")</f>
        <v/>
      </c>
      <c r="HB3" s="48" t="str">
        <f>IF(BT3&lt;&gt;"",CHAR(34)&amp;"cl_"&amp;BT3&amp;CHAR(34)&amp;",","")</f>
        <v/>
      </c>
      <c r="HC3" s="48" t="str">
        <f>SUBSTITUTE("["&amp;_xlfn.CONCAT(GT3:HB3)&amp;"]",",]","]")</f>
        <v>["cl_WHI","cl_BLA","cl_GRE","cl_BLU","cl_RED"]</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{couname:"[GIN] Conakry",year:"???",region:"rgn_Africa",Colors:["cl_WHI","cl_BLA","cl_GRE","cl_BLU","cl_RED"],Items:["5+Colo","lets07","startC","with_y","NoBand","Animal","Bird","Plants","Texted","Geogrh","Builds","Ships!","NO_YEL","myrWHI","NoStar"],Flag:"https://upload.wikimedia.org/wikipedia/commons/thumb/8/87/Flag_of_Conakry.jpg/800px-Flag_of_Conakry.jpg",HDFlag:"https://upload.wikimedia.org/wikipedia/commons/8/87/Flag_of_Conakry.jpg",type:"Capital City", describe: "\nSeal of the city in a white background.", isnew:".", links: "https://en.wikipedia.org/wiki/Conakry"},</v>
      </c>
      <c r="HG3" s="73" t="str">
        <f>"{couname:"&amp;CT3&amp;(IF(HK3&lt;&gt;"",",subtype:"&amp;CHAR(34)&amp;HK3&amp;CHAR(34),""))&amp;",year:"&amp;HJ3&amp;",region:"&amp;CU3&amp;",Colors:"&amp;HC3&amp;",Items:"&amp;GS3&amp;",Flag:"&amp;CV3&amp;",HDFlag:"&amp;CHAR(34)&amp;E3&amp;CHAR(34)&amp;",type:"&amp;GP3&amp;", describe: "&amp;HI3&amp;", links: "&amp;HL3&amp;"},"</f>
        <v>{couname:"[GIN] Conakry",year:"???",region:"rgn_Africa",Colors:["cl_WHI","cl_BLA","cl_GRE","cl_BLU","cl_RED"],Items:["5+Colo","lets07","startC","with_y","NoBand","Animal","Bird","Plants","Texted","Geogrh","Builds","Ships!","NO_YEL","myrWHI","NoStar"],Flag:"https://upload.wikimedia.org/wikipedia/commons/thumb/8/87/Flag_of_Conakry.jpg/800px-Flag_of_Conakry.jpg",HDFlag:"https://upload.wikimedia.org/wikipedia/commons/8/87/Flag_of_Conakry.jpg",type:"Capital City", describe: "\nSeal of the city in a white background.", links: "https://en.wikipedia.org/wiki/Conakry"},</v>
      </c>
      <c r="HH3" s="48" t="str">
        <f>IF(P3&lt;&gt;"",CHAR(34)&amp;"\n"&amp;P3&amp;CHAR(34),CHAR(34)&amp;CHAR(34))</f>
        <v>"\nSeal of the city in a white background."</v>
      </c>
      <c r="HI3" s="48" t="str">
        <f>IF(J3=0,CHAR(34)&amp;CHAR(34),HH3)</f>
        <v>"\nSeal of the city in a white background."</v>
      </c>
      <c r="HJ3" s="48" t="str">
        <f>CHAR(34)&amp;O3&amp;CHAR(34)</f>
        <v>"???"</v>
      </c>
      <c r="HL3" s="48" t="str">
        <f>CHAR(34)&amp;I3&amp;CHAR(34)</f>
        <v>"https://en.wikipedia.org/wiki/Conakry"</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{"couname":"[GIN] Conakry","year":"???","region":"rgn_Africa","Colors":["cl_WHI","cl_BLA","cl_GRE","cl_BLU","cl_RED"],"Items":["5+Colo","lets07","startC","with_y","NoBand","Animal","Bird","Plants","Texted","Geogrh","Builds","Ships!","NO_YEL","myrWHI","NoStar"],"Flag":"https://upload.wikimedia.org/wikipedia/commons/thumb/8/87/Flag_of_Conakry.jpg/800px-Flag_of_Conakry.jpg","HDFlag":"https://upload.wikimedia.org/wikipedia/commons/8/87/Flag_of_Conakry.jpg","type":"Capital City", "describe": "\nSeal of the city in a white background.", "isnew": ".", "links": "https://en.wikipedia.org/wiki/Conakry"},</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{"couname":"[GIN] Conakry","year":"???","region":"rgn_Africa","Colors":["cl_WHI","cl_BLA","cl_GRE","cl_BLU","cl_RED"],"Items":["5+Colo","lets07","startC","with_y","NoBand","Animal","Bird","Plants","Texted","Geogrh","Builds","Ships!","NO_YEL","myrWHI","NoStar"],"Flag":"https://upload.wikimedia.org/wikipedia/commons/thumb/8/87/Flag_of_Conakry.jpg/800px-Flag_of_Conakry.jpg","HDFlag":"https://upload.wikimedia.org/wikipedia/commons/8/87/Flag_of_Conakry.jpg","type":"Capital City", "describe": "\nSeal of the city in a white background.", "isnew": ".", "links": "https://en.wikipedia.org/wiki/Conakry"},</v>
      </c>
      <c r="HO3" s="75">
        <v>45644</v>
      </c>
      <c r="HP3" s="48" t="str" cm="1">
        <f t="array" ref="HP3">IF(_xlfn.TEXTJOIN(", ", TRUE, IF(ISNUMBER(SEARCH("BLA", BL3:BT3)), COLUMN(BL3:BT3) - COLUMN(BL3) + 1, ""))&lt;&gt;"","BLA","")</f>
        <v>BLA</v>
      </c>
      <c r="HQ3" s="48" t="str" cm="1">
        <f t="array" ref="HQ3">IF(_xlfn.TEXTJOIN(", ", TRUE, IF(ISNUMBER(SEARCH("BLU", BL3:BT3)), COLUMN(BL3:BT3) - COLUMN(BL3) + 1, ""))&lt;&gt;"","BLU","")</f>
        <v>BLU</v>
      </c>
      <c r="HR3" s="48" t="str" cm="1">
        <f t="array" ref="HR3">IF(_xlfn.TEXTJOIN(", ", TRUE, IF(ISNUMBER(SEARCH("GRE", BL3:BT3)), COLUMN(BL3:BT3) - COLUMN(BL3) + 1, ""))&lt;&gt;"","GRE","")</f>
        <v>GRE</v>
      </c>
      <c r="HS3" s="48" t="str" cm="1">
        <f t="array" ref="HS3">IF(_xlfn.TEXTJOIN(", ", TRUE, IF(ISNUMBER(SEARCH("RED", BL3:BT3)), COLUMN(BL3:BT3) - COLUMN(BL3) + 1, ""))&lt;&gt;"","RED","")</f>
        <v>RED</v>
      </c>
      <c r="HT3" s="48" t="str" cm="1">
        <f t="array" ref="HT3">IF(_xlfn.TEXTJOIN(", ", TRUE, IF(ISNUMBER(SEARCH("YEL", BL3:BT3)), COLUMN(BL3:BT3) - COLUMN(BL3) + 1, ""))&lt;&gt;"","YEL","")</f>
        <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M3" s="45">
        <f>COUNTIF(IC3:IK3,"&gt;0")-CG3</f>
        <v>-5</v>
      </c>
      <c r="IN3" s="78" t="str">
        <f>"http://mkweb.bcgsc.ca/color-summarizer/?url="&amp;D3&amp;"&amp;precision=low&amp;num_clusters="&amp;CG3&amp;"&amp;text=1"</f>
        <v>http://mkweb.bcgsc.ca/color-summarizer/?url=https://upload.wikimedia.org/wikipedia/commons/thumb/8/87/Flag_of_Conakry.jpg/800px-Flag_of_Conakry.jpg&amp;precision=low&amp;num_clusters=5&amp;text=1</v>
      </c>
      <c r="IO3" s="48" t="str">
        <f>IF(HP3&lt;&gt;"",CHAR(34)&amp;"black"&amp;CHAR(34),"")</f>
        <v>"black"</v>
      </c>
      <c r="IP3" s="48" t="str">
        <f>IF(HQ3&lt;&gt;"",CHAR(34)&amp;"blue"&amp;CHAR(34),"")</f>
        <v>"blue"</v>
      </c>
      <c r="IQ3" s="48" t="str">
        <f>IF(HR3&lt;&gt;"",CHAR(34)&amp;"green"&amp;CHAR(34),"")</f>
        <v>"green"</v>
      </c>
      <c r="IR3" s="48" t="str">
        <f>IF(HS3&lt;&gt;"",CHAR(34)&amp;"red"&amp;CHAR(34),"")</f>
        <v>"red"</v>
      </c>
      <c r="IS3" s="48" t="str">
        <f>IF(HT3&lt;&gt;"",CHAR(34)&amp;"yellow"&amp;CHAR(34),"")</f>
        <v/>
      </c>
      <c r="IT3" s="48" t="str">
        <f>IF(HU3&lt;&gt;"",CHAR(34)&amp;"orange"&amp;CHAR(34),"")</f>
        <v/>
      </c>
      <c r="IU3" s="48" t="str">
        <f>IF(HV3&lt;&gt;"",CHAR(34)&amp;"brown"&amp;CHAR(34),"")</f>
        <v/>
      </c>
      <c r="IV3" s="48" t="str">
        <f>IF(HW3&lt;&gt;"",CHAR(34)&amp;"purple"&amp;CHAR(34),"")</f>
        <v/>
      </c>
      <c r="IW3" s="48" t="str">
        <f>IF(HX3&lt;&gt;"",CHAR(34)&amp;"white"&amp;CHAR(34),"")</f>
        <v>"white"</v>
      </c>
      <c r="IX3" s="48" t="str">
        <f>"{"&amp;CHAR(34)&amp;"url"&amp;CHAR(34)&amp;":"&amp;CHAR(34)&amp;IN3&amp;CHAR(34)&amp;","&amp;CHAR(34)&amp;"name"&amp;CHAR(34)&amp;":"&amp;CHAR(34)&amp;A3&amp;CHAR(34)&amp;"},"</f>
        <v>{"url":"http://mkweb.bcgsc.ca/color-summarizer/?url=https://upload.wikimedia.org/wikipedia/commons/thumb/8/87/Flag_of_Conakry.jpg/800px-Flag_of_Conakry.jpg&amp;precision=low&amp;num_clusters=5&amp;text=1","name":"[GIN] Conakry"},</v>
      </c>
      <c r="IY3" s="48">
        <v>1503</v>
      </c>
    </row>
    <row r="4" spans="1:259" ht="38.4" customHeight="1" x14ac:dyDescent="0.3">
      <c r="F4" s="82"/>
      <c r="G4" s="82"/>
      <c r="H4" s="82"/>
      <c r="I4" s="82"/>
      <c r="J4" s="82"/>
      <c r="K4" s="82"/>
    </row>
    <row r="5" spans="1:259" ht="38.4" customHeight="1" x14ac:dyDescent="0.3">
      <c r="F5" s="82"/>
      <c r="G5" s="82"/>
      <c r="H5" s="82"/>
      <c r="I5" s="82"/>
      <c r="J5" s="82"/>
      <c r="K5" s="82"/>
    </row>
    <row r="6" spans="1:259" ht="38.4" customHeight="1" x14ac:dyDescent="0.3">
      <c r="F6" s="82"/>
      <c r="G6" s="82"/>
      <c r="H6" s="82"/>
      <c r="I6" s="82"/>
      <c r="J6" s="82"/>
      <c r="K6" s="82"/>
    </row>
  </sheetData>
  <autoFilter ref="A1:IY1" xr:uid="{A1051193-A95B-4CFB-A73C-F0184620C81F}">
    <sortState xmlns:xlrd2="http://schemas.microsoft.com/office/spreadsheetml/2017/richdata2" ref="A2:IY5">
      <sortCondition ref="AW1"/>
    </sortState>
  </autoFilter>
  <conditionalFormatting sqref="H1 CW1:GS1 IA1:IB1">
    <cfRule type="cellIs" dxfId="4136" priority="118" operator="greaterThan">
      <formula>0</formula>
    </cfRule>
  </conditionalFormatting>
  <conditionalFormatting sqref="H1 H7:H1048576">
    <cfRule type="cellIs" dxfId="4135" priority="84" stopIfTrue="1" operator="notEqual">
      <formula>""</formula>
    </cfRule>
  </conditionalFormatting>
  <conditionalFormatting sqref="T1:BK1">
    <cfRule type="cellIs" dxfId="4134" priority="121" operator="greaterThan">
      <formula>0</formula>
    </cfRule>
  </conditionalFormatting>
  <conditionalFormatting sqref="BV1:BW1 BV4:BW1048576">
    <cfRule type="cellIs" dxfId="4133" priority="120" operator="equal">
      <formula>"nc"</formula>
    </cfRule>
  </conditionalFormatting>
  <conditionalFormatting sqref="HF1:HG1">
    <cfRule type="cellIs" dxfId="4132" priority="122" operator="greaterThan">
      <formula>0</formula>
    </cfRule>
  </conditionalFormatting>
  <conditionalFormatting sqref="HK1">
    <cfRule type="cellIs" dxfId="4131" priority="119" operator="greaterThan">
      <formula>0</formula>
    </cfRule>
  </conditionalFormatting>
  <conditionalFormatting sqref="HP1:HX1">
    <cfRule type="cellIs" dxfId="4130" priority="96" operator="equal">
      <formula>"PIN"</formula>
    </cfRule>
    <cfRule type="cellIs" dxfId="4129" priority="97" operator="equal">
      <formula>"ORA"</formula>
    </cfRule>
    <cfRule type="cellIs" dxfId="4128" priority="98" operator="equal">
      <formula>"GRA"</formula>
    </cfRule>
    <cfRule type="cellIs" dxfId="4127" priority="99" operator="equal">
      <formula>"PUR"</formula>
    </cfRule>
    <cfRule type="cellIs" dxfId="4126" priority="100" operator="equal">
      <formula>"BRO"</formula>
    </cfRule>
    <cfRule type="cellIs" dxfId="4125" priority="101" operator="equal">
      <formula>"YEL"</formula>
    </cfRule>
    <cfRule type="cellIs" dxfId="4124" priority="102" operator="equal">
      <formula>"BLU"</formula>
    </cfRule>
    <cfRule type="cellIs" dxfId="4123" priority="103" operator="equal">
      <formula>"WHI"</formula>
    </cfRule>
    <cfRule type="cellIs" dxfId="4122" priority="104" operator="equal">
      <formula>"GRE"</formula>
    </cfRule>
    <cfRule type="cellIs" dxfId="4121" priority="105" operator="equal">
      <formula>"RED"</formula>
    </cfRule>
    <cfRule type="cellIs" dxfId="4120" priority="106" operator="equal">
      <formula>"BLA"</formula>
    </cfRule>
  </conditionalFormatting>
  <conditionalFormatting sqref="IC1:IK1">
    <cfRule type="cellIs" dxfId="4119" priority="107" operator="equal">
      <formula>"PIN"</formula>
    </cfRule>
    <cfRule type="cellIs" dxfId="4118" priority="108" operator="equal">
      <formula>"ORA"</formula>
    </cfRule>
    <cfRule type="cellIs" dxfId="4117" priority="109" operator="equal">
      <formula>"GRA"</formula>
    </cfRule>
    <cfRule type="cellIs" dxfId="4116" priority="110" operator="equal">
      <formula>"PUR"</formula>
    </cfRule>
    <cfRule type="cellIs" dxfId="4115" priority="111" operator="equal">
      <formula>"BRO"</formula>
    </cfRule>
    <cfRule type="cellIs" dxfId="4114" priority="112" operator="equal">
      <formula>"YEL"</formula>
    </cfRule>
    <cfRule type="cellIs" dxfId="4113" priority="113" operator="equal">
      <formula>"BLU"</formula>
    </cfRule>
    <cfRule type="cellIs" dxfId="4112" priority="114" operator="equal">
      <formula>"WHI"</formula>
    </cfRule>
    <cfRule type="cellIs" dxfId="4111" priority="115" operator="equal">
      <formula>"GRE"</formula>
    </cfRule>
    <cfRule type="cellIs" dxfId="4110" priority="116" operator="equal">
      <formula>"RED"</formula>
    </cfRule>
    <cfRule type="cellIs" dxfId="4109" priority="117" operator="equal">
      <formula>"BLA"</formula>
    </cfRule>
  </conditionalFormatting>
  <conditionalFormatting sqref="IO1:IW1">
    <cfRule type="cellIs" dxfId="4108" priority="85" operator="equal">
      <formula>"PIN"</formula>
    </cfRule>
    <cfRule type="cellIs" dxfId="4107" priority="86" operator="equal">
      <formula>"ORA"</formula>
    </cfRule>
    <cfRule type="cellIs" dxfId="4106" priority="87" operator="equal">
      <formula>"GRA"</formula>
    </cfRule>
    <cfRule type="cellIs" dxfId="4105" priority="88" operator="equal">
      <formula>"PUR"</formula>
    </cfRule>
    <cfRule type="cellIs" dxfId="4104" priority="89" operator="equal">
      <formula>"BRO"</formula>
    </cfRule>
    <cfRule type="cellIs" dxfId="4103" priority="90" operator="equal">
      <formula>"YEL"</formula>
    </cfRule>
    <cfRule type="cellIs" dxfId="4102" priority="91" operator="equal">
      <formula>"BLU"</formula>
    </cfRule>
    <cfRule type="cellIs" dxfId="4101" priority="92" operator="equal">
      <formula>"WHI"</formula>
    </cfRule>
    <cfRule type="cellIs" dxfId="4100" priority="93" operator="equal">
      <formula>"GRE"</formula>
    </cfRule>
    <cfRule type="cellIs" dxfId="4099" priority="94" operator="equal">
      <formula>"RED"</formula>
    </cfRule>
    <cfRule type="cellIs" dxfId="4098" priority="95" operator="equal">
      <formula>"BLA"</formula>
    </cfRule>
  </conditionalFormatting>
  <conditionalFormatting sqref="H3">
    <cfRule type="cellIs" dxfId="4097" priority="76" stopIfTrue="1" operator="notEqual">
      <formula>""</formula>
    </cfRule>
  </conditionalFormatting>
  <conditionalFormatting sqref="R3 CU3">
    <cfRule type="cellIs" dxfId="4096" priority="79" operator="greaterThan">
      <formula>0</formula>
    </cfRule>
  </conditionalFormatting>
  <conditionalFormatting sqref="T3:AS3 CH3:CS3">
    <cfRule type="cellIs" dxfId="4095" priority="73" stopIfTrue="1" operator="equal">
      <formula>"n"</formula>
    </cfRule>
    <cfRule type="cellIs" dxfId="4094" priority="74" stopIfTrue="1" operator="equal">
      <formula>"y"</formula>
    </cfRule>
    <cfRule type="cellIs" dxfId="4093" priority="75" operator="greaterThan">
      <formula>0</formula>
    </cfRule>
  </conditionalFormatting>
  <conditionalFormatting sqref="AZ3:BB3">
    <cfRule type="expression" dxfId="4092" priority="60">
      <formula>$AT3=0</formula>
    </cfRule>
  </conditionalFormatting>
  <conditionalFormatting sqref="CD3:CF3 BX3:CA3 AZ3:BU3">
    <cfRule type="cellIs" dxfId="4091" priority="61" operator="equal">
      <formula>"PIN"</formula>
    </cfRule>
    <cfRule type="cellIs" dxfId="4090" priority="62" operator="equal">
      <formula>"ORA"</formula>
    </cfRule>
    <cfRule type="cellIs" dxfId="4089" priority="63" operator="equal">
      <formula>"GRA"</formula>
    </cfRule>
    <cfRule type="cellIs" dxfId="4088" priority="64" operator="equal">
      <formula>"PUR"</formula>
    </cfRule>
    <cfRule type="cellIs" dxfId="4087" priority="65" operator="equal">
      <formula>"BRO"</formula>
    </cfRule>
    <cfRule type="cellIs" dxfId="4086" priority="66" operator="equal">
      <formula>"YEL"</formula>
    </cfRule>
    <cfRule type="cellIs" dxfId="4085" priority="67" operator="equal">
      <formula>"BLU"</formula>
    </cfRule>
    <cfRule type="cellIs" dxfId="4084" priority="68" operator="equal">
      <formula>"WHI"</formula>
    </cfRule>
    <cfRule type="cellIs" dxfId="4083" priority="69" operator="equal">
      <formula>"GRE"</formula>
    </cfRule>
    <cfRule type="cellIs" dxfId="4082" priority="70" operator="equal">
      <formula>"RED"</formula>
    </cfRule>
    <cfRule type="cellIs" dxfId="4081" priority="71" operator="equal">
      <formula>"BLA"</formula>
    </cfRule>
  </conditionalFormatting>
  <conditionalFormatting sqref="BV3">
    <cfRule type="cellIs" dxfId="4080" priority="78" operator="equal">
      <formula>"nc"</formula>
    </cfRule>
  </conditionalFormatting>
  <conditionalFormatting sqref="CD3:CF3 BX3:CA3">
    <cfRule type="cellIs" dxfId="4079" priority="77" operator="equal">
      <formula>"y"</formula>
    </cfRule>
  </conditionalFormatting>
  <conditionalFormatting sqref="CD3:CF3 BZ3:CA3">
    <cfRule type="cellIs" dxfId="4078" priority="72" operator="greaterThan">
      <formula>0</formula>
    </cfRule>
  </conditionalFormatting>
  <conditionalFormatting sqref="IC3:IK3">
    <cfRule type="expression" dxfId="4077" priority="59">
      <formula>$IL3&gt;0</formula>
    </cfRule>
  </conditionalFormatting>
  <conditionalFormatting sqref="IC3">
    <cfRule type="cellIs" dxfId="4076" priority="53" stopIfTrue="1" operator="greaterThan">
      <formula>0</formula>
    </cfRule>
  </conditionalFormatting>
  <conditionalFormatting sqref="ID3">
    <cfRule type="cellIs" dxfId="4075" priority="51" stopIfTrue="1" operator="greaterThan">
      <formula>0</formula>
    </cfRule>
  </conditionalFormatting>
  <conditionalFormatting sqref="II3 IE3:IF3">
    <cfRule type="cellIs" dxfId="4074" priority="58" operator="greaterThan">
      <formula>0</formula>
    </cfRule>
  </conditionalFormatting>
  <conditionalFormatting sqref="II3 IF3">
    <cfRule type="cellIs" dxfId="4073" priority="52" stopIfTrue="1" operator="greaterThan">
      <formula>0</formula>
    </cfRule>
  </conditionalFormatting>
  <conditionalFormatting sqref="IG3">
    <cfRule type="cellIs" dxfId="4072" priority="57" operator="greaterThan">
      <formula>0</formula>
    </cfRule>
  </conditionalFormatting>
  <conditionalFormatting sqref="IH3:II3">
    <cfRule type="cellIs" dxfId="4071" priority="56" operator="greaterThan">
      <formula>0</formula>
    </cfRule>
  </conditionalFormatting>
  <conditionalFormatting sqref="IJ3">
    <cfRule type="cellIs" dxfId="4070" priority="55" operator="greaterThan">
      <formula>0</formula>
    </cfRule>
  </conditionalFormatting>
  <conditionalFormatting sqref="IK3">
    <cfRule type="cellIs" dxfId="4069" priority="54" operator="greaterThan">
      <formula>0</formula>
    </cfRule>
  </conditionalFormatting>
  <conditionalFormatting sqref="IF3">
    <cfRule type="cellIs" dxfId="4068" priority="50" stopIfTrue="1" operator="greaterThan">
      <formula>0</formula>
    </cfRule>
  </conditionalFormatting>
  <conditionalFormatting sqref="IM3">
    <cfRule type="cellIs" dxfId="4067" priority="49" operator="equal">
      <formula>0</formula>
    </cfRule>
  </conditionalFormatting>
  <conditionalFormatting sqref="BX3:CA3 CD3:CF3">
    <cfRule type="cellIs" dxfId="4066" priority="37" operator="equal">
      <formula>"y"</formula>
    </cfRule>
    <cfRule type="cellIs" dxfId="4065" priority="38" operator="equal">
      <formula>"PIN"</formula>
    </cfRule>
    <cfRule type="cellIs" dxfId="4064" priority="39" operator="equal">
      <formula>"ORA"</formula>
    </cfRule>
    <cfRule type="cellIs" dxfId="4063" priority="40" operator="equal">
      <formula>"GRA"</formula>
    </cfRule>
    <cfRule type="cellIs" dxfId="4062" priority="41" operator="equal">
      <formula>"PUR"</formula>
    </cfRule>
    <cfRule type="cellIs" dxfId="4061" priority="42" operator="equal">
      <formula>"BRO"</formula>
    </cfRule>
    <cfRule type="cellIs" dxfId="4060" priority="43" operator="equal">
      <formula>"YEL"</formula>
    </cfRule>
    <cfRule type="cellIs" dxfId="4059" priority="44" operator="equal">
      <formula>"BLU"</formula>
    </cfRule>
    <cfRule type="cellIs" dxfId="4058" priority="45" operator="equal">
      <formula>"WHI"</formula>
    </cfRule>
    <cfRule type="cellIs" dxfId="4057" priority="46" operator="equal">
      <formula>"GRE"</formula>
    </cfRule>
    <cfRule type="cellIs" dxfId="4056" priority="47" operator="equal">
      <formula>"RED"</formula>
    </cfRule>
    <cfRule type="cellIs" dxfId="4055" priority="48" operator="equal">
      <formula>"BLA"</formula>
    </cfRule>
  </conditionalFormatting>
  <conditionalFormatting sqref="AT3">
    <cfRule type="colorScale" priority="80">
      <colorScale>
        <cfvo type="min"/>
        <cfvo type="max"/>
        <color rgb="FFFCFCFF"/>
        <color theme="8" tint="0.39997558519241921"/>
      </colorScale>
    </cfRule>
  </conditionalFormatting>
  <conditionalFormatting sqref="S3">
    <cfRule type="colorScale" priority="81">
      <colorScale>
        <cfvo type="min"/>
        <cfvo type="max"/>
        <color rgb="FFFCFCFF"/>
        <color rgb="FF754BFB"/>
      </colorScale>
    </cfRule>
  </conditionalFormatting>
  <conditionalFormatting sqref="J3">
    <cfRule type="colorScale" priority="82">
      <colorScale>
        <cfvo type="min"/>
        <cfvo type="percentile" val="50"/>
        <cfvo type="max"/>
        <color rgb="FFF8696B"/>
        <color rgb="FFFFEB84"/>
        <color rgb="FF63BE7B"/>
      </colorScale>
    </cfRule>
  </conditionalFormatting>
  <conditionalFormatting sqref="CG3">
    <cfRule type="colorScale" priority="83">
      <colorScale>
        <cfvo type="min"/>
        <cfvo type="max"/>
        <color rgb="FFFCFCFF"/>
        <color rgb="FF63BE7B"/>
      </colorScale>
    </cfRule>
  </conditionalFormatting>
  <conditionalFormatting sqref="H2">
    <cfRule type="cellIs" dxfId="4054" priority="30" stopIfTrue="1" operator="notEqual">
      <formula>""</formula>
    </cfRule>
  </conditionalFormatting>
  <conditionalFormatting sqref="R2 CU2">
    <cfRule type="cellIs" dxfId="4053" priority="32" operator="greaterThan">
      <formula>0</formula>
    </cfRule>
  </conditionalFormatting>
  <conditionalFormatting sqref="T2:AS2 CH2:CS2">
    <cfRule type="cellIs" dxfId="4052" priority="27" stopIfTrue="1" operator="equal">
      <formula>"n"</formula>
    </cfRule>
    <cfRule type="cellIs" dxfId="4051" priority="28" stopIfTrue="1" operator="equal">
      <formula>"y"</formula>
    </cfRule>
    <cfRule type="cellIs" dxfId="4050" priority="29" operator="greaterThan">
      <formula>0</formula>
    </cfRule>
  </conditionalFormatting>
  <conditionalFormatting sqref="AZ2:BB2">
    <cfRule type="expression" dxfId="4049" priority="14">
      <formula>$AT2=0</formula>
    </cfRule>
  </conditionalFormatting>
  <conditionalFormatting sqref="AZ2:BU2">
    <cfRule type="cellIs" dxfId="4048" priority="15" operator="equal">
      <formula>"PIN"</formula>
    </cfRule>
    <cfRule type="cellIs" dxfId="4047" priority="16" operator="equal">
      <formula>"ORA"</formula>
    </cfRule>
    <cfRule type="cellIs" dxfId="4046" priority="17" operator="equal">
      <formula>"GRA"</formula>
    </cfRule>
    <cfRule type="cellIs" dxfId="4045" priority="18" operator="equal">
      <formula>"PUR"</formula>
    </cfRule>
    <cfRule type="cellIs" dxfId="4044" priority="19" operator="equal">
      <formula>"BRO"</formula>
    </cfRule>
    <cfRule type="cellIs" dxfId="4043" priority="20" operator="equal">
      <formula>"YEL"</formula>
    </cfRule>
    <cfRule type="cellIs" dxfId="4042" priority="21" operator="equal">
      <formula>"BLU"</formula>
    </cfRule>
    <cfRule type="cellIs" dxfId="4041" priority="22" operator="equal">
      <formula>"WHI"</formula>
    </cfRule>
    <cfRule type="cellIs" dxfId="4040" priority="23" operator="equal">
      <formula>"GRE"</formula>
    </cfRule>
    <cfRule type="cellIs" dxfId="4039" priority="24" operator="equal">
      <formula>"RED"</formula>
    </cfRule>
    <cfRule type="cellIs" dxfId="4038" priority="25" operator="equal">
      <formula>"BLA"</formula>
    </cfRule>
  </conditionalFormatting>
  <conditionalFormatting sqref="BV2">
    <cfRule type="cellIs" dxfId="4037" priority="31" operator="equal">
      <formula>"nc"</formula>
    </cfRule>
  </conditionalFormatting>
  <conditionalFormatting sqref="CD2:CF2 BZ2:CA2">
    <cfRule type="cellIs" dxfId="4036" priority="26" operator="greaterThan">
      <formula>0</formula>
    </cfRule>
  </conditionalFormatting>
  <conditionalFormatting sqref="IC2:IK2">
    <cfRule type="expression" dxfId="4035" priority="13">
      <formula>$IL2&gt;0</formula>
    </cfRule>
  </conditionalFormatting>
  <conditionalFormatting sqref="BX2:CA2 CD2:CF2">
    <cfRule type="cellIs" dxfId="4034" priority="1" operator="equal">
      <formula>"y"</formula>
    </cfRule>
    <cfRule type="cellIs" dxfId="4033" priority="2" operator="equal">
      <formula>"PIN"</formula>
    </cfRule>
    <cfRule type="cellIs" dxfId="4032" priority="3" operator="equal">
      <formula>"ORA"</formula>
    </cfRule>
    <cfRule type="cellIs" dxfId="4031" priority="4" operator="equal">
      <formula>"GRA"</formula>
    </cfRule>
    <cfRule type="cellIs" dxfId="4030" priority="5" operator="equal">
      <formula>"PUR"</formula>
    </cfRule>
    <cfRule type="cellIs" dxfId="4029" priority="6" operator="equal">
      <formula>"BRO"</formula>
    </cfRule>
    <cfRule type="cellIs" dxfId="4028" priority="7" operator="equal">
      <formula>"YEL"</formula>
    </cfRule>
    <cfRule type="cellIs" dxfId="4027" priority="8" operator="equal">
      <formula>"BLU"</formula>
    </cfRule>
    <cfRule type="cellIs" dxfId="4026" priority="9" operator="equal">
      <formula>"WHI"</formula>
    </cfRule>
    <cfRule type="cellIs" dxfId="4025" priority="10" operator="equal">
      <formula>"GRE"</formula>
    </cfRule>
    <cfRule type="cellIs" dxfId="4024" priority="11" operator="equal">
      <formula>"RED"</formula>
    </cfRule>
    <cfRule type="cellIs" dxfId="4023" priority="12" operator="equal">
      <formula>"BLA"</formula>
    </cfRule>
  </conditionalFormatting>
  <conditionalFormatting sqref="J2">
    <cfRule type="colorScale" priority="33">
      <colorScale>
        <cfvo type="min"/>
        <cfvo type="percentile" val="50"/>
        <cfvo type="max"/>
        <color rgb="FFF8696B"/>
        <color rgb="FFFFEB84"/>
        <color rgb="FF63BE7B"/>
      </colorScale>
    </cfRule>
  </conditionalFormatting>
  <conditionalFormatting sqref="S2">
    <cfRule type="colorScale" priority="34">
      <colorScale>
        <cfvo type="min"/>
        <cfvo type="max"/>
        <color rgb="FFFCFCFF"/>
        <color rgb="FF754BFB"/>
      </colorScale>
    </cfRule>
  </conditionalFormatting>
  <conditionalFormatting sqref="AT2">
    <cfRule type="colorScale" priority="35">
      <colorScale>
        <cfvo type="min"/>
        <cfvo type="max"/>
        <color rgb="FFFCFCFF"/>
        <color theme="8" tint="0.39997558519241921"/>
      </colorScale>
    </cfRule>
  </conditionalFormatting>
  <conditionalFormatting sqref="CG2">
    <cfRule type="colorScale" priority="36">
      <colorScale>
        <cfvo type="min"/>
        <cfvo type="max"/>
        <color rgb="FFFCFCFF"/>
        <color rgb="FF63BE7B"/>
      </colorScale>
    </cfRule>
  </conditionalFormatting>
  <hyperlinks>
    <hyperlink ref="A2" r:id="rId1" display="https://fbref.com/en/country/GUI/Guinea-Football" xr:uid="{397E8062-1419-41E3-89C4-B90E110F7586}"/>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0177" r:id="rId5"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50178" r:id="rId6"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50179" r:id="rId7"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18A60-2981-425D-931F-FD2B86EE4841}">
  <sheetPr codeName="Sheet61"/>
  <dimension ref="A1:IY6"/>
  <sheetViews>
    <sheetView zoomScale="70" zoomScaleNormal="70" workbookViewId="0">
      <pane xSplit="5" ySplit="1" topLeftCell="F2" activePane="bottomRight" state="frozen"/>
      <selection pane="topRight" activeCell="F1" sqref="F1"/>
      <selection pane="bottomLeft" activeCell="A2" sqref="A2"/>
      <selection pane="bottomRight" activeCell="M3" sqref="M3"/>
    </sheetView>
  </sheetViews>
  <sheetFormatPr defaultRowHeight="38.4" customHeight="1" x14ac:dyDescent="0.3"/>
  <cols>
    <col min="1" max="1" width="52.44140625" style="81" bestFit="1" customWidth="1"/>
    <col min="2" max="2" width="10.109375" style="81" customWidth="1"/>
    <col min="3" max="3" width="7.44140625" style="82" customWidth="1"/>
    <col min="4" max="4" width="4.77734375" style="83" customWidth="1"/>
    <col min="5" max="5" width="4.5546875" style="83" customWidth="1"/>
    <col min="6" max="6" width="5.77734375" style="83" customWidth="1"/>
    <col min="7" max="7" width="7.44140625" style="81" customWidth="1"/>
    <col min="8" max="8" width="11.44140625" style="81" customWidth="1"/>
    <col min="9" max="9" width="10" style="81" customWidth="1"/>
    <col min="10" max="10" width="4.21875" style="81" customWidth="1"/>
    <col min="11" max="11" width="5.6640625" style="83" customWidth="1"/>
    <col min="12" max="12" width="2.88671875" style="83" customWidth="1"/>
    <col min="13" max="13" width="6.44140625" style="83" customWidth="1"/>
    <col min="14" max="14" width="4.5546875" style="83" customWidth="1"/>
    <col min="15" max="15" width="10.5546875" style="84" customWidth="1"/>
    <col min="16" max="16" width="6.88671875" style="83" customWidth="1"/>
    <col min="17" max="17" width="4.77734375" style="83" customWidth="1"/>
    <col min="18" max="18" width="13.109375" style="82" customWidth="1"/>
    <col min="19" max="19" width="6.77734375" style="82" customWidth="1"/>
    <col min="20" max="46" width="8.44140625" style="81" customWidth="1"/>
    <col min="47" max="47" width="24.5546875" style="81" customWidth="1"/>
    <col min="48" max="51" width="16.6640625" style="81" customWidth="1"/>
    <col min="52" max="52" width="6.5546875" style="81" customWidth="1"/>
    <col min="53" max="54" width="5.88671875" style="81" customWidth="1"/>
    <col min="55" max="55" width="1.33203125" style="81" customWidth="1"/>
    <col min="56" max="56" width="7.44140625" style="81" customWidth="1"/>
    <col min="57" max="57" width="2.33203125" style="81" customWidth="1"/>
    <col min="58" max="62" width="6.109375" style="81" customWidth="1"/>
    <col min="63" max="63" width="2.33203125" style="81" customWidth="1"/>
    <col min="64" max="64" width="7" style="81" bestFit="1" customWidth="1"/>
    <col min="65" max="65" width="6.44140625" style="81" bestFit="1" customWidth="1"/>
    <col min="66" max="66" width="7.109375" style="81" bestFit="1" customWidth="1"/>
    <col min="67" max="71" width="6.44140625" style="81" bestFit="1" customWidth="1"/>
    <col min="72" max="73" width="6.44140625" style="81" customWidth="1"/>
    <col min="74" max="75" width="13.44140625" style="81" customWidth="1"/>
    <col min="76" max="84" width="14.6640625" style="81" customWidth="1"/>
    <col min="85" max="85" width="6.44140625" style="81" customWidth="1"/>
    <col min="86" max="87" width="11.6640625" style="81" bestFit="1" customWidth="1"/>
    <col min="88" max="88" width="11.6640625" style="81" customWidth="1"/>
    <col min="89" max="89" width="12.77734375" style="81" bestFit="1" customWidth="1"/>
    <col min="90" max="90" width="16.44140625" style="82" bestFit="1" customWidth="1"/>
    <col min="91" max="92" width="14.88671875" style="82" bestFit="1" customWidth="1"/>
    <col min="93" max="93" width="16" style="82" bestFit="1" customWidth="1"/>
    <col min="94" max="97" width="7.77734375" style="81" customWidth="1"/>
    <col min="98" max="98" width="33.21875" style="81" customWidth="1"/>
    <col min="99" max="99" width="18" style="81" customWidth="1"/>
    <col min="100" max="100" width="75.6640625" style="81" customWidth="1"/>
    <col min="101" max="125" width="33" style="81" customWidth="1"/>
    <col min="126" max="126" width="8.88671875" style="81"/>
    <col min="127" max="128" width="9.44140625" style="81" bestFit="1" customWidth="1"/>
    <col min="129" max="129" width="10.77734375" style="81" bestFit="1" customWidth="1"/>
    <col min="130" max="134" width="10.77734375" style="81" customWidth="1"/>
    <col min="135" max="135" width="10.109375" style="81" bestFit="1" customWidth="1"/>
    <col min="136" max="136" width="7.77734375" style="81" bestFit="1" customWidth="1"/>
    <col min="137" max="137" width="7.77734375" style="81" customWidth="1"/>
    <col min="138" max="138" width="9" style="81" bestFit="1" customWidth="1"/>
    <col min="139" max="139" width="11.33203125" style="81" bestFit="1" customWidth="1"/>
    <col min="140" max="140" width="9.109375" style="81" bestFit="1" customWidth="1"/>
    <col min="141" max="141" width="9" style="81" bestFit="1" customWidth="1"/>
    <col min="142" max="142" width="12" style="81" bestFit="1" customWidth="1"/>
    <col min="143" max="166" width="12" style="81" customWidth="1"/>
    <col min="167" max="167" width="17.21875" style="81" customWidth="1"/>
    <col min="168" max="191" width="12" style="81" customWidth="1"/>
    <col min="192" max="192" width="8.5546875" style="81" bestFit="1" customWidth="1"/>
    <col min="193" max="193" width="8.5546875" style="81" customWidth="1"/>
    <col min="194" max="194" width="7.109375" style="81" bestFit="1" customWidth="1"/>
    <col min="195" max="195" width="7.5546875" style="81" bestFit="1" customWidth="1"/>
    <col min="196" max="196" width="8.5546875" style="81" bestFit="1" customWidth="1"/>
    <col min="197" max="200" width="8.5546875" style="81" customWidth="1"/>
    <col min="201" max="201" width="188.88671875" style="81" customWidth="1"/>
    <col min="202" max="202" width="9.5546875" style="81" bestFit="1" customWidth="1"/>
    <col min="203" max="203" width="10.44140625" style="81" bestFit="1" customWidth="1"/>
    <col min="204" max="204" width="11.109375" style="81" bestFit="1" customWidth="1"/>
    <col min="205" max="205" width="10.44140625" style="81" bestFit="1" customWidth="1"/>
    <col min="206" max="210" width="10.44140625" style="81" customWidth="1"/>
    <col min="211" max="211" width="45.44140625" style="81" customWidth="1"/>
    <col min="212" max="212" width="47.5546875" style="81" bestFit="1" customWidth="1"/>
    <col min="213" max="213" width="9.33203125" style="85" customWidth="1"/>
    <col min="214" max="214" width="119.5546875" style="81" customWidth="1"/>
    <col min="215" max="215" width="69.6640625" style="81" customWidth="1"/>
    <col min="216" max="218" width="8.88671875" style="81"/>
    <col min="219" max="219" width="37.109375" style="81" customWidth="1"/>
    <col min="220" max="220" width="16.33203125" style="81" customWidth="1"/>
    <col min="221" max="222" width="8.88671875" style="81"/>
    <col min="223" max="223" width="10.109375" style="81" bestFit="1" customWidth="1"/>
    <col min="224" max="232" width="10.88671875" style="81" customWidth="1"/>
    <col min="233" max="234" width="30.77734375" style="81" customWidth="1"/>
    <col min="235" max="235" width="5.109375" style="81" customWidth="1"/>
    <col min="236" max="236" width="3" style="81" customWidth="1"/>
    <col min="237" max="245" width="6.77734375" style="86" customWidth="1"/>
    <col min="246" max="247" width="8.88671875" style="81"/>
    <col min="248" max="248" width="61.5546875" style="81" customWidth="1"/>
    <col min="249" max="253" width="8.88671875" style="81"/>
    <col min="254" max="254" width="9" style="81" customWidth="1"/>
    <col min="255" max="16384" width="8.88671875" style="8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568</v>
      </c>
      <c r="B2" s="40" t="e" vm="53">
        <v>#VALUE!</v>
      </c>
      <c r="C2" s="41">
        <v>1</v>
      </c>
      <c r="D2" s="42" t="s">
        <v>569</v>
      </c>
      <c r="E2" s="43" t="s">
        <v>570</v>
      </c>
      <c r="F2" s="44" t="s">
        <v>163</v>
      </c>
      <c r="G2" s="45">
        <f>COUNTIF($A$1:$A$8370,A2)</f>
        <v>1</v>
      </c>
      <c r="H2" s="46"/>
      <c r="I2" s="47" t="s">
        <v>571</v>
      </c>
      <c r="J2" s="48" t="str">
        <f>""</f>
        <v/>
      </c>
      <c r="K2" s="49">
        <v>2150000</v>
      </c>
      <c r="L2" s="50">
        <v>52400</v>
      </c>
      <c r="M2" s="50" t="s">
        <v>1112</v>
      </c>
      <c r="N2" s="51" t="s">
        <v>180</v>
      </c>
      <c r="O2" s="52" t="s">
        <v>572</v>
      </c>
      <c r="P2" s="53" t="s">
        <v>573</v>
      </c>
      <c r="Q2" s="54">
        <v>2</v>
      </c>
      <c r="R2" s="55" t="s">
        <v>180</v>
      </c>
      <c r="S2" s="56">
        <v>3</v>
      </c>
      <c r="T2" s="57" t="s">
        <v>164</v>
      </c>
      <c r="U2" s="58" t="s">
        <v>164</v>
      </c>
      <c r="V2" s="58" t="s">
        <v>167</v>
      </c>
      <c r="W2" s="58" t="s">
        <v>167</v>
      </c>
      <c r="X2" s="58" t="s">
        <v>164</v>
      </c>
      <c r="Y2" s="58" t="s">
        <v>164</v>
      </c>
      <c r="Z2" s="58" t="s">
        <v>164</v>
      </c>
      <c r="AA2" s="58" t="s">
        <v>164</v>
      </c>
      <c r="AB2" s="58" t="s">
        <v>164</v>
      </c>
      <c r="AC2" s="58" t="s">
        <v>164</v>
      </c>
      <c r="AD2" s="58" t="s">
        <v>164</v>
      </c>
      <c r="AE2" s="58" t="s">
        <v>164</v>
      </c>
      <c r="AF2" s="59" t="s">
        <v>164</v>
      </c>
      <c r="AG2" s="59" t="s">
        <v>167</v>
      </c>
      <c r="AH2" s="59" t="s">
        <v>164</v>
      </c>
      <c r="AI2" s="59" t="s">
        <v>164</v>
      </c>
      <c r="AJ2" s="59" t="s">
        <v>164</v>
      </c>
      <c r="AK2" s="59" t="s">
        <v>164</v>
      </c>
      <c r="AL2" s="59" t="s">
        <v>164</v>
      </c>
      <c r="AM2" s="59" t="s">
        <v>164</v>
      </c>
      <c r="AN2" s="59" t="s">
        <v>164</v>
      </c>
      <c r="AO2" s="59" t="s">
        <v>164</v>
      </c>
      <c r="AP2" s="59" t="s">
        <v>164</v>
      </c>
      <c r="AQ2" s="59" t="s">
        <v>164</v>
      </c>
      <c r="AR2" s="59" t="s">
        <v>164</v>
      </c>
      <c r="AS2" s="59" t="s">
        <v>164</v>
      </c>
      <c r="AT2" s="60">
        <v>1</v>
      </c>
      <c r="AU2" s="59"/>
      <c r="AV2" s="59" t="str">
        <f>IF(LEFT(A2,1)="[",LEFT(A2,5)&amp;AU2&amp;A2,"")</f>
        <v/>
      </c>
      <c r="AW2" s="59" t="str">
        <f t="shared" ref="AW2:AW3" si="0">C2&amp;H2&amp;A2</f>
        <v>1Guinea-Bissau</v>
      </c>
      <c r="AX2" s="61" t="str">
        <f>_xlfn.TEXTJOIN(";",TRUE,AU2:AW2)</f>
        <v>1Guinea-Bissau</v>
      </c>
      <c r="AY2" s="61"/>
      <c r="AZ2" s="62" t="s">
        <v>151</v>
      </c>
      <c r="BA2" s="62"/>
      <c r="BB2" s="62"/>
      <c r="BC2" s="63"/>
      <c r="BD2" s="64" t="s">
        <v>169</v>
      </c>
      <c r="BE2" s="47"/>
      <c r="BF2" s="64" t="s">
        <v>154</v>
      </c>
      <c r="BG2" s="64" t="s">
        <v>155</v>
      </c>
      <c r="BH2" s="64" t="s">
        <v>153</v>
      </c>
      <c r="BI2" s="64"/>
      <c r="BJ2" s="64"/>
      <c r="BK2" s="47"/>
      <c r="BL2" s="64" t="s">
        <v>154</v>
      </c>
      <c r="BM2" s="64" t="s">
        <v>155</v>
      </c>
      <c r="BN2" s="64" t="s">
        <v>153</v>
      </c>
      <c r="BO2" s="64" t="s">
        <v>151</v>
      </c>
      <c r="BP2" s="64"/>
      <c r="BQ2" s="64"/>
      <c r="BR2" s="64"/>
      <c r="BS2" s="64"/>
      <c r="BT2" s="64"/>
      <c r="BU2" s="65"/>
      <c r="BV2" s="66" t="s">
        <v>165</v>
      </c>
      <c r="BW2" s="66">
        <v>0</v>
      </c>
      <c r="BX2" s="47"/>
      <c r="CB2" s="6" t="s">
        <v>139</v>
      </c>
      <c r="CC2" s="6"/>
      <c r="CD2" s="67">
        <v>0</v>
      </c>
      <c r="CE2" s="67">
        <v>0</v>
      </c>
      <c r="CF2" s="67" t="e">
        <v>#REF!</v>
      </c>
      <c r="CG2" s="68" cm="1">
        <f t="array" ref="CG2">SUMPRODUCT(--(LEN(TRIM(BL2:BT2))&gt;0))</f>
        <v>4</v>
      </c>
      <c r="CH2" s="59" t="str">
        <f>IF(CG2=2,"y","n")</f>
        <v>n</v>
      </c>
      <c r="CI2" s="59" t="str">
        <f>IF(CG2=3,"y","n")</f>
        <v>n</v>
      </c>
      <c r="CJ2" s="59" t="str">
        <f>IF(CG2=4,"y","n")</f>
        <v>y</v>
      </c>
      <c r="CK2" s="59" t="str">
        <f>IF(CG2&gt;4,"y","n")</f>
        <v>n</v>
      </c>
      <c r="CL2" s="59" t="str">
        <f>IF(S2=0,"y","n")</f>
        <v>n</v>
      </c>
      <c r="CM2" s="59" t="str">
        <f>IF(S2=2,"y","n")</f>
        <v>n</v>
      </c>
      <c r="CN2" s="59" t="str">
        <f>IF(S2=3,"y","n")</f>
        <v>y</v>
      </c>
      <c r="CO2" s="59" t="str">
        <f>IF(S2&gt;=4,"y","n")</f>
        <v>n</v>
      </c>
      <c r="CP2" s="59" t="str">
        <f>IF(AT2=0,"y","n")</f>
        <v>n</v>
      </c>
      <c r="CQ2" s="59" t="str">
        <f>IF(AT2=1,"y","n")</f>
        <v>y</v>
      </c>
      <c r="CR2" s="59" t="str">
        <f>IF(AT2=2,"y","n")</f>
        <v>n</v>
      </c>
      <c r="CS2" s="59" t="str">
        <f>IF(AT2&gt;=3,"y","n")</f>
        <v>n</v>
      </c>
      <c r="CT2" s="69" t="str">
        <f>CHAR(34)&amp;A2&amp;CHAR(34)</f>
        <v>"Guinea-Bissau"</v>
      </c>
      <c r="CU2" s="70" t="str">
        <f>CHAR(34)&amp;"rgn_"&amp;R2&amp;CHAR(34)</f>
        <v>"rgn_Africa"</v>
      </c>
      <c r="CV2" s="48" t="str">
        <f>CHAR(34)&amp;D2&amp;CHAR(34)</f>
        <v>"https://i.ibb.co/mRR3dJL/Guinea-Bissau-Flag.png"</v>
      </c>
      <c r="CW2" s="48" t="str">
        <f>IF(CH2="y",CHAR(34)&amp;CH$1&amp;CHAR(34)&amp;",","")</f>
        <v/>
      </c>
      <c r="CX2" s="48" t="str">
        <f>IF(CI2="y",CHAR(34)&amp;CI$1&amp;CHAR(34)&amp;",","")</f>
        <v/>
      </c>
      <c r="CY2" s="48" t="str">
        <f>IF(CJ2="y",CHAR(34)&amp;CJ$1&amp;CHAR(34)&amp;",","")</f>
        <v>"4Color",</v>
      </c>
      <c r="CZ2" s="48" t="str">
        <f>IF(CK2="y",CHAR(34)&amp;CK$1&amp;CHAR(34)&amp;",","")</f>
        <v/>
      </c>
      <c r="DA2" s="48" t="str">
        <f>IF(Q2&gt;1,CHAR(34)&amp;"words2"&amp;CHAR(34)&amp;",","")</f>
        <v>"words2",</v>
      </c>
      <c r="DB2" s="48" t="str">
        <f>IF(Q2&gt;2,CHAR(34)&amp;"words3"&amp;CHAR(34)&amp;",","")</f>
        <v/>
      </c>
      <c r="DC2" s="48" t="str">
        <f>IF(Q2=2,CHAR(34)&amp;"exact2"&amp;CHAR(34)&amp;",","")</f>
        <v>"exact2",</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"lets12",</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"startG",</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
      </c>
      <c r="DS2" s="6" t="str">
        <f>IF(W2="y",IF(AND(V2="n",BY2&lt;&gt;"y"),CHAR(34)&amp;"allver"&amp;CHAR(34)&amp;",",""),"")</f>
        <v/>
      </c>
      <c r="DT2" s="6" t="str">
        <f>IF(V2="y",IF(AND(W2="n",BY2&lt;&gt;"y"),CHAR(34)&amp;"allhor"&amp;CHAR(34)&amp;",",""),"")</f>
        <v/>
      </c>
      <c r="DU2" s="6" t="str">
        <f>IF(BY2="y",IF(AND(W2="n",V2="n"),CHAR(34)&amp;"alldia"&amp;CHAR(34)&amp;",",""),"")</f>
        <v/>
      </c>
      <c r="DV2" s="48" t="str">
        <f>IF(IA2&lt;&gt;"",(IF(IA2="y",CHAR(34)&amp;"largec"&amp;CHAR(34)&amp;",",CHAR(34)&amp;"smallc"&amp;CHAR(34)&amp;",")),"")</f>
        <v/>
      </c>
      <c r="DW2" s="48" t="str">
        <f>IF(CL2="y",CHAR(34)&amp;CL$1&amp;CHAR(34)&amp;",","")</f>
        <v/>
      </c>
      <c r="DX2" s="48" t="str">
        <f>IF(CM2="y",CHAR(34)&amp;CM$1&amp;CHAR(34)&amp;",","")</f>
        <v/>
      </c>
      <c r="DY2" s="48" t="str">
        <f>IF(CN2="y",CHAR(34)&amp;CN$1&amp;CHAR(34)&amp;",","")</f>
        <v>"3Bands",</v>
      </c>
      <c r="DZ2" s="48" t="str">
        <f>IF(CO2="y",CHAR(34)&amp;CO$1&amp;CHAR(34)&amp;",","")</f>
        <v/>
      </c>
      <c r="EA2" s="48" t="str">
        <f>IF(T2="y",CHAR(34)&amp;T$1&amp;CHAR(34)&amp;",","")</f>
        <v/>
      </c>
      <c r="EB2" s="48" t="str">
        <f>IF(U2="y",CHAR(34)&amp;U$1&amp;CHAR(34)&amp;",","")</f>
        <v/>
      </c>
      <c r="EC2" s="48" t="str">
        <f>IF(V2="y",CHAR(34)&amp;V$1&amp;CHAR(34)&amp;",","")</f>
        <v>"Horizo",</v>
      </c>
      <c r="ED2" s="48" t="str">
        <f>IF(W2="y",CHAR(34)&amp;W$1&amp;CHAR(34)&amp;",","")</f>
        <v>"Vertic",</v>
      </c>
      <c r="EE2" s="48" t="str">
        <f>IF(X2="y",CHAR(34)&amp;X$1&amp;CHAR(34)&amp;",","")</f>
        <v/>
      </c>
      <c r="EF2" s="48" t="str">
        <f>IF(AND(Y2&lt;&gt;"n",Y2&lt;&gt;""),CHAR(34)&amp;Y$1&amp;CHAR(34)&amp;",","")</f>
        <v/>
      </c>
      <c r="EG2" s="48" t="str">
        <f>IF(Z2="y",CHAR(34)&amp;Z$1&amp;CHAR(34)&amp;",","")</f>
        <v/>
      </c>
      <c r="EH2" s="48" t="str">
        <f>IF(AA2="y",CHAR(34)&amp;AA$1&amp;CHAR(34)&amp;",","")</f>
        <v/>
      </c>
      <c r="EI2" s="48" t="str">
        <f>IF(AB2="y",CHAR(34)&amp;AB$1&amp;CHAR(34)&amp;",","")</f>
        <v/>
      </c>
      <c r="EJ2" s="48" t="str">
        <f>IF(AC2="y",CHAR(34)&amp;AC$1&amp;CHAR(34)&amp;",","")</f>
        <v/>
      </c>
      <c r="EK2" s="48" t="str">
        <f>IF(AD2="y",CHAR(34)&amp;AD$1&amp;CHAR(34)&amp;",","")</f>
        <v/>
      </c>
      <c r="EL2" s="48" t="str">
        <f>IF(AE2="y",CHAR(34)&amp;AE$1&amp;CHAR(34)&amp;",","")</f>
        <v/>
      </c>
      <c r="EM2" s="48" t="str">
        <f>IF(AF2="y",CHAR(34)&amp;AF$1&amp;CHAR(34)&amp;",","")</f>
        <v/>
      </c>
      <c r="EN2" s="48" t="str">
        <f>IF(AG2="y",CHAR(34)&amp;AG$1&amp;CHAR(34)&amp;",","")</f>
        <v>"Unequa",</v>
      </c>
      <c r="EO2" s="48" t="str">
        <f>IF(AH2="y",CHAR(34)&amp;AH$1&amp;CHAR(34)&amp;",","")</f>
        <v/>
      </c>
      <c r="EP2" s="48" t="str">
        <f>IF(AI2="y",CHAR(34)&amp;AI$1&amp;CHAR(34)&amp;",","")</f>
        <v/>
      </c>
      <c r="EQ2" s="48" t="str">
        <f>IF(AJ2="y",CHAR(34)&amp;AJ$1&amp;CHAR(34)&amp;",","")</f>
        <v/>
      </c>
      <c r="ER2" s="48" t="str">
        <f>IF(AK2="y",CHAR(34)&amp;AK$1&amp;CHAR(34)&amp;",","")</f>
        <v/>
      </c>
      <c r="ES2" s="48" t="str">
        <f>IF(AL2="y",CHAR(34)&amp;AL$1&amp;CHAR(34)&amp;",","")</f>
        <v/>
      </c>
      <c r="ET2" s="48" t="str">
        <f>IF(AM2="y",CHAR(34)&amp;AM$1&amp;CHAR(34)&amp;",","")</f>
        <v/>
      </c>
      <c r="EU2" s="48" t="str">
        <f>IF(AN2="y",CHAR(34)&amp;AN$1&amp;CHAR(34)&amp;",","")</f>
        <v/>
      </c>
      <c r="EV2" s="48" t="str">
        <f>IF(AO2="y",CHAR(34)&amp;AO$1&amp;CHAR(34)&amp;",","")</f>
        <v/>
      </c>
      <c r="EW2" s="48" t="str">
        <f>IF(AP2="y",CHAR(34)&amp;AP$1&amp;CHAR(34)&amp;",","")</f>
        <v/>
      </c>
      <c r="EX2" s="48" t="str">
        <f>IF(AQ2="y",CHAR(34)&amp;AQ$1&amp;CHAR(34)&amp;",","")</f>
        <v/>
      </c>
      <c r="EY2" s="48" t="str">
        <f>IF(AR2="y",CHAR(34)&amp;AR$1&amp;CHAR(34)&amp;",","")</f>
        <v/>
      </c>
      <c r="EZ2" s="48" t="str">
        <f>IF(AS2="y",CHAR(34)&amp;AS$1&amp;CHAR(34)&amp;",","")</f>
        <v/>
      </c>
      <c r="FA2" s="48" t="str">
        <f>IF(AT2&gt;0,CHAR(34)&amp;"sta"&amp;AZ2&amp;CHAR(34)&amp;",","")</f>
        <v>"staBLA",</v>
      </c>
      <c r="FB2" s="48" t="str">
        <f>IF(AND(AT2&gt;0,BA2&lt;&gt;""),CHAR(34)&amp;"sta"&amp;BA2&amp;CHAR(34)&amp;",","")</f>
        <v/>
      </c>
      <c r="FC2" s="48" t="str">
        <f>IF(AND(AT2&gt;0,BB2&lt;&gt;""),CHAR(34)&amp;"sta"&amp;BB2&amp;CHAR(34)&amp;",","")</f>
        <v/>
      </c>
      <c r="FD2" s="48" t="str">
        <f>IF(BV2="n",CHAR(34)&amp;"tcWHYE"&amp;CHAR(34)&amp;",",IF(BV2="y",CHAR(34)&amp;FD$1&amp;CHAR(34)&amp;",",""))</f>
        <v/>
      </c>
      <c r="FE2" s="48" t="str">
        <f>IF(COUNTIF(BL2:BT2,"BLU")=0,CHAR(34)&amp;"NO_BLU"&amp;CHAR(34)&amp;",", "")</f>
        <v>"NO_BLU",</v>
      </c>
      <c r="FF2" s="48" t="str">
        <f>IF(COUNTIF(BL2:BT2,"WHI")=0,CHAR(34)&amp;"NO_WHI"&amp;CHAR(34)&amp;",", "")</f>
        <v>"NO_WHI",</v>
      </c>
      <c r="FG2" s="48" t="str">
        <f>IF(COUNTIF(BL2:BT2,"RED")=0,CHAR(34)&amp;"NO_RED"&amp;CHAR(34)&amp;",", "")</f>
        <v/>
      </c>
      <c r="FH2" s="48" t="str">
        <f>IF(COUNTIF(BL2:BS2,"GRE")=0,CHAR(34)&amp;"NO_GRE"&amp;CHAR(34)&amp;",", "")</f>
        <v/>
      </c>
      <c r="FI2" s="48" t="str">
        <f>IF(COUNTIF(BL2:BT2,"YEL")=0,CHAR(34)&amp;"NO_YEL"&amp;CHAR(34)&amp;",", "")</f>
        <v/>
      </c>
      <c r="FJ2" s="48" t="str">
        <f>IF(COUNTIF(BL2:BT2,"BLA")=0,CHAR(34)&amp;"NO_BLA"&amp;CHAR(34)&amp;",", "")</f>
        <v/>
      </c>
      <c r="FK2" s="48" t="str">
        <f>IF(AND(FH2&lt;&gt;"",FF2&lt;&gt;""),CHAR(34)&amp;"WHGRNO"&amp;CHAR(34)&amp;",","")</f>
        <v/>
      </c>
      <c r="FL2" s="48" t="str">
        <f>IF(AND(FI2&lt;&gt;"",FF2&lt;&gt;""),CHAR(34)&amp;"WHYENO"&amp;CHAR(34)&amp;",","")</f>
        <v/>
      </c>
      <c r="FM2" s="48" t="str">
        <f>IF(AND(FJ2&lt;&gt;"",FF2&lt;&gt;""),CHAR(34)&amp;"BAWHNO"&amp;CHAR(34)&amp;",","")</f>
        <v/>
      </c>
      <c r="FN2" s="48" t="str">
        <f>IF(AND(FE2&lt;&gt;"",FF2&lt;&gt;""),CHAR(34)&amp;"BLWHNO"&amp;CHAR(34)&amp;",","")</f>
        <v>"BLWHNO",</v>
      </c>
      <c r="FO2" s="48" t="str">
        <f>IF(AND(FE2&lt;&gt;"",FG2&lt;&gt;""),CHAR(34)&amp;"BLRENO"&amp;CHAR(34)&amp;",","")</f>
        <v/>
      </c>
      <c r="FP2" s="48" t="str">
        <f>IF(AND(FF2&lt;&gt;"",FF2&lt;&gt;""),CHAR(34)&amp;"WHRENO"&amp;CHAR(34)&amp;",","")</f>
        <v>"WHRENO",</v>
      </c>
      <c r="FQ2" s="48" t="str">
        <f>IF(LEN(BF2)=3,CHAR(34)&amp;"001"&amp;BF2&amp;CHAR(34)&amp;",","")</f>
        <v>"001RED",</v>
      </c>
      <c r="FR2" s="48" t="str">
        <f>IF(LEN(BG2)=3,CHAR(34)&amp;"002"&amp;BG2&amp;CHAR(34)&amp;",","")</f>
        <v>"002YEL",</v>
      </c>
      <c r="FS2" s="48" t="str">
        <f>IF(LEN(BH2)=3,CHAR(34)&amp;"003"&amp;BH2&amp;CHAR(34)&amp;",","")</f>
        <v>"003GRE",</v>
      </c>
      <c r="FT2" s="48" t="str">
        <f>CHAR(34)&amp;"myr"&amp;BD2&amp;CHAR(34)&amp;","</f>
        <v>"myrEQ",</v>
      </c>
      <c r="FU2" s="48" t="str">
        <f>IF(AY2="y",CHAR(34)&amp;"island"&amp;CHAR(34)&amp;",","")</f>
        <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
      </c>
      <c r="GA2" s="48" t="str">
        <f>IFERROR(IF(SEARCH("French",CB2)&gt;0,CHAR(34)&amp;"french"&amp;CHAR(34)&amp;",",""),"")</f>
        <v/>
      </c>
      <c r="GB2" s="48" t="str">
        <f>IFERROR(IF(SEARCH("Spanish",CB2)&gt;0,CHAR(34)&amp;"spanis"&amp;CHAR(34)&amp;",",""),"")</f>
        <v/>
      </c>
      <c r="GC2" s="48" t="str">
        <f>IFERROR(IF(SEARCH("Portuguese",CB2)&gt;0,CHAR(34)&amp;"portug"&amp;CHAR(34)&amp;",",""),"")</f>
        <v>"portug",</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
      </c>
      <c r="GK2" s="48" t="str">
        <f>IF(GJ2="",CHAR(34)&amp;"HasSta"&amp;CHAR(34)&amp;",","")</f>
        <v>"HasSta",</v>
      </c>
      <c r="GL2" s="48" t="str">
        <f>IF(CQ2="y",CHAR(34)&amp;CQ$1&amp;CHAR(34)&amp;",","")</f>
        <v>"1Stars",</v>
      </c>
      <c r="GM2" s="48" t="str">
        <f>IF(CR2="y",CHAR(34)&amp;CR$1&amp;CHAR(34)&amp;",","")</f>
        <v/>
      </c>
      <c r="GN2" s="48" t="str">
        <f>IF(CS2="y",CHAR(34)&amp;CS$1&amp;CHAR(34)&amp;",","")</f>
        <v/>
      </c>
      <c r="GP2" s="48" t="str">
        <f>CHAR(34)&amp;AU2&amp;CHAR(34)</f>
        <v>""</v>
      </c>
      <c r="GS2" s="48" t="str">
        <f>SUBSTITUTE("["&amp;_xlfn.CONCAT(CW2:GN2)&amp;"]",",]","]")</f>
        <v>["4Color","words2","exact2","lets12","startG","year19","3Bands","Horizo","Vertic","Unequa","staBLA","NO_BLU","NO_WHI","BLWHNO","WHRENO","001RED","002YEL","003GRE","myrEQ","portug","HasSta","1Stars"]</v>
      </c>
      <c r="GT2" s="48" t="str">
        <f>IF(BL2&lt;&gt;"",CHAR(34)&amp;"cl_"&amp;BL2&amp;CHAR(34)&amp;",","")</f>
        <v>"cl_RED",</v>
      </c>
      <c r="GU2" s="48" t="str">
        <f>IF(BM2&lt;&gt;"",CHAR(34)&amp;"cl_"&amp;BM2&amp;CHAR(34)&amp;",","")</f>
        <v>"cl_YEL",</v>
      </c>
      <c r="GV2" s="48" t="str">
        <f>IF(BN2&lt;&gt;"",CHAR(34)&amp;"cl_"&amp;BN2&amp;CHAR(34)&amp;",","")</f>
        <v>"cl_GRE",</v>
      </c>
      <c r="GW2" s="48" t="str">
        <f>IF(BO2&lt;&gt;"",CHAR(34)&amp;"cl_"&amp;BO2&amp;CHAR(34)&amp;",","")</f>
        <v>"cl_BLA",</v>
      </c>
      <c r="GX2" s="48" t="str">
        <f>IF(BP2&lt;&gt;"",CHAR(34)&amp;"cl_"&amp;BP2&amp;CHAR(34)&amp;",","")</f>
        <v/>
      </c>
      <c r="GY2" s="48" t="str">
        <f>IF(BQ2&lt;&gt;"",CHAR(34)&amp;"cl_"&amp;BQ2&amp;CHAR(34)&amp;",","")</f>
        <v/>
      </c>
      <c r="GZ2" s="48" t="str">
        <f>IF(BR2&lt;&gt;"",CHAR(34)&amp;"cl_"&amp;BR2&amp;CHAR(34)&amp;",","")</f>
        <v/>
      </c>
      <c r="HA2" s="48" t="str">
        <f>IF(BS2&lt;&gt;"",CHAR(34)&amp;"cl_"&amp;BS2&amp;CHAR(34)&amp;",","")</f>
        <v/>
      </c>
      <c r="HB2" s="48" t="str">
        <f>IF(BT2&lt;&gt;"",CHAR(34)&amp;"cl_"&amp;BT2&amp;CHAR(34)&amp;",","")</f>
        <v/>
      </c>
      <c r="HC2" s="48" t="str">
        <f>SUBSTITUTE("["&amp;_xlfn.CONCAT(GT2:HB2)&amp;"]",",]","]")</f>
        <v>["cl_RED","cl_YEL","cl_GRE","cl_BLA"]</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{couname:"Guinea-Bissau",year:"1973 ",region:"rgn_Africa",Colors:["cl_RED","cl_YEL","cl_GRE","cl_BLA"],Items:["4Color","words2","exact2","lets12","startG","year19","3Bands","Horizo","Vertic","Unequa","staBLA","NO_BLU","NO_WHI","BLWHNO","WHRENO","001RED","002YEL","003GRE","myrEQ","portug","HasSta","1Stars"],Flag:"https://i.ibb.co/mRR3dJL/Guinea-Bissau-Flag.png",HDFlag:"https://upload.wikimedia.org/wikipedia/commons/thumb/0/01/Flag_of_Guinea-Bissau.svg/2560px-Flag_of_Guinea-Bissau.svg.png",type:"", describe: "\nLike the former flag of Cape Verde, the flag is based on that of the African Party for the Independence of Guinea and Cape Verde (PAIGC). The party was established in 1956 to peacefully campaign for independence from Portugal during its Estado Novo regime, but turned to armed conflict in the 1960s and was one of the belligerents in the 1963–74 Guinea-Bissau War of Independence. It is still the dominant party in Guinea-Bissau. The PAIGC party flag was derived from that of Ghana, which was the first design to use the Pan-African combination of red, yellow, green, and black in 1957.\n\nIn the Ghanaian view, the black star stands for the unity of Africa. Red stands for the blood shed during the struggle for independence, yellow stands for the sun, and green represents hope.\n\nThe flag features the traditional Pan-African colors of gold, green, red, and also the Black Star of Africa. The flag's design is heavily influenced by the flag of Ghana. The colors have the same meanings: specifically, the red is for the blood of martyrs, green for forests, and gold for mineral wealth", isnew:".", links: "https://en.wikipedia.org/wiki/Flag_of_Guinea-Bissau"},</v>
      </c>
      <c r="HG2" s="73" t="str">
        <f>"{couname:"&amp;CT2&amp;(IF(HK2&lt;&gt;"",",subtype:"&amp;CHAR(34)&amp;HK2&amp;CHAR(34),""))&amp;",year:"&amp;HJ2&amp;",region:"&amp;CU2&amp;",Colors:"&amp;HC2&amp;",Items:"&amp;GS2&amp;",Flag:"&amp;CV2&amp;",HDFlag:"&amp;CHAR(34)&amp;E2&amp;CHAR(34)&amp;",type:"&amp;GP2&amp;", describe: "&amp;HI2&amp;", links: "&amp;HL2&amp;"},"</f>
        <v>{couname:"Guinea-Bissau",year:"1973 ",region:"rgn_Africa",Colors:["cl_RED","cl_YEL","cl_GRE","cl_BLA"],Items:["4Color","words2","exact2","lets12","startG","year19","3Bands","Horizo","Vertic","Unequa","staBLA","NO_BLU","NO_WHI","BLWHNO","WHRENO","001RED","002YEL","003GRE","myrEQ","portug","HasSta","1Stars"],Flag:"https://i.ibb.co/mRR3dJL/Guinea-Bissau-Flag.png",HDFlag:"https://upload.wikimedia.org/wikipedia/commons/thumb/0/01/Flag_of_Guinea-Bissau.svg/2560px-Flag_of_Guinea-Bissau.svg.png",type:"", describe: "\nLike the former flag of Cape Verde, the flag is based on that of the African Party for the Independence of Guinea and Cape Verde (PAIGC). The party was established in 1956 to peacefully campaign for independence from Portugal during its Estado Novo regime, but turned to armed conflict in the 1960s and was one of the belligerents in the 1963–74 Guinea-Bissau War of Independence. It is still the dominant party in Guinea-Bissau. The PAIGC party flag was derived from that of Ghana, which was the first design to use the Pan-African combination of red, yellow, green, and black in 1957.\n\nIn the Ghanaian view, the black star stands for the unity of Africa. Red stands for the blood shed during the struggle for independence, yellow stands for the sun, and green represents hope.\n\nThe flag features the traditional Pan-African colors of gold, green, red, and also the Black Star of Africa. The flag's design is heavily influenced by the flag of Ghana. The colors have the same meanings: specifically, the red is for the blood of martyrs, green for forests, and gold for mineral wealth", links: "https://en.wikipedia.org/wiki/Flag_of_Guinea-Bissau"},</v>
      </c>
      <c r="HH2" s="48" t="str">
        <f>IF(P2&lt;&gt;"",CHAR(34)&amp;"\n"&amp;P2&amp;CHAR(34),CHAR(34)&amp;CHAR(34))</f>
        <v>"\nLike the former flag of Cape Verde, the flag is based on that of the African Party for the Independence of Guinea and Cape Verde (PAIGC). The party was established in 1956 to peacefully campaign for independence from Portugal during its Estado Novo regime, but turned to armed conflict in the 1960s and was one of the belligerents in the 1963–74 Guinea-Bissau War of Independence. It is still the dominant party in Guinea-Bissau. The PAIGC party flag was derived from that of Ghana, which was the first design to use the Pan-African combination of red, yellow, green, and black in 1957.\n\nIn the Ghanaian view, the black star stands for the unity of Africa. Red stands for the blood shed during the struggle for independence, yellow stands for the sun, and green represents hope.\n\nThe flag features the traditional Pan-African colors of gold, green, red, and also the Black Star of Africa. The flag's design is heavily influenced by the flag of Ghana. The colors have the same meanings: specifically, the red is for the blood of martyrs, green for forests, and gold for mineral wealth"</v>
      </c>
      <c r="HI2" s="48" t="str">
        <f>IF(J2=0,CHAR(34)&amp;CHAR(34),HH2)</f>
        <v>"\nLike the former flag of Cape Verde, the flag is based on that of the African Party for the Independence of Guinea and Cape Verde (PAIGC). The party was established in 1956 to peacefully campaign for independence from Portugal during its Estado Novo regime, but turned to armed conflict in the 1960s and was one of the belligerents in the 1963–74 Guinea-Bissau War of Independence. It is still the dominant party in Guinea-Bissau. The PAIGC party flag was derived from that of Ghana, which was the first design to use the Pan-African combination of red, yellow, green, and black in 1957.\n\nIn the Ghanaian view, the black star stands for the unity of Africa. Red stands for the blood shed during the struggle for independence, yellow stands for the sun, and green represents hope.\n\nThe flag features the traditional Pan-African colors of gold, green, red, and also the Black Star of Africa. The flag's design is heavily influenced by the flag of Ghana. The colors have the same meanings: specifically, the red is for the blood of martyrs, green for forests, and gold for mineral wealth"</v>
      </c>
      <c r="HJ2" s="48" t="str">
        <f>CHAR(34)&amp;O2&amp;CHAR(34)</f>
        <v>"1973 "</v>
      </c>
      <c r="HL2" s="48" t="str">
        <f>CHAR(34)&amp;I2&amp;CHAR(34)</f>
        <v>"https://en.wikipedia.org/wiki/Flag_of_Guinea-Bissau"</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{"couname":"Guinea-Bissau","year":"1973 ","region":"rgn_Africa","Colors":["cl_RED","cl_YEL","cl_GRE","cl_BLA"],"Items":["4Color","words2","exact2","lets12","startG","year19","3Bands","Horizo","Vertic","Unequa","staBLA","NO_BLU","NO_WHI","BLWHNO","WHRENO","001RED","002YEL","003GRE","myrEQ","portug","HasSta","1Stars"],"Flag":"https://i.ibb.co/mRR3dJL/Guinea-Bissau-Flag.png","HDFlag":"https://upload.wikimedia.org/wikipedia/commons/thumb/0/01/Flag_of_Guinea-Bissau.svg/2560px-Flag_of_Guinea-Bissau.svg.png","type":"", "describe": "\nLike the former flag of Cape Verde, the flag is based on that of the African Party for the Independence of Guinea and Cape Verde (PAIGC). The party was established in 1956 to peacefully campaign for independence from Portugal during its Estado Novo regime, but turned to armed conflict in the 1960s and was one of the belligerents in the 1963–74 Guinea-Bissau War of Independence. It is still the dominant party in Guinea-Bissau. The PAIGC party flag was derived from that of Ghana, which was the first design to use the Pan-African combination of red, yellow, green, and black in 1957.\n\nIn the Ghanaian view, the black star stands for the unity of Africa. Red stands for the blood shed during the struggle for independence, yellow stands for the sun, and green represents hope.\n\nThe flag features the traditional Pan-African colors of gold, green, red, and also the Black Star of Africa. The flag's design is heavily influenced by the flag of Ghana. The colors have the same meanings: specifically, the red is for the blood of martyrs, green for forests, and gold for mineral wealth", "isnew": ".", "links": "https://en.wikipedia.org/wiki/Flag_of_Guinea-Bissau"},</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{"couname":"Guinea-Bissau","year":"1973 ","region":"rgn_Africa","Colors":["cl_RED","cl_YEL","cl_GRE","cl_BLA"],"Items":["4Color","words2","exact2","lets12","startG","year19","3Bands","Horizo","Vertic","Unequa","staBLA","NO_BLU","NO_WHI","BLWHNO","WHRENO","001RED","002YEL","003GRE","myrEQ","portug","HasSta","1Stars"],"Flag":"https://i.ibb.co/mRR3dJL/Guinea-Bissau-Flag.png","HDFlag":"https://upload.wikimedia.org/wikipedia/commons/thumb/0/01/Flag_of_Guinea-Bissau.svg/2560px-Flag_of_Guinea-Bissau.svg.png","type":"", "describe": "\nLike the former flag of Cape Verde, the flag is based on that of the African Party for the Independence of Guinea and Cape Verde (PAIGC). The party was established in 1956 to peacefully campaign for independence from Portugal during its Estado Novo regime, but turned to armed conflict in the 1960s and was one of the belligerents in the 1963–74 Guinea-Bissau War of Independence. It is still the dominant party in Guinea-Bissau. The PAIGC party flag was derived from that of Ghana, which was the first design to use the Pan-African combination of red, yellow, green, and black in 1957.\n\nIn the Ghanaian view, the black star stands for the unity of Africa. Red stands for the blood shed during the struggle for independence, yellow stands for the sun, and green represents hope.\n\nThe flag features the traditional Pan-African colors of gold, green, red, and also the Black Star of Africa. The flag's design is heavily influenced by the flag of Ghana. The colors have the same meanings: specifically, the red is for the blood of martyrs, green for forests, and gold for mineral wealth", "isnew": ".", "links": "https://en.wikipedia.org/wiki/Flag_of_Guinea-Bissau"},</v>
      </c>
      <c r="HO2" s="75"/>
      <c r="HP2" s="48" t="str" cm="1">
        <f t="array" ref="HP2">IF(_xlfn.TEXTJOIN(", ", TRUE, IF(ISNUMBER(SEARCH("BLA", BL2:BT2)), COLUMN(BL2:BT2) - COLUMN(BL2) + 1, ""))&lt;&gt;"","BLA","")</f>
        <v>BLA</v>
      </c>
      <c r="HQ2" s="48" t="str" cm="1">
        <f t="array" ref="HQ2">IF(_xlfn.TEXTJOIN(", ", TRUE, IF(ISNUMBER(SEARCH("BLU", BL2:BT2)), COLUMN(BL2:BT2) - COLUMN(BL2) + 1, ""))&lt;&gt;"","BLU","")</f>
        <v/>
      </c>
      <c r="HR2" s="48" t="str" cm="1">
        <f t="array" ref="HR2">IF(_xlfn.TEXTJOIN(", ", TRUE, IF(ISNUMBER(SEARCH("GRE", BL2:BT2)), COLUMN(BL2:BT2) - COLUMN(BL2) + 1, ""))&lt;&gt;"","GRE","")</f>
        <v>GRE</v>
      </c>
      <c r="HS2" s="48" t="str" cm="1">
        <f t="array" ref="HS2">IF(_xlfn.TEXTJOIN(", ", TRUE, IF(ISNUMBER(SEARCH("RED", BL2:BT2)), COLUMN(BL2:BT2) - COLUMN(BL2) + 1, ""))&lt;&gt;"","RED","")</f>
        <v>RED</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
      </c>
      <c r="HY2" s="76"/>
      <c r="HZ2" s="76"/>
      <c r="IA2" s="6"/>
      <c r="IB2" s="6"/>
      <c r="IC2" s="77"/>
      <c r="ID2" s="77"/>
      <c r="IE2" s="77"/>
      <c r="IF2" s="77"/>
      <c r="IG2" s="77"/>
      <c r="IH2" s="77"/>
      <c r="II2" s="77"/>
      <c r="IJ2" s="77"/>
      <c r="IK2" s="77"/>
      <c r="IL2" s="48">
        <f>SUM(IC2:IK2)</f>
        <v>0</v>
      </c>
      <c r="IM2" s="45">
        <f>COUNTIF(IC2:IK2,"&gt;0")-CG2</f>
        <v>-4</v>
      </c>
      <c r="IN2" s="78" t="str">
        <f>"http://mkweb.bcgsc.ca/color-summarizer/?url="&amp;D2&amp;"&amp;precision=low&amp;num_clusters="&amp;CG2&amp;"&amp;text=1"</f>
        <v>http://mkweb.bcgsc.ca/color-summarizer/?url=https://i.ibb.co/mRR3dJL/Guinea-Bissau-Flag.png&amp;precision=low&amp;num_clusters=4&amp;text=1</v>
      </c>
      <c r="IO2" s="48" t="str">
        <f>IF(HP2&lt;&gt;"",CHAR(34)&amp;"black"&amp;CHAR(34),"")</f>
        <v>"black"</v>
      </c>
      <c r="IP2" s="48" t="str">
        <f>IF(HQ2&lt;&gt;"",CHAR(34)&amp;"blue"&amp;CHAR(34),"")</f>
        <v/>
      </c>
      <c r="IQ2" s="48" t="str">
        <f>IF(HR2&lt;&gt;"",CHAR(34)&amp;"green"&amp;CHAR(34),"")</f>
        <v>"green"</v>
      </c>
      <c r="IR2" s="48" t="str">
        <f>IF(HS2&lt;&gt;"",CHAR(34)&amp;"red"&amp;CHAR(34),"")</f>
        <v>"red"</v>
      </c>
      <c r="IS2" s="48" t="str">
        <f>IF(HT2&lt;&gt;"",CHAR(34)&amp;"yellow"&amp;CHAR(34),"")</f>
        <v>"yellow"</v>
      </c>
      <c r="IT2" s="48" t="str">
        <f>IF(HU2&lt;&gt;"",CHAR(34)&amp;"orange"&amp;CHAR(34),"")</f>
        <v/>
      </c>
      <c r="IU2" s="48" t="str">
        <f>IF(HV2&lt;&gt;"",CHAR(34)&amp;"brown"&amp;CHAR(34),"")</f>
        <v/>
      </c>
      <c r="IV2" s="48" t="str">
        <f>IF(HW2&lt;&gt;"",CHAR(34)&amp;"purple"&amp;CHAR(34),"")</f>
        <v/>
      </c>
      <c r="IW2" s="48" t="str">
        <f>IF(HX2&lt;&gt;"",CHAR(34)&amp;"white"&amp;CHAR(34),"")</f>
        <v/>
      </c>
      <c r="IX2" s="48" t="str">
        <f>"{"&amp;CHAR(34)&amp;"url"&amp;CHAR(34)&amp;":"&amp;CHAR(34)&amp;IN2&amp;CHAR(34)&amp;","&amp;CHAR(34)&amp;"name"&amp;CHAR(34)&amp;":"&amp;CHAR(34)&amp;A2&amp;CHAR(34)&amp;"},"</f>
        <v>{"url":"http://mkweb.bcgsc.ca/color-summarizer/?url=https://i.ibb.co/mRR3dJL/Guinea-Bissau-Flag.png&amp;precision=low&amp;num_clusters=4&amp;text=1","name":"Guinea-Bissau"},</v>
      </c>
      <c r="IY2" s="48">
        <v>93</v>
      </c>
    </row>
    <row r="3" spans="1:259" s="48" customFormat="1" ht="38.4" customHeight="1" thickBot="1" x14ac:dyDescent="0.35">
      <c r="A3" s="79" t="s">
        <v>574</v>
      </c>
      <c r="B3" s="40" t="e" vm="54">
        <v>#VALUE!</v>
      </c>
      <c r="C3" s="41">
        <v>2</v>
      </c>
      <c r="D3" s="42" t="s">
        <v>575</v>
      </c>
      <c r="E3" s="43" t="s">
        <v>576</v>
      </c>
      <c r="F3" s="44" t="s">
        <v>163</v>
      </c>
      <c r="G3" s="45">
        <f>COUNTIF($A$1:$A$8382,A3)</f>
        <v>1</v>
      </c>
      <c r="H3" s="46"/>
      <c r="I3" s="47" t="s">
        <v>577</v>
      </c>
      <c r="J3" s="48" t="str">
        <f>""</f>
        <v/>
      </c>
      <c r="K3" s="49"/>
      <c r="L3" s="50"/>
      <c r="M3" s="50"/>
      <c r="N3" s="51" t="s">
        <v>180</v>
      </c>
      <c r="O3" s="52" t="s">
        <v>170</v>
      </c>
      <c r="P3" s="53" t="s">
        <v>520</v>
      </c>
      <c r="Q3" s="54">
        <v>1</v>
      </c>
      <c r="R3" s="55" t="s">
        <v>180</v>
      </c>
      <c r="S3" s="56">
        <v>0</v>
      </c>
      <c r="T3" s="57" t="s">
        <v>167</v>
      </c>
      <c r="U3" s="58" t="s">
        <v>164</v>
      </c>
      <c r="V3" s="58" t="s">
        <v>164</v>
      </c>
      <c r="W3" s="58" t="s">
        <v>164</v>
      </c>
      <c r="X3" s="58" t="s">
        <v>164</v>
      </c>
      <c r="Y3" s="58" t="s">
        <v>164</v>
      </c>
      <c r="Z3" s="58" t="s">
        <v>164</v>
      </c>
      <c r="AA3" s="58" t="s">
        <v>164</v>
      </c>
      <c r="AB3" s="58" t="s">
        <v>167</v>
      </c>
      <c r="AC3" s="58" t="s">
        <v>164</v>
      </c>
      <c r="AD3" s="58" t="s">
        <v>164</v>
      </c>
      <c r="AE3" s="58" t="s">
        <v>164</v>
      </c>
      <c r="AF3" s="59" t="s">
        <v>164</v>
      </c>
      <c r="AG3" s="59" t="s">
        <v>164</v>
      </c>
      <c r="AH3" s="59" t="s">
        <v>167</v>
      </c>
      <c r="AI3" s="59" t="s">
        <v>164</v>
      </c>
      <c r="AJ3" s="59" t="s">
        <v>164</v>
      </c>
      <c r="AK3" s="59" t="s">
        <v>164</v>
      </c>
      <c r="AL3" s="59" t="s">
        <v>164</v>
      </c>
      <c r="AM3" s="59" t="s">
        <v>164</v>
      </c>
      <c r="AN3" s="59" t="s">
        <v>167</v>
      </c>
      <c r="AO3" s="59" t="s">
        <v>167</v>
      </c>
      <c r="AP3" s="59" t="s">
        <v>164</v>
      </c>
      <c r="AQ3" s="59" t="s">
        <v>164</v>
      </c>
      <c r="AR3" s="59" t="s">
        <v>164</v>
      </c>
      <c r="AS3" s="59" t="s">
        <v>164</v>
      </c>
      <c r="AT3" s="60">
        <v>0</v>
      </c>
      <c r="AU3" s="59" t="s">
        <v>171</v>
      </c>
      <c r="AV3" s="59" t="str">
        <f>IF(LEFT(A3,1)="[",LEFT(A3,5)&amp;AU3&amp;A3,"")</f>
        <v>[GNB]Capital City[GNB] Bissau</v>
      </c>
      <c r="AW3" s="59" t="str">
        <f t="shared" si="0"/>
        <v>2[GNB] Bissau</v>
      </c>
      <c r="AX3" s="61"/>
      <c r="AY3" s="61"/>
      <c r="AZ3" s="62"/>
      <c r="BA3" s="62"/>
      <c r="BB3" s="62"/>
      <c r="BC3" s="63"/>
      <c r="BD3" s="64" t="s">
        <v>169</v>
      </c>
      <c r="BE3" s="47"/>
      <c r="BF3" s="64"/>
      <c r="BG3" s="64"/>
      <c r="BH3" s="64"/>
      <c r="BI3" s="64"/>
      <c r="BJ3" s="64"/>
      <c r="BK3" s="47"/>
      <c r="BL3" s="64" t="s">
        <v>151</v>
      </c>
      <c r="BM3" s="64" t="s">
        <v>154</v>
      </c>
      <c r="BN3" s="64" t="s">
        <v>159</v>
      </c>
      <c r="BO3" s="64" t="s">
        <v>155</v>
      </c>
      <c r="BP3" s="64"/>
      <c r="BQ3" s="64"/>
      <c r="BR3" s="64"/>
      <c r="BS3" s="64"/>
      <c r="BT3" s="64"/>
      <c r="BU3" s="65"/>
      <c r="BV3" s="66"/>
      <c r="BW3" s="66">
        <v>0</v>
      </c>
      <c r="BX3" s="47"/>
      <c r="BY3" s="48" t="s">
        <v>164</v>
      </c>
      <c r="CB3" s="6"/>
      <c r="CC3" s="6"/>
      <c r="CD3" s="67">
        <v>0</v>
      </c>
      <c r="CE3" s="67">
        <v>0</v>
      </c>
      <c r="CF3" s="67" t="e">
        <v>#REF!</v>
      </c>
      <c r="CG3" s="68" cm="1">
        <f t="array" ref="CG3">SUMPRODUCT(--(LEN(TRIM(BL3:BT3))&gt;0))</f>
        <v>4</v>
      </c>
      <c r="CH3" s="59" t="str">
        <f>IF(CG3=2,"y","n")</f>
        <v>n</v>
      </c>
      <c r="CI3" s="59" t="str">
        <f>IF(CG3=3,"y","n")</f>
        <v>n</v>
      </c>
      <c r="CJ3" s="59" t="str">
        <f>IF(CG3=4,"y","n")</f>
        <v>y</v>
      </c>
      <c r="CK3" s="59" t="str">
        <f>IF(CG3&gt;4,"y","n")</f>
        <v>n</v>
      </c>
      <c r="CL3" s="59" t="str">
        <f>IF(S3=0,"y","n")</f>
        <v>y</v>
      </c>
      <c r="CM3" s="59" t="str">
        <f>IF(S3=2,"y","n")</f>
        <v>n</v>
      </c>
      <c r="CN3" s="59" t="str">
        <f>IF(S3=3,"y","n")</f>
        <v>n</v>
      </c>
      <c r="CO3" s="59" t="str">
        <f>IF(S3&gt;=4,"y","n")</f>
        <v>n</v>
      </c>
      <c r="CP3" s="59" t="str">
        <f>IF(AT3=0,"y","n")</f>
        <v>y</v>
      </c>
      <c r="CQ3" s="59" t="str">
        <f>IF(AT3=1,"y","n")</f>
        <v>n</v>
      </c>
      <c r="CR3" s="59" t="str">
        <f>IF(AT3=2,"y","n")</f>
        <v>n</v>
      </c>
      <c r="CS3" s="59" t="str">
        <f>IF(AT3&gt;=3,"y","n")</f>
        <v>n</v>
      </c>
      <c r="CT3" s="69" t="str">
        <f>CHAR(34)&amp;A3&amp;CHAR(34)</f>
        <v>"[GNB] Bissau"</v>
      </c>
      <c r="CU3" s="70" t="str">
        <f>CHAR(34)&amp;"rgn_"&amp;R3&amp;CHAR(34)</f>
        <v>"rgn_Africa"</v>
      </c>
      <c r="CV3" s="48" t="str">
        <f>CHAR(34)&amp;D3&amp;CHAR(34)</f>
        <v>"https://upload.wikimedia.org/wikipedia/commons/thumb/4/49/Bandeira_Bissau.PNG/1024px-Bandeira_Bissau.PNG"</v>
      </c>
      <c r="CW3" s="48" t="str">
        <f>IF(CH3="y",CHAR(34)&amp;CH$1&amp;CHAR(34)&amp;",","")</f>
        <v/>
      </c>
      <c r="CX3" s="48" t="str">
        <f>IF(CI3="y",CHAR(34)&amp;CI$1&amp;CHAR(34)&amp;",","")</f>
        <v/>
      </c>
      <c r="CY3" s="48" t="str">
        <f>IF(CJ3="y",CHAR(34)&amp;CJ$1&amp;CHAR(34)&amp;",","")</f>
        <v>"4Color",</v>
      </c>
      <c r="CZ3" s="48" t="str">
        <f>IF(CK3="y",CHAR(34)&amp;CK$1&amp;CHAR(34)&amp;",","")</f>
        <v/>
      </c>
      <c r="DA3" s="48" t="str">
        <f>IF(Q3&gt;1,CHAR(34)&amp;"words2"&amp;CHAR(34)&amp;",","")</f>
        <v/>
      </c>
      <c r="DB3" s="48" t="str">
        <f>IF(Q3&gt;2,CHAR(34)&amp;"words3"&amp;CHAR(34)&amp;",","")</f>
        <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"lets06",</v>
      </c>
      <c r="DE3" s="48" t="str">
        <f>CHAR(34)&amp;"start"&amp;IFERROR(LEFT(SUBSTITUTE(A3,"["&amp;MID(A3,FIND("[",A3)+1,FIND("]",A3)-FIND("[",A3)-1)&amp;"] ",""),1),LEFT(A3,1))&amp;CHAR(34)&amp;","</f>
        <v>"startB",</v>
      </c>
      <c r="DF3" s="48" t="str">
        <f>IFERROR(IF(SEARCH("tan",A3)&gt;0,CHAR(34)&amp;"withtn"&amp;CHAR(34)&amp;",",""),"")</f>
        <v/>
      </c>
      <c r="DG3" s="48" t="str">
        <f>IFERROR(IF(SEARCH("q",A3)&gt;0,CHAR(34)&amp;"with_q"&amp;CHAR(34)&amp;",",""),"")</f>
        <v/>
      </c>
      <c r="DH3" s="48" t="str">
        <f>IFERROR(IF(SEARCH("v",A3)&gt;0,CHAR(34)&amp;"with_v"&amp;CHAR(34)&amp;",",""),"")</f>
        <v/>
      </c>
      <c r="DI3" s="48" t="str">
        <f>IFERROR(IF(SEARCH("w",A3)&gt;0,CHAR(34)&amp;"with_w"&amp;CHAR(34)&amp;",",""),"")</f>
        <v/>
      </c>
      <c r="DJ3" s="48" t="str">
        <f>IFERROR(IF(SEARCH("y",A3)&gt;0,CHAR(34)&amp;"with_y"&amp;CHAR(34)&amp;",",""),"")</f>
        <v/>
      </c>
      <c r="DK3" s="48" t="str">
        <f>IFERROR(IF(SEARCH("z",A3)&gt;0,CHAR(34)&amp;"with_z"&amp;CHAR(34)&amp;",",""),"")</f>
        <v/>
      </c>
      <c r="DL3" s="48" t="str">
        <f>IF(CG3=2, CHAR(34) &amp; _xlfn.TEXTJOIN("", TRUE, _xlfn._xlws.SORT(HP3:HX3)) &amp; CHAR(34) &amp; ",", "")</f>
        <v/>
      </c>
      <c r="DM3" s="48" t="str" cm="1">
        <f t="array" ref="DM3">IF(CG3=3,CHAR(34) &amp; _xlfn.TEXTJOIN("", TRUE, RIGHT(HP3:HX3, 2)) &amp; CHAR(34) &amp; ",", "")</f>
        <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
      </c>
      <c r="DP3" s="6" t="str">
        <f>IF(AND(ISNUMBER(SEARCH("20", O3)), ISERROR(SEARCH("1920", O3))), CHAR(34)&amp;"year00"&amp;CHAR(34)&amp;",", "")</f>
        <v/>
      </c>
      <c r="DQ3" s="6" t="str">
        <f>IF(CC3="y",CHAR(34)&amp;"soviet"&amp;CHAR(34)&amp;",","")</f>
        <v/>
      </c>
      <c r="DR3" s="6" t="str">
        <f>IF(BY3="y",CHAR(34)&amp;"dgband"&amp;CHAR(34)&amp;",","")</f>
        <v/>
      </c>
      <c r="DS3" s="6" t="str">
        <f>IF(W3="y",IF(AND(V3="n",BY3&lt;&gt;"y"),CHAR(34)&amp;"allver"&amp;CHAR(34)&amp;",",""),"")</f>
        <v/>
      </c>
      <c r="DT3" s="6" t="str">
        <f>IF(V3="y",IF(AND(W3="n",BY3&lt;&gt;"y"),CHAR(34)&amp;"allhor"&amp;CHAR(34)&amp;",",""),"")</f>
        <v/>
      </c>
      <c r="DU3" s="6" t="str">
        <f>IF(BY3="y",IF(AND(W3="n",V3="n"),CHAR(34)&amp;"alldia"&amp;CHAR(34)&amp;",",""),"")</f>
        <v/>
      </c>
      <c r="DW3" s="48" t="str">
        <f>IF(CL3="y",CHAR(34)&amp;CL$1&amp;CHAR(34)&amp;",","")</f>
        <v>"NoBand",</v>
      </c>
      <c r="DX3" s="48" t="str">
        <f>IF(CM3="y",CHAR(34)&amp;CM$1&amp;CHAR(34)&amp;",","")</f>
        <v/>
      </c>
      <c r="DY3" s="48" t="str">
        <f>IF(CN3="y",CHAR(34)&amp;CN$1&amp;CHAR(34)&amp;",","")</f>
        <v/>
      </c>
      <c r="DZ3" s="48" t="str">
        <f>IF(CO3="y",CHAR(34)&amp;CO$1&amp;CHAR(34)&amp;",","")</f>
        <v/>
      </c>
      <c r="EA3" s="48" t="str">
        <f>IF(T3="y",CHAR(34)&amp;T$1&amp;CHAR(34)&amp;",","")</f>
        <v>"Diagon",</v>
      </c>
      <c r="EB3" s="48" t="str">
        <f>IF(U3="y",CHAR(34)&amp;U$1&amp;CHAR(34)&amp;",","")</f>
        <v/>
      </c>
      <c r="EC3" s="48" t="str">
        <f>IF(V3="y",CHAR(34)&amp;V$1&amp;CHAR(34)&amp;",","")</f>
        <v/>
      </c>
      <c r="ED3" s="48" t="str">
        <f>IF(W3="y",CHAR(34)&amp;W$1&amp;CHAR(34)&amp;",","")</f>
        <v/>
      </c>
      <c r="EE3" s="48" t="str">
        <f>IF(X3="y",CHAR(34)&amp;X$1&amp;CHAR(34)&amp;",","")</f>
        <v/>
      </c>
      <c r="EF3" s="48" t="str">
        <f>IF(AND(Y3&lt;&gt;"n",Y3&lt;&gt;""),CHAR(34)&amp;Y$1&amp;CHAR(34)&amp;",","")</f>
        <v/>
      </c>
      <c r="EG3" s="48" t="str">
        <f>IF(Z3="y",CHAR(34)&amp;Z$1&amp;CHAR(34)&amp;",","")</f>
        <v/>
      </c>
      <c r="EH3" s="48" t="str">
        <f>IF(AA3="y",CHAR(34)&amp;AA$1&amp;CHAR(34)&amp;",","")</f>
        <v/>
      </c>
      <c r="EI3" s="48" t="str">
        <f>IF(AB3="y",CHAR(34)&amp;AB$1&amp;CHAR(34)&amp;",","")</f>
        <v>"Texted",</v>
      </c>
      <c r="EJ3" s="48" t="str">
        <f>IF(AC3="y",CHAR(34)&amp;AC$1&amp;CHAR(34)&amp;",","")</f>
        <v/>
      </c>
      <c r="EK3" s="48" t="str">
        <f>IF(AD3="y",CHAR(34)&amp;AD$1&amp;CHAR(34)&amp;",","")</f>
        <v/>
      </c>
      <c r="EL3" s="48" t="str">
        <f>IF(AE3="y",CHAR(34)&amp;AE$1&amp;CHAR(34)&amp;",","")</f>
        <v/>
      </c>
      <c r="EM3" s="48" t="str">
        <f>IF(AF3="y",CHAR(34)&amp;AF$1&amp;CHAR(34)&amp;",","")</f>
        <v/>
      </c>
      <c r="EN3" s="48" t="str">
        <f>IF(AG3="y",CHAR(34)&amp;AG$1&amp;CHAR(34)&amp;",","")</f>
        <v/>
      </c>
      <c r="EO3" s="48" t="str">
        <f>IF(AH3="y",CHAR(34)&amp;AH$1&amp;CHAR(34)&amp;",","")</f>
        <v>"Center",</v>
      </c>
      <c r="EP3" s="48" t="str">
        <f>IF(AI3="y",CHAR(34)&amp;AI$1&amp;CHAR(34)&amp;",","")</f>
        <v/>
      </c>
      <c r="EQ3" s="48" t="str">
        <f>IF(AJ3="y",CHAR(34)&amp;AJ$1&amp;CHAR(34)&amp;",","")</f>
        <v/>
      </c>
      <c r="ER3" s="48" t="str">
        <f>IF(AK3="y",CHAR(34)&amp;AK$1&amp;CHAR(34)&amp;",","")</f>
        <v/>
      </c>
      <c r="ES3" s="48" t="str">
        <f>IF(AL3="y",CHAR(34)&amp;AL$1&amp;CHAR(34)&amp;",","")</f>
        <v/>
      </c>
      <c r="ET3" s="48" t="str">
        <f>IF(AM3="y",CHAR(34)&amp;AM$1&amp;CHAR(34)&amp;",","")</f>
        <v/>
      </c>
      <c r="EU3" s="48" t="str">
        <f>IF(AN3="y",CHAR(34)&amp;AN$1&amp;CHAR(34)&amp;",","")</f>
        <v>"Humans",</v>
      </c>
      <c r="EV3" s="48" t="str">
        <f>IF(AO3="y",CHAR(34)&amp;AO$1&amp;CHAR(34)&amp;",","")</f>
        <v>"Builds",</v>
      </c>
      <c r="EW3" s="48" t="str">
        <f>IF(AP3="y",CHAR(34)&amp;AP$1&amp;CHAR(34)&amp;",","")</f>
        <v/>
      </c>
      <c r="EX3" s="48" t="str">
        <f>IF(AQ3="y",CHAR(34)&amp;AQ$1&amp;CHAR(34)&amp;",","")</f>
        <v/>
      </c>
      <c r="EY3" s="48" t="str">
        <f>IF(AR3="y",CHAR(34)&amp;AR$1&amp;CHAR(34)&amp;",","")</f>
        <v/>
      </c>
      <c r="EZ3" s="48" t="str">
        <f>IF(AS3="y",CHAR(34)&amp;AS$1&amp;CHAR(34)&amp;",","")</f>
        <v/>
      </c>
      <c r="FA3" s="48" t="str">
        <f>IF(AT3&gt;0,CHAR(34)&amp;"sta"&amp;AZ3&amp;CHAR(34)&amp;",","")</f>
        <v/>
      </c>
      <c r="FB3" s="48" t="str">
        <f>IF(AND(AT3&gt;0,BA3&lt;&gt;""),CHAR(34)&amp;"sta"&amp;BA3&amp;CHAR(34)&amp;",","")</f>
        <v/>
      </c>
      <c r="FD3" s="48" t="str">
        <f>IF(BV3="n",CHAR(34)&amp;"tcWHYE"&amp;CHAR(34)&amp;",",IF(BV3="y",CHAR(34)&amp;FD$1&amp;CHAR(34)&amp;",",""))</f>
        <v/>
      </c>
      <c r="FE3" s="48" t="str">
        <f>IF(COUNTIF(BL3:BT3,"BLU")=0,CHAR(34)&amp;"NO_BLU"&amp;CHAR(34)&amp;",", "")</f>
        <v>"NO_BLU",</v>
      </c>
      <c r="FF3" s="48" t="str">
        <f>IF(COUNTIF(BL3:BT3,"WHI")=0,CHAR(34)&amp;"NO_WHI"&amp;CHAR(34)&amp;",", "")</f>
        <v/>
      </c>
      <c r="FG3" s="48" t="str">
        <f>IF(COUNTIF(BL3:BT3,"RED")=0,CHAR(34)&amp;"NO_RED"&amp;CHAR(34)&amp;",", "")</f>
        <v/>
      </c>
      <c r="FH3" s="48" t="str">
        <f>IF(COUNTIF(BL3:BS3,"GRE")=0,CHAR(34)&amp;"NO_GRE"&amp;CHAR(34)&amp;",", "")</f>
        <v>"NO_GRE",</v>
      </c>
      <c r="FI3" s="48" t="str">
        <f>IF(COUNTIF(BL3:BT3,"YEL")=0,CHAR(34)&amp;"NO_YEL"&amp;CHAR(34)&amp;",", "")</f>
        <v/>
      </c>
      <c r="FJ3" s="48" t="str">
        <f>IF(COUNTIF(BL3:BT3,"BLA")=0,CHAR(34)&amp;"NO_BLA"&amp;CHAR(34)&amp;",", "")</f>
        <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
      </c>
      <c r="FQ3" s="48" t="str">
        <f>IF(LEN(BF3)=3,CHAR(34)&amp;"001"&amp;BF3&amp;CHAR(34)&amp;",","")</f>
        <v/>
      </c>
      <c r="FR3" s="48" t="str">
        <f>IF(LEN(BG3)=3,CHAR(34)&amp;"002"&amp;BG3&amp;CHAR(34)&amp;",","")</f>
        <v/>
      </c>
      <c r="FS3" s="48" t="str">
        <f>IF(LEN(BH3)=3,CHAR(34)&amp;"003"&amp;BH3&amp;CHAR(34)&amp;",","")</f>
        <v/>
      </c>
      <c r="FT3" s="48" t="str">
        <f>CHAR(34)&amp;"myr"&amp;BD3&amp;CHAR(34)&amp;","</f>
        <v>"myrEQ",</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
      </c>
      <c r="GG3" s="48" t="str">
        <f>IF(BU3="y",CHAR(34)&amp;"unjack"&amp;CHAR(34)&amp;",","")</f>
        <v/>
      </c>
      <c r="GH3" s="48" t="str">
        <f>IF(CD3=1,CHAR(34)&amp;"southc"&amp;CHAR(34)&amp;",","")</f>
        <v/>
      </c>
      <c r="GI3" s="48" t="str">
        <f>IF(CE3=1,CHAR(34)&amp;"hasmap"&amp;CHAR(34)&amp;",","")</f>
        <v/>
      </c>
      <c r="GJ3" s="48" t="str">
        <f>IF(CP3="y",CHAR(34)&amp;CP$1&amp;CHAR(34)&amp;",","")</f>
        <v>"NoStar",</v>
      </c>
      <c r="GK3" s="48" t="str">
        <f>IF(GJ3="",CHAR(34)&amp;"HasSta"&amp;CHAR(34)&amp;",","")</f>
        <v/>
      </c>
      <c r="GL3" s="48" t="str">
        <f>IF(CQ3="y",CHAR(34)&amp;CQ$1&amp;CHAR(34)&amp;",","")</f>
        <v/>
      </c>
      <c r="GM3" s="48" t="str">
        <f>IF(CR3="y",CHAR(34)&amp;CR$1&amp;CHAR(34)&amp;",","")</f>
        <v/>
      </c>
      <c r="GN3" s="48" t="str">
        <f>IF(CS3="y",CHAR(34)&amp;CS$1&amp;CHAR(34)&amp;",","")</f>
        <v/>
      </c>
      <c r="GP3" s="48" t="str">
        <f>CHAR(34)&amp;AU3&amp;CHAR(34)</f>
        <v>"Capital City"</v>
      </c>
      <c r="GS3" s="48" t="str">
        <f>SUBSTITUTE("["&amp;_xlfn.CONCAT(CW3:GN3)&amp;"]",",]","]")</f>
        <v>["4Color","lets06","startB","NoBand","Diagon","Texted","Center","Humans","Builds","NO_BLU","NO_GRE","myrEQ","NoStar"]</v>
      </c>
      <c r="GT3" s="48" t="str">
        <f>IF(BL3&lt;&gt;"",CHAR(34)&amp;"cl_"&amp;BL3&amp;CHAR(34)&amp;",","")</f>
        <v>"cl_BLA",</v>
      </c>
      <c r="GU3" s="48" t="str">
        <f>IF(BM3&lt;&gt;"",CHAR(34)&amp;"cl_"&amp;BM3&amp;CHAR(34)&amp;",","")</f>
        <v>"cl_RED",</v>
      </c>
      <c r="GV3" s="48" t="str">
        <f>IF(BN3&lt;&gt;"",CHAR(34)&amp;"cl_"&amp;BN3&amp;CHAR(34)&amp;",","")</f>
        <v>"cl_WHI",</v>
      </c>
      <c r="GW3" s="48" t="str">
        <f>IF(BO3&lt;&gt;"",CHAR(34)&amp;"cl_"&amp;BO3&amp;CHAR(34)&amp;",","")</f>
        <v>"cl_YEL",</v>
      </c>
      <c r="GX3" s="48" t="str">
        <f>IF(BP3&lt;&gt;"",CHAR(34)&amp;"cl_"&amp;BP3&amp;CHAR(34)&amp;",","")</f>
        <v/>
      </c>
      <c r="GY3" s="48" t="str">
        <f>IF(BQ3&lt;&gt;"",CHAR(34)&amp;"cl_"&amp;BQ3&amp;CHAR(34)&amp;",","")</f>
        <v/>
      </c>
      <c r="GZ3" s="48" t="str">
        <f>IF(BR3&lt;&gt;"",CHAR(34)&amp;"cl_"&amp;BR3&amp;CHAR(34)&amp;",","")</f>
        <v/>
      </c>
      <c r="HA3" s="48" t="str">
        <f>IF(BS3&lt;&gt;"",CHAR(34)&amp;"cl_"&amp;BS3&amp;CHAR(34)&amp;",","")</f>
        <v/>
      </c>
      <c r="HB3" s="48" t="str">
        <f>IF(BT3&lt;&gt;"",CHAR(34)&amp;"cl_"&amp;BT3&amp;CHAR(34)&amp;",","")</f>
        <v/>
      </c>
      <c r="HC3" s="48" t="str">
        <f>SUBSTITUTE("["&amp;_xlfn.CONCAT(GT3:HB3)&amp;"]",",]","]")</f>
        <v>["cl_BLA","cl_RED","cl_WHI","cl_YEL"]</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{couname:"[GNB] Bissau",year:"???",region:"rgn_Africa",Colors:["cl_BLA","cl_RED","cl_WHI","cl_YEL"],Items:["4Color","lets06","startB","NoBand","Diagon","Texted","Center","Humans","Builds","NO_BLU","NO_GRE","myrEQ","NoStar"],Flag:"https://upload.wikimedia.org/wikipedia/commons/thumb/4/49/Bandeira_Bissau.PNG/1024px-Bandeira_Bissau.PNG",HDFlag:"https://upload.wikimedia.org/wikipedia/commons/4/49/Bandeira_Bissau.PNG",type:"Capital City", describe: "\nN/A", isnew:".", links: "https://en.wikipedia.org/wiki/Bissau"},</v>
      </c>
      <c r="HG3" s="73" t="str">
        <f>"{couname:"&amp;CT3&amp;(IF(HK3&lt;&gt;"",",subtype:"&amp;CHAR(34)&amp;HK3&amp;CHAR(34),""))&amp;",year:"&amp;HJ3&amp;",region:"&amp;CU3&amp;",Colors:"&amp;HC3&amp;",Items:"&amp;GS3&amp;",Flag:"&amp;CV3&amp;",HDFlag:"&amp;CHAR(34)&amp;E3&amp;CHAR(34)&amp;",type:"&amp;GP3&amp;", describe: "&amp;HI3&amp;", links: "&amp;HL3&amp;"},"</f>
        <v>{couname:"[GNB] Bissau",year:"???",region:"rgn_Africa",Colors:["cl_BLA","cl_RED","cl_WHI","cl_YEL"],Items:["4Color","lets06","startB","NoBand","Diagon","Texted","Center","Humans","Builds","NO_BLU","NO_GRE","myrEQ","NoStar"],Flag:"https://upload.wikimedia.org/wikipedia/commons/thumb/4/49/Bandeira_Bissau.PNG/1024px-Bandeira_Bissau.PNG",HDFlag:"https://upload.wikimedia.org/wikipedia/commons/4/49/Bandeira_Bissau.PNG",type:"Capital City", describe: "\nN/A", links: "https://en.wikipedia.org/wiki/Bissau"},</v>
      </c>
      <c r="HH3" s="48" t="str">
        <f>IF(P3&lt;&gt;"",CHAR(34)&amp;"\n"&amp;P3&amp;CHAR(34),CHAR(34)&amp;CHAR(34))</f>
        <v>"\nN/A"</v>
      </c>
      <c r="HI3" s="48" t="str">
        <f>IF(J3=0,CHAR(34)&amp;CHAR(34),HH3)</f>
        <v>"\nN/A"</v>
      </c>
      <c r="HJ3" s="48" t="str">
        <f>CHAR(34)&amp;O3&amp;CHAR(34)</f>
        <v>"???"</v>
      </c>
      <c r="HL3" s="48" t="str">
        <f>CHAR(34)&amp;I3&amp;CHAR(34)</f>
        <v>"https://en.wikipedia.org/wiki/Bissau"</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{"couname":"[GNB] Bissau","year":"???","region":"rgn_Africa","Colors":["cl_BLA","cl_RED","cl_WHI","cl_YEL"],"Items":["4Color","lets06","startB","NoBand","Diagon","Texted","Center","Humans","Builds","NO_BLU","NO_GRE","myrEQ","NoStar"],"Flag":"https://upload.wikimedia.org/wikipedia/commons/thumb/4/49/Bandeira_Bissau.PNG/1024px-Bandeira_Bissau.PNG","HDFlag":"https://upload.wikimedia.org/wikipedia/commons/4/49/Bandeira_Bissau.PNG","type":"Capital City", "describe": "\nN/A", "isnew": ".", "links": "https://en.wikipedia.org/wiki/Bissau"},</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{"couname":"[GNB] Bissau","year":"???","region":"rgn_Africa","Colors":["cl_BLA","cl_RED","cl_WHI","cl_YEL"],"Items":["4Color","lets06","startB","NoBand","Diagon","Texted","Center","Humans","Builds","NO_BLU","NO_GRE","myrEQ","NoStar"],"Flag":"https://upload.wikimedia.org/wikipedia/commons/thumb/4/49/Bandeira_Bissau.PNG/1024px-Bandeira_Bissau.PNG","HDFlag":"https://upload.wikimedia.org/wikipedia/commons/4/49/Bandeira_Bissau.PNG","type":"Capital City", "describe": "\nN/A", "isnew": ".", "links": "https://en.wikipedia.org/wiki/Bissau"},</v>
      </c>
      <c r="HO3" s="75">
        <v>45644</v>
      </c>
      <c r="HP3" s="48" t="str" cm="1">
        <f t="array" ref="HP3">IF(_xlfn.TEXTJOIN(", ", TRUE, IF(ISNUMBER(SEARCH("BLA", BL3:BT3)), COLUMN(BL3:BT3) - COLUMN(BL3) + 1, ""))&lt;&gt;"","BLA","")</f>
        <v>BLA</v>
      </c>
      <c r="HQ3" s="48" t="str" cm="1">
        <f t="array" ref="HQ3">IF(_xlfn.TEXTJOIN(", ", TRUE, IF(ISNUMBER(SEARCH("BLU", BL3:BT3)), COLUMN(BL3:BT3) - COLUMN(BL3) + 1, ""))&lt;&gt;"","BLU","")</f>
        <v/>
      </c>
      <c r="HR3" s="48" t="str" cm="1">
        <f t="array" ref="HR3">IF(_xlfn.TEXTJOIN(", ", TRUE, IF(ISNUMBER(SEARCH("GRE", BL3:BT3)), COLUMN(BL3:BT3) - COLUMN(BL3) + 1, ""))&lt;&gt;"","GRE","")</f>
        <v/>
      </c>
      <c r="HS3" s="48" t="str" cm="1">
        <f t="array" ref="HS3">IF(_xlfn.TEXTJOIN(", ", TRUE, IF(ISNUMBER(SEARCH("RED", BL3:BT3)), COLUMN(BL3:BT3) - COLUMN(BL3) + 1, ""))&lt;&gt;"","RED","")</f>
        <v>RED</v>
      </c>
      <c r="HT3" s="48" t="str" cm="1">
        <f t="array" ref="HT3">IF(_xlfn.TEXTJOIN(", ", TRUE, IF(ISNUMBER(SEARCH("YEL", BL3:BT3)), COLUMN(BL3:BT3) - COLUMN(BL3) + 1, ""))&lt;&gt;"","YEL","")</f>
        <v>YEL</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M3" s="45">
        <f>COUNTIF(IC3:IK3,"&gt;0")-CG3</f>
        <v>-4</v>
      </c>
      <c r="IN3" s="78" t="str">
        <f>"http://mkweb.bcgsc.ca/color-summarizer/?url="&amp;D3&amp;"&amp;precision=low&amp;num_clusters="&amp;CG3&amp;"&amp;text=1"</f>
        <v>http://mkweb.bcgsc.ca/color-summarizer/?url=https://upload.wikimedia.org/wikipedia/commons/thumb/4/49/Bandeira_Bissau.PNG/1024px-Bandeira_Bissau.PNG&amp;precision=low&amp;num_clusters=4&amp;text=1</v>
      </c>
      <c r="IO3" s="48" t="str">
        <f>IF(HP3&lt;&gt;"",CHAR(34)&amp;"black"&amp;CHAR(34),"")</f>
        <v>"black"</v>
      </c>
      <c r="IP3" s="48" t="str">
        <f>IF(HQ3&lt;&gt;"",CHAR(34)&amp;"blue"&amp;CHAR(34),"")</f>
        <v/>
      </c>
      <c r="IQ3" s="48" t="str">
        <f>IF(HR3&lt;&gt;"",CHAR(34)&amp;"green"&amp;CHAR(34),"")</f>
        <v/>
      </c>
      <c r="IR3" s="48" t="str">
        <f>IF(HS3&lt;&gt;"",CHAR(34)&amp;"red"&amp;CHAR(34),"")</f>
        <v>"red"</v>
      </c>
      <c r="IS3" s="48" t="str">
        <f>IF(HT3&lt;&gt;"",CHAR(34)&amp;"yellow"&amp;CHAR(34),"")</f>
        <v>"yellow"</v>
      </c>
      <c r="IT3" s="48" t="str">
        <f>IF(HU3&lt;&gt;"",CHAR(34)&amp;"orange"&amp;CHAR(34),"")</f>
        <v/>
      </c>
      <c r="IU3" s="48" t="str">
        <f>IF(HV3&lt;&gt;"",CHAR(34)&amp;"brown"&amp;CHAR(34),"")</f>
        <v/>
      </c>
      <c r="IV3" s="48" t="str">
        <f>IF(HW3&lt;&gt;"",CHAR(34)&amp;"purple"&amp;CHAR(34),"")</f>
        <v/>
      </c>
      <c r="IW3" s="48" t="str">
        <f>IF(HX3&lt;&gt;"",CHAR(34)&amp;"white"&amp;CHAR(34),"")</f>
        <v>"white"</v>
      </c>
      <c r="IX3" s="48" t="str">
        <f>"{"&amp;CHAR(34)&amp;"url"&amp;CHAR(34)&amp;":"&amp;CHAR(34)&amp;IN3&amp;CHAR(34)&amp;","&amp;CHAR(34)&amp;"name"&amp;CHAR(34)&amp;":"&amp;CHAR(34)&amp;A3&amp;CHAR(34)&amp;"},"</f>
        <v>{"url":"http://mkweb.bcgsc.ca/color-summarizer/?url=https://upload.wikimedia.org/wikipedia/commons/thumb/4/49/Bandeira_Bissau.PNG/1024px-Bandeira_Bissau.PNG&amp;precision=low&amp;num_clusters=4&amp;text=1","name":"[GNB] Bissau"},</v>
      </c>
      <c r="IY3" s="48">
        <v>1503</v>
      </c>
    </row>
    <row r="4" spans="1:259" ht="38.4" customHeight="1" x14ac:dyDescent="0.3">
      <c r="F4" s="82"/>
      <c r="G4" s="82"/>
      <c r="H4" s="82"/>
      <c r="I4" s="82"/>
      <c r="J4" s="82"/>
      <c r="K4" s="82"/>
    </row>
    <row r="5" spans="1:259" ht="38.4" customHeight="1" x14ac:dyDescent="0.3">
      <c r="F5" s="82"/>
      <c r="G5" s="82"/>
      <c r="H5" s="82"/>
      <c r="I5" s="82"/>
      <c r="J5" s="82"/>
      <c r="K5" s="82"/>
    </row>
    <row r="6" spans="1:259" ht="38.4" customHeight="1" x14ac:dyDescent="0.3">
      <c r="F6" s="82"/>
      <c r="I6" s="82"/>
      <c r="J6" s="82"/>
      <c r="K6" s="82"/>
    </row>
  </sheetData>
  <autoFilter ref="A1:IY1" xr:uid="{A1051193-A95B-4CFB-A73C-F0184620C81F}">
    <sortState xmlns:xlrd2="http://schemas.microsoft.com/office/spreadsheetml/2017/richdata2" ref="A2:IY5">
      <sortCondition ref="AW1"/>
    </sortState>
  </autoFilter>
  <conditionalFormatting sqref="H1 CW1:GS1 IA1:IB1">
    <cfRule type="cellIs" dxfId="4022" priority="118" operator="greaterThan">
      <formula>0</formula>
    </cfRule>
  </conditionalFormatting>
  <conditionalFormatting sqref="H1 H10:H1048576 G6:H9">
    <cfRule type="cellIs" dxfId="4021" priority="84" stopIfTrue="1" operator="notEqual">
      <formula>""</formula>
    </cfRule>
  </conditionalFormatting>
  <conditionalFormatting sqref="T1:BK1">
    <cfRule type="cellIs" dxfId="4020" priority="121" operator="greaterThan">
      <formula>0</formula>
    </cfRule>
  </conditionalFormatting>
  <conditionalFormatting sqref="BV1:BW1 BV4:BW1048576">
    <cfRule type="cellIs" dxfId="4019" priority="120" operator="equal">
      <formula>"nc"</formula>
    </cfRule>
  </conditionalFormatting>
  <conditionalFormatting sqref="HF1:HG1">
    <cfRule type="cellIs" dxfId="4018" priority="122" operator="greaterThan">
      <formula>0</formula>
    </cfRule>
  </conditionalFormatting>
  <conditionalFormatting sqref="HK1">
    <cfRule type="cellIs" dxfId="4017" priority="119" operator="greaterThan">
      <formula>0</formula>
    </cfRule>
  </conditionalFormatting>
  <conditionalFormatting sqref="HP1:HX1">
    <cfRule type="cellIs" dxfId="4016" priority="96" operator="equal">
      <formula>"PIN"</formula>
    </cfRule>
    <cfRule type="cellIs" dxfId="4015" priority="97" operator="equal">
      <formula>"ORA"</formula>
    </cfRule>
    <cfRule type="cellIs" dxfId="4014" priority="98" operator="equal">
      <formula>"GRA"</formula>
    </cfRule>
    <cfRule type="cellIs" dxfId="4013" priority="99" operator="equal">
      <formula>"PUR"</formula>
    </cfRule>
    <cfRule type="cellIs" dxfId="4012" priority="100" operator="equal">
      <formula>"BRO"</formula>
    </cfRule>
    <cfRule type="cellIs" dxfId="4011" priority="101" operator="equal">
      <formula>"YEL"</formula>
    </cfRule>
    <cfRule type="cellIs" dxfId="4010" priority="102" operator="equal">
      <formula>"BLU"</formula>
    </cfRule>
    <cfRule type="cellIs" dxfId="4009" priority="103" operator="equal">
      <formula>"WHI"</formula>
    </cfRule>
    <cfRule type="cellIs" dxfId="4008" priority="104" operator="equal">
      <formula>"GRE"</formula>
    </cfRule>
    <cfRule type="cellIs" dxfId="4007" priority="105" operator="equal">
      <formula>"RED"</formula>
    </cfRule>
    <cfRule type="cellIs" dxfId="4006" priority="106" operator="equal">
      <formula>"BLA"</formula>
    </cfRule>
  </conditionalFormatting>
  <conditionalFormatting sqref="IC1:IK1">
    <cfRule type="cellIs" dxfId="4005" priority="107" operator="equal">
      <formula>"PIN"</formula>
    </cfRule>
    <cfRule type="cellIs" dxfId="4004" priority="108" operator="equal">
      <formula>"ORA"</formula>
    </cfRule>
    <cfRule type="cellIs" dxfId="4003" priority="109" operator="equal">
      <formula>"GRA"</formula>
    </cfRule>
    <cfRule type="cellIs" dxfId="4002" priority="110" operator="equal">
      <formula>"PUR"</formula>
    </cfRule>
    <cfRule type="cellIs" dxfId="4001" priority="111" operator="equal">
      <formula>"BRO"</formula>
    </cfRule>
    <cfRule type="cellIs" dxfId="4000" priority="112" operator="equal">
      <formula>"YEL"</formula>
    </cfRule>
    <cfRule type="cellIs" dxfId="3999" priority="113" operator="equal">
      <formula>"BLU"</formula>
    </cfRule>
    <cfRule type="cellIs" dxfId="3998" priority="114" operator="equal">
      <formula>"WHI"</formula>
    </cfRule>
    <cfRule type="cellIs" dxfId="3997" priority="115" operator="equal">
      <formula>"GRE"</formula>
    </cfRule>
    <cfRule type="cellIs" dxfId="3996" priority="116" operator="equal">
      <formula>"RED"</formula>
    </cfRule>
    <cfRule type="cellIs" dxfId="3995" priority="117" operator="equal">
      <formula>"BLA"</formula>
    </cfRule>
  </conditionalFormatting>
  <conditionalFormatting sqref="IO1:IW1">
    <cfRule type="cellIs" dxfId="3994" priority="85" operator="equal">
      <formula>"PIN"</formula>
    </cfRule>
    <cfRule type="cellIs" dxfId="3993" priority="86" operator="equal">
      <formula>"ORA"</formula>
    </cfRule>
    <cfRule type="cellIs" dxfId="3992" priority="87" operator="equal">
      <formula>"GRA"</formula>
    </cfRule>
    <cfRule type="cellIs" dxfId="3991" priority="88" operator="equal">
      <formula>"PUR"</formula>
    </cfRule>
    <cfRule type="cellIs" dxfId="3990" priority="89" operator="equal">
      <formula>"BRO"</formula>
    </cfRule>
    <cfRule type="cellIs" dxfId="3989" priority="90" operator="equal">
      <formula>"YEL"</formula>
    </cfRule>
    <cfRule type="cellIs" dxfId="3988" priority="91" operator="equal">
      <formula>"BLU"</formula>
    </cfRule>
    <cfRule type="cellIs" dxfId="3987" priority="92" operator="equal">
      <formula>"WHI"</formula>
    </cfRule>
    <cfRule type="cellIs" dxfId="3986" priority="93" operator="equal">
      <formula>"GRE"</formula>
    </cfRule>
    <cfRule type="cellIs" dxfId="3985" priority="94" operator="equal">
      <formula>"RED"</formula>
    </cfRule>
    <cfRule type="cellIs" dxfId="3984" priority="95" operator="equal">
      <formula>"BLA"</formula>
    </cfRule>
  </conditionalFormatting>
  <conditionalFormatting sqref="H2">
    <cfRule type="cellIs" dxfId="3983" priority="77" stopIfTrue="1" operator="notEqual">
      <formula>""</formula>
    </cfRule>
  </conditionalFormatting>
  <conditionalFormatting sqref="R2 CU2">
    <cfRule type="cellIs" dxfId="3982" priority="79" operator="greaterThan">
      <formula>0</formula>
    </cfRule>
  </conditionalFormatting>
  <conditionalFormatting sqref="T2:AS2 CH2:CS2">
    <cfRule type="cellIs" dxfId="3981" priority="74" stopIfTrue="1" operator="equal">
      <formula>"n"</formula>
    </cfRule>
    <cfRule type="cellIs" dxfId="3980" priority="75" stopIfTrue="1" operator="equal">
      <formula>"y"</formula>
    </cfRule>
    <cfRule type="cellIs" dxfId="3979" priority="76" operator="greaterThan">
      <formula>0</formula>
    </cfRule>
  </conditionalFormatting>
  <conditionalFormatting sqref="AZ2:BB2">
    <cfRule type="expression" dxfId="3978" priority="61">
      <formula>$AT2=0</formula>
    </cfRule>
  </conditionalFormatting>
  <conditionalFormatting sqref="AZ2:BU2">
    <cfRule type="cellIs" dxfId="3977" priority="62" operator="equal">
      <formula>"PIN"</formula>
    </cfRule>
    <cfRule type="cellIs" dxfId="3976" priority="63" operator="equal">
      <formula>"ORA"</formula>
    </cfRule>
    <cfRule type="cellIs" dxfId="3975" priority="64" operator="equal">
      <formula>"GRA"</formula>
    </cfRule>
    <cfRule type="cellIs" dxfId="3974" priority="65" operator="equal">
      <formula>"PUR"</formula>
    </cfRule>
    <cfRule type="cellIs" dxfId="3973" priority="66" operator="equal">
      <formula>"BRO"</formula>
    </cfRule>
    <cfRule type="cellIs" dxfId="3972" priority="67" operator="equal">
      <formula>"YEL"</formula>
    </cfRule>
    <cfRule type="cellIs" dxfId="3971" priority="68" operator="equal">
      <formula>"BLU"</formula>
    </cfRule>
    <cfRule type="cellIs" dxfId="3970" priority="69" operator="equal">
      <formula>"WHI"</formula>
    </cfRule>
    <cfRule type="cellIs" dxfId="3969" priority="70" operator="equal">
      <formula>"GRE"</formula>
    </cfRule>
    <cfRule type="cellIs" dxfId="3968" priority="71" operator="equal">
      <formula>"RED"</formula>
    </cfRule>
    <cfRule type="cellIs" dxfId="3967" priority="72" operator="equal">
      <formula>"BLA"</formula>
    </cfRule>
  </conditionalFormatting>
  <conditionalFormatting sqref="BV2">
    <cfRule type="cellIs" dxfId="3966" priority="78" operator="equal">
      <formula>"nc"</formula>
    </cfRule>
  </conditionalFormatting>
  <conditionalFormatting sqref="CD2:CF2 BZ2:CA2">
    <cfRule type="cellIs" dxfId="3965" priority="73" operator="greaterThan">
      <formula>0</formula>
    </cfRule>
  </conditionalFormatting>
  <conditionalFormatting sqref="IC2:IK2">
    <cfRule type="expression" dxfId="3964" priority="60">
      <formula>$IL2&gt;0</formula>
    </cfRule>
  </conditionalFormatting>
  <conditionalFormatting sqref="BX2:CA2 CD2:CF2">
    <cfRule type="cellIs" dxfId="3963" priority="48" operator="equal">
      <formula>"y"</formula>
    </cfRule>
    <cfRule type="cellIs" dxfId="3962" priority="49" operator="equal">
      <formula>"PIN"</formula>
    </cfRule>
    <cfRule type="cellIs" dxfId="3961" priority="50" operator="equal">
      <formula>"ORA"</formula>
    </cfRule>
    <cfRule type="cellIs" dxfId="3960" priority="51" operator="equal">
      <formula>"GRA"</formula>
    </cfRule>
    <cfRule type="cellIs" dxfId="3959" priority="52" operator="equal">
      <formula>"PUR"</formula>
    </cfRule>
    <cfRule type="cellIs" dxfId="3958" priority="53" operator="equal">
      <formula>"BRO"</formula>
    </cfRule>
    <cfRule type="cellIs" dxfId="3957" priority="54" operator="equal">
      <formula>"YEL"</formula>
    </cfRule>
    <cfRule type="cellIs" dxfId="3956" priority="55" operator="equal">
      <formula>"BLU"</formula>
    </cfRule>
    <cfRule type="cellIs" dxfId="3955" priority="56" operator="equal">
      <formula>"WHI"</formula>
    </cfRule>
    <cfRule type="cellIs" dxfId="3954" priority="57" operator="equal">
      <formula>"GRE"</formula>
    </cfRule>
    <cfRule type="cellIs" dxfId="3953" priority="58" operator="equal">
      <formula>"RED"</formula>
    </cfRule>
    <cfRule type="cellIs" dxfId="3952" priority="59" operator="equal">
      <formula>"BLA"</formula>
    </cfRule>
  </conditionalFormatting>
  <conditionalFormatting sqref="J2">
    <cfRule type="colorScale" priority="80">
      <colorScale>
        <cfvo type="min"/>
        <cfvo type="percentile" val="50"/>
        <cfvo type="max"/>
        <color rgb="FFF8696B"/>
        <color rgb="FFFFEB84"/>
        <color rgb="FF63BE7B"/>
      </colorScale>
    </cfRule>
  </conditionalFormatting>
  <conditionalFormatting sqref="S2">
    <cfRule type="colorScale" priority="81">
      <colorScale>
        <cfvo type="min"/>
        <cfvo type="max"/>
        <color rgb="FFFCFCFF"/>
        <color rgb="FF754BFB"/>
      </colorScale>
    </cfRule>
  </conditionalFormatting>
  <conditionalFormatting sqref="AT2">
    <cfRule type="colorScale" priority="82">
      <colorScale>
        <cfvo type="min"/>
        <cfvo type="max"/>
        <color rgb="FFFCFCFF"/>
        <color theme="8" tint="0.39997558519241921"/>
      </colorScale>
    </cfRule>
  </conditionalFormatting>
  <conditionalFormatting sqref="CG2">
    <cfRule type="colorScale" priority="83">
      <colorScale>
        <cfvo type="min"/>
        <cfvo type="max"/>
        <color rgb="FFFCFCFF"/>
        <color rgb="FF63BE7B"/>
      </colorScale>
    </cfRule>
  </conditionalFormatting>
  <conditionalFormatting sqref="H3">
    <cfRule type="cellIs" dxfId="3951" priority="40" stopIfTrue="1" operator="notEqual">
      <formula>""</formula>
    </cfRule>
  </conditionalFormatting>
  <conditionalFormatting sqref="R3 CU3">
    <cfRule type="cellIs" dxfId="3950" priority="43" operator="greaterThan">
      <formula>0</formula>
    </cfRule>
  </conditionalFormatting>
  <conditionalFormatting sqref="T3:AS3 CH3:CS3">
    <cfRule type="cellIs" dxfId="3949" priority="37" stopIfTrue="1" operator="equal">
      <formula>"n"</formula>
    </cfRule>
    <cfRule type="cellIs" dxfId="3948" priority="38" stopIfTrue="1" operator="equal">
      <formula>"y"</formula>
    </cfRule>
    <cfRule type="cellIs" dxfId="3947" priority="39" operator="greaterThan">
      <formula>0</formula>
    </cfRule>
  </conditionalFormatting>
  <conditionalFormatting sqref="AZ3:BB3">
    <cfRule type="expression" dxfId="3946" priority="24">
      <formula>$AT3=0</formula>
    </cfRule>
  </conditionalFormatting>
  <conditionalFormatting sqref="CD3:CF3 BX3:CA3 AZ3:BU3">
    <cfRule type="cellIs" dxfId="3945" priority="25" operator="equal">
      <formula>"PIN"</formula>
    </cfRule>
    <cfRule type="cellIs" dxfId="3944" priority="26" operator="equal">
      <formula>"ORA"</formula>
    </cfRule>
    <cfRule type="cellIs" dxfId="3943" priority="27" operator="equal">
      <formula>"GRA"</formula>
    </cfRule>
    <cfRule type="cellIs" dxfId="3942" priority="28" operator="equal">
      <formula>"PUR"</formula>
    </cfRule>
    <cfRule type="cellIs" dxfId="3941" priority="29" operator="equal">
      <formula>"BRO"</formula>
    </cfRule>
    <cfRule type="cellIs" dxfId="3940" priority="30" operator="equal">
      <formula>"YEL"</formula>
    </cfRule>
    <cfRule type="cellIs" dxfId="3939" priority="31" operator="equal">
      <formula>"BLU"</formula>
    </cfRule>
    <cfRule type="cellIs" dxfId="3938" priority="32" operator="equal">
      <formula>"WHI"</formula>
    </cfRule>
    <cfRule type="cellIs" dxfId="3937" priority="33" operator="equal">
      <formula>"GRE"</formula>
    </cfRule>
    <cfRule type="cellIs" dxfId="3936" priority="34" operator="equal">
      <formula>"RED"</formula>
    </cfRule>
    <cfRule type="cellIs" dxfId="3935" priority="35" operator="equal">
      <formula>"BLA"</formula>
    </cfRule>
  </conditionalFormatting>
  <conditionalFormatting sqref="BV3">
    <cfRule type="cellIs" dxfId="3934" priority="42" operator="equal">
      <formula>"nc"</formula>
    </cfRule>
  </conditionalFormatting>
  <conditionalFormatting sqref="CD3:CF3 BX3:CA3">
    <cfRule type="cellIs" dxfId="3933" priority="41" operator="equal">
      <formula>"y"</formula>
    </cfRule>
  </conditionalFormatting>
  <conditionalFormatting sqref="CD3:CF3 BZ3:CA3">
    <cfRule type="cellIs" dxfId="3932" priority="36" operator="greaterThan">
      <formula>0</formula>
    </cfRule>
  </conditionalFormatting>
  <conditionalFormatting sqref="IC3:IK3">
    <cfRule type="expression" dxfId="3931" priority="23">
      <formula>$IL3&gt;0</formula>
    </cfRule>
  </conditionalFormatting>
  <conditionalFormatting sqref="IC3">
    <cfRule type="cellIs" dxfId="3930" priority="17" stopIfTrue="1" operator="greaterThan">
      <formula>0</formula>
    </cfRule>
  </conditionalFormatting>
  <conditionalFormatting sqref="ID3">
    <cfRule type="cellIs" dxfId="3929" priority="15" stopIfTrue="1" operator="greaterThan">
      <formula>0</formula>
    </cfRule>
  </conditionalFormatting>
  <conditionalFormatting sqref="II3 IE3:IF3">
    <cfRule type="cellIs" dxfId="3928" priority="22" operator="greaterThan">
      <formula>0</formula>
    </cfRule>
  </conditionalFormatting>
  <conditionalFormatting sqref="II3 IF3">
    <cfRule type="cellIs" dxfId="3927" priority="16" stopIfTrue="1" operator="greaterThan">
      <formula>0</formula>
    </cfRule>
  </conditionalFormatting>
  <conditionalFormatting sqref="IG3">
    <cfRule type="cellIs" dxfId="3926" priority="21" operator="greaterThan">
      <formula>0</formula>
    </cfRule>
  </conditionalFormatting>
  <conditionalFormatting sqref="IH3:II3">
    <cfRule type="cellIs" dxfId="3925" priority="20" operator="greaterThan">
      <formula>0</formula>
    </cfRule>
  </conditionalFormatting>
  <conditionalFormatting sqref="IJ3">
    <cfRule type="cellIs" dxfId="3924" priority="19" operator="greaterThan">
      <formula>0</formula>
    </cfRule>
  </conditionalFormatting>
  <conditionalFormatting sqref="IK3">
    <cfRule type="cellIs" dxfId="3923" priority="18" operator="greaterThan">
      <formula>0</formula>
    </cfRule>
  </conditionalFormatting>
  <conditionalFormatting sqref="IF3">
    <cfRule type="cellIs" dxfId="3922" priority="14" stopIfTrue="1" operator="greaterThan">
      <formula>0</formula>
    </cfRule>
  </conditionalFormatting>
  <conditionalFormatting sqref="IM3">
    <cfRule type="cellIs" dxfId="3921" priority="13" operator="equal">
      <formula>0</formula>
    </cfRule>
  </conditionalFormatting>
  <conditionalFormatting sqref="BX3:CA3 CD3:CF3">
    <cfRule type="cellIs" dxfId="3920" priority="1" operator="equal">
      <formula>"y"</formula>
    </cfRule>
    <cfRule type="cellIs" dxfId="3919" priority="2" operator="equal">
      <formula>"PIN"</formula>
    </cfRule>
    <cfRule type="cellIs" dxfId="3918" priority="3" operator="equal">
      <formula>"ORA"</formula>
    </cfRule>
    <cfRule type="cellIs" dxfId="3917" priority="4" operator="equal">
      <formula>"GRA"</formula>
    </cfRule>
    <cfRule type="cellIs" dxfId="3916" priority="5" operator="equal">
      <formula>"PUR"</formula>
    </cfRule>
    <cfRule type="cellIs" dxfId="3915" priority="6" operator="equal">
      <formula>"BRO"</formula>
    </cfRule>
    <cfRule type="cellIs" dxfId="3914" priority="7" operator="equal">
      <formula>"YEL"</formula>
    </cfRule>
    <cfRule type="cellIs" dxfId="3913" priority="8" operator="equal">
      <formula>"BLU"</formula>
    </cfRule>
    <cfRule type="cellIs" dxfId="3912" priority="9" operator="equal">
      <formula>"WHI"</formula>
    </cfRule>
    <cfRule type="cellIs" dxfId="3911" priority="10" operator="equal">
      <formula>"GRE"</formula>
    </cfRule>
    <cfRule type="cellIs" dxfId="3910" priority="11" operator="equal">
      <formula>"RED"</formula>
    </cfRule>
    <cfRule type="cellIs" dxfId="3909" priority="12" operator="equal">
      <formula>"BLA"</formula>
    </cfRule>
  </conditionalFormatting>
  <conditionalFormatting sqref="AT3">
    <cfRule type="colorScale" priority="44">
      <colorScale>
        <cfvo type="min"/>
        <cfvo type="max"/>
        <color rgb="FFFCFCFF"/>
        <color theme="8" tint="0.39997558519241921"/>
      </colorScale>
    </cfRule>
  </conditionalFormatting>
  <conditionalFormatting sqref="S3">
    <cfRule type="colorScale" priority="45">
      <colorScale>
        <cfvo type="min"/>
        <cfvo type="max"/>
        <color rgb="FFFCFCFF"/>
        <color rgb="FF754BFB"/>
      </colorScale>
    </cfRule>
  </conditionalFormatting>
  <conditionalFormatting sqref="J3">
    <cfRule type="colorScale" priority="46">
      <colorScale>
        <cfvo type="min"/>
        <cfvo type="percentile" val="50"/>
        <cfvo type="max"/>
        <color rgb="FFF8696B"/>
        <color rgb="FFFFEB84"/>
        <color rgb="FF63BE7B"/>
      </colorScale>
    </cfRule>
  </conditionalFormatting>
  <conditionalFormatting sqref="CG3">
    <cfRule type="colorScale" priority="47">
      <colorScale>
        <cfvo type="min"/>
        <cfvo type="max"/>
        <color rgb="FFFCFCFF"/>
        <color rgb="FF63BE7B"/>
      </colorScale>
    </cfRule>
  </conditionalFormatting>
  <hyperlinks>
    <hyperlink ref="A2" r:id="rId1" display="https://fbref.com/en/country/GNB/Guinea-Bissau-Football" xr:uid="{0E2DA045-3A32-40BF-8407-A361B213D0F2}"/>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49153" r:id="rId5"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49154" r:id="rId6"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49155" r:id="rId7"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E6F1FC-9647-4002-BE0B-61F578589811}">
  <sheetPr codeName="Sheet63"/>
  <dimension ref="A1:IY6"/>
  <sheetViews>
    <sheetView zoomScale="70" zoomScaleNormal="70" workbookViewId="0">
      <pane xSplit="5" ySplit="1" topLeftCell="F2" activePane="bottomRight" state="frozen"/>
      <selection pane="topRight" activeCell="F1" sqref="F1"/>
      <selection pane="bottomLeft" activeCell="A2" sqref="A2"/>
      <selection pane="bottomRight" activeCell="N2" sqref="N2"/>
    </sheetView>
  </sheetViews>
  <sheetFormatPr defaultRowHeight="38.4" customHeight="1" x14ac:dyDescent="0.3"/>
  <cols>
    <col min="1" max="1" width="52.44140625" style="81" bestFit="1" customWidth="1"/>
    <col min="2" max="2" width="10.109375" style="81" customWidth="1"/>
    <col min="3" max="3" width="7.44140625" style="82" customWidth="1"/>
    <col min="4" max="4" width="4.77734375" style="83" customWidth="1"/>
    <col min="5" max="5" width="4.5546875" style="83" customWidth="1"/>
    <col min="6" max="6" width="5.77734375" style="83" customWidth="1"/>
    <col min="7" max="7" width="7.44140625" style="81" customWidth="1"/>
    <col min="8" max="8" width="11.44140625" style="81" customWidth="1"/>
    <col min="9" max="9" width="10" style="81" customWidth="1"/>
    <col min="10" max="10" width="4.21875" style="81" customWidth="1"/>
    <col min="11" max="11" width="5.6640625" style="83" customWidth="1"/>
    <col min="12" max="12" width="2.88671875" style="83" customWidth="1"/>
    <col min="13" max="13" width="6.44140625" style="83" customWidth="1"/>
    <col min="14" max="14" width="4.5546875" style="83" customWidth="1"/>
    <col min="15" max="15" width="10.5546875" style="84" customWidth="1"/>
    <col min="16" max="16" width="6.88671875" style="83" customWidth="1"/>
    <col min="17" max="17" width="4.77734375" style="83" customWidth="1"/>
    <col min="18" max="18" width="13.109375" style="82" customWidth="1"/>
    <col min="19" max="19" width="6.77734375" style="82" customWidth="1"/>
    <col min="20" max="46" width="8.44140625" style="81" customWidth="1"/>
    <col min="47" max="47" width="24.5546875" style="81" customWidth="1"/>
    <col min="48" max="51" width="16.6640625" style="81" customWidth="1"/>
    <col min="52" max="52" width="6.5546875" style="81" customWidth="1"/>
    <col min="53" max="54" width="5.88671875" style="81" customWidth="1"/>
    <col min="55" max="55" width="1.33203125" style="81" customWidth="1"/>
    <col min="56" max="56" width="7.44140625" style="81" customWidth="1"/>
    <col min="57" max="57" width="2.33203125" style="81" customWidth="1"/>
    <col min="58" max="62" width="6.109375" style="81" customWidth="1"/>
    <col min="63" max="63" width="2.33203125" style="81" customWidth="1"/>
    <col min="64" max="64" width="7" style="81" bestFit="1" customWidth="1"/>
    <col min="65" max="65" width="6.44140625" style="81" bestFit="1" customWidth="1"/>
    <col min="66" max="66" width="7.109375" style="81" bestFit="1" customWidth="1"/>
    <col min="67" max="71" width="6.44140625" style="81" bestFit="1" customWidth="1"/>
    <col min="72" max="73" width="6.44140625" style="81" customWidth="1"/>
    <col min="74" max="75" width="13.44140625" style="81" customWidth="1"/>
    <col min="76" max="84" width="14.6640625" style="81" customWidth="1"/>
    <col min="85" max="85" width="6.44140625" style="81" customWidth="1"/>
    <col min="86" max="87" width="11.6640625" style="81" bestFit="1" customWidth="1"/>
    <col min="88" max="88" width="11.6640625" style="81" customWidth="1"/>
    <col min="89" max="89" width="12.77734375" style="81" bestFit="1" customWidth="1"/>
    <col min="90" max="90" width="16.44140625" style="82" bestFit="1" customWidth="1"/>
    <col min="91" max="92" width="14.88671875" style="82" bestFit="1" customWidth="1"/>
    <col min="93" max="93" width="16" style="82" bestFit="1" customWidth="1"/>
    <col min="94" max="97" width="7.77734375" style="81" customWidth="1"/>
    <col min="98" max="98" width="33.21875" style="81" customWidth="1"/>
    <col min="99" max="99" width="18" style="81" customWidth="1"/>
    <col min="100" max="100" width="75.6640625" style="81" customWidth="1"/>
    <col min="101" max="125" width="33" style="81" customWidth="1"/>
    <col min="126" max="126" width="8.88671875" style="81"/>
    <col min="127" max="128" width="9.44140625" style="81" bestFit="1" customWidth="1"/>
    <col min="129" max="129" width="10.77734375" style="81" bestFit="1" customWidth="1"/>
    <col min="130" max="134" width="10.77734375" style="81" customWidth="1"/>
    <col min="135" max="135" width="10.109375" style="81" bestFit="1" customWidth="1"/>
    <col min="136" max="136" width="7.77734375" style="81" bestFit="1" customWidth="1"/>
    <col min="137" max="137" width="7.77734375" style="81" customWidth="1"/>
    <col min="138" max="138" width="9" style="81" bestFit="1" customWidth="1"/>
    <col min="139" max="139" width="11.33203125" style="81" bestFit="1" customWidth="1"/>
    <col min="140" max="140" width="9.109375" style="81" bestFit="1" customWidth="1"/>
    <col min="141" max="141" width="9" style="81" bestFit="1" customWidth="1"/>
    <col min="142" max="142" width="12" style="81" bestFit="1" customWidth="1"/>
    <col min="143" max="166" width="12" style="81" customWidth="1"/>
    <col min="167" max="167" width="17.21875" style="81" customWidth="1"/>
    <col min="168" max="191" width="12" style="81" customWidth="1"/>
    <col min="192" max="192" width="8.5546875" style="81" bestFit="1" customWidth="1"/>
    <col min="193" max="193" width="8.5546875" style="81" customWidth="1"/>
    <col min="194" max="194" width="7.109375" style="81" bestFit="1" customWidth="1"/>
    <col min="195" max="195" width="7.5546875" style="81" bestFit="1" customWidth="1"/>
    <col min="196" max="196" width="8.5546875" style="81" bestFit="1" customWidth="1"/>
    <col min="197" max="200" width="8.5546875" style="81" customWidth="1"/>
    <col min="201" max="201" width="188.88671875" style="81" customWidth="1"/>
    <col min="202" max="202" width="9.5546875" style="81" bestFit="1" customWidth="1"/>
    <col min="203" max="203" width="10.44140625" style="81" bestFit="1" customWidth="1"/>
    <col min="204" max="204" width="11.109375" style="81" bestFit="1" customWidth="1"/>
    <col min="205" max="205" width="10.44140625" style="81" bestFit="1" customWidth="1"/>
    <col min="206" max="210" width="10.44140625" style="81" customWidth="1"/>
    <col min="211" max="211" width="45.44140625" style="81" customWidth="1"/>
    <col min="212" max="212" width="47.5546875" style="81" bestFit="1" customWidth="1"/>
    <col min="213" max="213" width="9.33203125" style="85" customWidth="1"/>
    <col min="214" max="214" width="119.5546875" style="81" customWidth="1"/>
    <col min="215" max="215" width="69.6640625" style="81" customWidth="1"/>
    <col min="216" max="218" width="8.88671875" style="81"/>
    <col min="219" max="219" width="37.109375" style="81" customWidth="1"/>
    <col min="220" max="220" width="16.33203125" style="81" customWidth="1"/>
    <col min="221" max="222" width="8.88671875" style="81"/>
    <col min="223" max="223" width="10.109375" style="81" bestFit="1" customWidth="1"/>
    <col min="224" max="232" width="10.88671875" style="81" customWidth="1"/>
    <col min="233" max="234" width="30.77734375" style="81" customWidth="1"/>
    <col min="235" max="235" width="5.109375" style="81" customWidth="1"/>
    <col min="236" max="236" width="3" style="81" customWidth="1"/>
    <col min="237" max="245" width="6.77734375" style="86" customWidth="1"/>
    <col min="246" max="247" width="8.88671875" style="81"/>
    <col min="248" max="248" width="61.5546875" style="81" customWidth="1"/>
    <col min="249" max="253" width="8.88671875" style="81"/>
    <col min="254" max="254" width="9" style="81" customWidth="1"/>
    <col min="255" max="16384" width="8.88671875" style="8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905</v>
      </c>
      <c r="B2" s="40" t="e" vm="55">
        <v>#VALUE!</v>
      </c>
      <c r="C2" s="41">
        <v>1</v>
      </c>
      <c r="D2" s="42" t="s">
        <v>906</v>
      </c>
      <c r="E2" s="43" t="s">
        <v>907</v>
      </c>
      <c r="F2" s="44" t="s">
        <v>163</v>
      </c>
      <c r="G2" s="45">
        <f>COUNTIF($A$1:$A$8346,A2)</f>
        <v>1</v>
      </c>
      <c r="H2" s="46"/>
      <c r="I2" s="47" t="s">
        <v>908</v>
      </c>
      <c r="J2" s="48" t="str">
        <f>""</f>
        <v/>
      </c>
      <c r="K2" s="49">
        <v>55100586</v>
      </c>
      <c r="L2" s="50">
        <v>1960000</v>
      </c>
      <c r="M2" s="50" t="s">
        <v>920</v>
      </c>
      <c r="N2" s="51" t="s">
        <v>180</v>
      </c>
      <c r="O2" s="52" t="s">
        <v>909</v>
      </c>
      <c r="P2" s="53" t="s">
        <v>910</v>
      </c>
      <c r="Q2" s="54">
        <v>1</v>
      </c>
      <c r="R2" s="55" t="s">
        <v>180</v>
      </c>
      <c r="S2" s="56">
        <v>5</v>
      </c>
      <c r="T2" s="57" t="s">
        <v>167</v>
      </c>
      <c r="U2" s="58" t="s">
        <v>164</v>
      </c>
      <c r="V2" s="58" t="s">
        <v>167</v>
      </c>
      <c r="W2" s="58" t="s">
        <v>164</v>
      </c>
      <c r="X2" s="58" t="s">
        <v>164</v>
      </c>
      <c r="Y2" s="58" t="s">
        <v>164</v>
      </c>
      <c r="Z2" s="58" t="s">
        <v>164</v>
      </c>
      <c r="AA2" s="58" t="s">
        <v>164</v>
      </c>
      <c r="AB2" s="58" t="s">
        <v>164</v>
      </c>
      <c r="AC2" s="58" t="s">
        <v>167</v>
      </c>
      <c r="AD2" s="58" t="s">
        <v>164</v>
      </c>
      <c r="AE2" s="58" t="s">
        <v>164</v>
      </c>
      <c r="AF2" s="59" t="s">
        <v>164</v>
      </c>
      <c r="AG2" s="59" t="s">
        <v>167</v>
      </c>
      <c r="AH2" s="59" t="s">
        <v>167</v>
      </c>
      <c r="AI2" s="59" t="s">
        <v>164</v>
      </c>
      <c r="AJ2" s="59" t="s">
        <v>164</v>
      </c>
      <c r="AK2" s="59" t="s">
        <v>164</v>
      </c>
      <c r="AL2" s="59" t="s">
        <v>164</v>
      </c>
      <c r="AM2" s="59" t="s">
        <v>164</v>
      </c>
      <c r="AN2" s="59" t="s">
        <v>164</v>
      </c>
      <c r="AO2" s="59" t="s">
        <v>164</v>
      </c>
      <c r="AP2" s="59" t="s">
        <v>164</v>
      </c>
      <c r="AQ2" s="59" t="s">
        <v>164</v>
      </c>
      <c r="AR2" s="59" t="s">
        <v>164</v>
      </c>
      <c r="AS2" s="59" t="s">
        <v>164</v>
      </c>
      <c r="AT2" s="60">
        <v>0</v>
      </c>
      <c r="AU2" s="59"/>
      <c r="AV2" s="59" t="str">
        <f>IF(LEFT(A2,1)="[",LEFT(A2,5)&amp;AU2&amp;A2,"")</f>
        <v/>
      </c>
      <c r="AW2" s="59" t="str">
        <f t="shared" ref="AW2:AW4" si="0">C2&amp;H2&amp;A2</f>
        <v>1Kenya</v>
      </c>
      <c r="AX2" s="61" t="str">
        <f>_xlfn.TEXTJOIN(";",TRUE,AU2:AW2)</f>
        <v>1Kenya</v>
      </c>
      <c r="AY2" s="61"/>
      <c r="AZ2" s="62"/>
      <c r="BA2" s="62"/>
      <c r="BB2" s="62"/>
      <c r="BC2" s="63"/>
      <c r="BD2" s="64" t="s">
        <v>169</v>
      </c>
      <c r="BE2" s="47"/>
      <c r="BF2" s="64" t="s">
        <v>151</v>
      </c>
      <c r="BG2" s="64" t="s">
        <v>154</v>
      </c>
      <c r="BH2" s="64" t="s">
        <v>153</v>
      </c>
      <c r="BI2" s="64" t="s">
        <v>159</v>
      </c>
      <c r="BJ2" s="64"/>
      <c r="BK2" s="47"/>
      <c r="BL2" s="64" t="s">
        <v>154</v>
      </c>
      <c r="BM2" s="64" t="s">
        <v>153</v>
      </c>
      <c r="BN2" s="64" t="s">
        <v>151</v>
      </c>
      <c r="BO2" s="64" t="s">
        <v>159</v>
      </c>
      <c r="BP2" s="64"/>
      <c r="BQ2" s="64"/>
      <c r="BR2" s="64"/>
      <c r="BS2" s="64"/>
      <c r="BT2" s="64"/>
      <c r="BU2" s="65"/>
      <c r="BV2" s="66" t="s">
        <v>165</v>
      </c>
      <c r="BW2" s="66" t="s">
        <v>166</v>
      </c>
      <c r="BX2" s="47"/>
      <c r="BY2" s="48" t="s">
        <v>164</v>
      </c>
      <c r="CB2" s="6" t="s">
        <v>188</v>
      </c>
      <c r="CC2" s="6"/>
      <c r="CD2" s="67">
        <v>0</v>
      </c>
      <c r="CE2" s="67">
        <v>0</v>
      </c>
      <c r="CF2" s="67" t="e">
        <v>#REF!</v>
      </c>
      <c r="CG2" s="68" cm="1">
        <f t="array" ref="CG2">SUMPRODUCT(--(LEN(TRIM(BL2:BT2))&gt;0))</f>
        <v>4</v>
      </c>
      <c r="CH2" s="59" t="str">
        <f>IF(CG2=2,"y","n")</f>
        <v>n</v>
      </c>
      <c r="CI2" s="59" t="str">
        <f>IF(CG2=3,"y","n")</f>
        <v>n</v>
      </c>
      <c r="CJ2" s="59" t="str">
        <f>IF(CG2=4,"y","n")</f>
        <v>y</v>
      </c>
      <c r="CK2" s="59" t="str">
        <f>IF(CG2&gt;4,"y","n")</f>
        <v>n</v>
      </c>
      <c r="CL2" s="59" t="str">
        <f>IF(S2=0,"y","n")</f>
        <v>n</v>
      </c>
      <c r="CM2" s="59" t="str">
        <f>IF(S2=2,"y","n")</f>
        <v>n</v>
      </c>
      <c r="CN2" s="59" t="str">
        <f>IF(S2=3,"y","n")</f>
        <v>n</v>
      </c>
      <c r="CO2" s="59" t="str">
        <f>IF(S2&gt;=4,"y","n")</f>
        <v>y</v>
      </c>
      <c r="CP2" s="59" t="str">
        <f>IF(AT2=0,"y","n")</f>
        <v>y</v>
      </c>
      <c r="CQ2" s="59" t="str">
        <f>IF(AT2=1,"y","n")</f>
        <v>n</v>
      </c>
      <c r="CR2" s="59" t="str">
        <f>IF(AT2=2,"y","n")</f>
        <v>n</v>
      </c>
      <c r="CS2" s="59" t="str">
        <f>IF(AT2&gt;=3,"y","n")</f>
        <v>n</v>
      </c>
      <c r="CT2" s="69" t="str">
        <f>CHAR(34)&amp;A2&amp;CHAR(34)</f>
        <v>"Kenya"</v>
      </c>
      <c r="CU2" s="70" t="str">
        <f>CHAR(34)&amp;"rgn_"&amp;R2&amp;CHAR(34)</f>
        <v>"rgn_Africa"</v>
      </c>
      <c r="CV2" s="48" t="str">
        <f>CHAR(34)&amp;D2&amp;CHAR(34)</f>
        <v>"https://i.ibb.co/r4rysg4/Kenya-Flag.png"</v>
      </c>
      <c r="CW2" s="48" t="str">
        <f>IF(CH2="y",CHAR(34)&amp;CH$1&amp;CHAR(34)&amp;",","")</f>
        <v/>
      </c>
      <c r="CX2" s="48" t="str">
        <f>IF(CI2="y",CHAR(34)&amp;CI$1&amp;CHAR(34)&amp;",","")</f>
        <v/>
      </c>
      <c r="CY2" s="48" t="str">
        <f>IF(CJ2="y",CHAR(34)&amp;CJ$1&amp;CHAR(34)&amp;",","")</f>
        <v>"4Color",</v>
      </c>
      <c r="CZ2" s="48" t="str">
        <f>IF(CK2="y",CHAR(34)&amp;CK$1&amp;CHAR(34)&amp;",","")</f>
        <v/>
      </c>
      <c r="DA2" s="48" t="str">
        <f>IF(Q2&gt;1,CHAR(34)&amp;"words2"&amp;CHAR(34)&amp;",","")</f>
        <v/>
      </c>
      <c r="DB2" s="48" t="str">
        <f>IF(Q2&gt;2,CHAR(34)&amp;"words3"&amp;CHAR(34)&amp;",","")</f>
        <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"lets05",</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"startK",</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"with_y",</v>
      </c>
      <c r="DK2" s="48" t="str">
        <f>IFERROR(IF(SEARCH("z",A2)&gt;0,CHAR(34)&amp;"with_z"&amp;CHAR(34)&amp;",",""),"")</f>
        <v/>
      </c>
      <c r="DL2" s="48" t="str">
        <f>IF(CG2=2, CHAR(34) &amp; _xlfn.TEXTJOIN("", TRUE, _xlfn._xlws.SORT(HP2:HX2)) &amp; CHAR(34) &amp; ",", "")</f>
        <v/>
      </c>
      <c r="DM2" s="48" t="str" cm="1">
        <f t="array" ref="DM2">IF(CG2=3,CHAR(34) &amp; _xlfn.TEXTJOIN("", TRUE, RIGHT(HP2:HX2, 2)) &amp; CHAR(34) &amp; ",", "")</f>
        <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
      </c>
      <c r="DS2" s="6" t="str">
        <f>IF(W2="y",IF(AND(V2="n",BY2&lt;&gt;"y"),CHAR(34)&amp;"allver"&amp;CHAR(34)&amp;",",""),"")</f>
        <v/>
      </c>
      <c r="DT2" s="6" t="str">
        <f>IF(V2="y",IF(AND(W2="n",BY2&lt;&gt;"y"),CHAR(34)&amp;"allhor"&amp;CHAR(34)&amp;",",""),"")</f>
        <v>"allhor",</v>
      </c>
      <c r="DU2" s="6" t="str">
        <f>IF(BY2="y",IF(AND(W2="n",V2="n"),CHAR(34)&amp;"alldia"&amp;CHAR(34)&amp;",",""),"")</f>
        <v/>
      </c>
      <c r="DV2" s="48" t="str">
        <f>IF(IA2&lt;&gt;"",(IF(IA2="y",CHAR(34)&amp;"largec"&amp;CHAR(34)&amp;",",CHAR(34)&amp;"smallc"&amp;CHAR(34)&amp;",")),"")</f>
        <v/>
      </c>
      <c r="DW2" s="48" t="str">
        <f>IF(CL2="y",CHAR(34)&amp;CL$1&amp;CHAR(34)&amp;",","")</f>
        <v/>
      </c>
      <c r="DX2" s="48" t="str">
        <f>IF(CM2="y",CHAR(34)&amp;CM$1&amp;CHAR(34)&amp;",","")</f>
        <v/>
      </c>
      <c r="DY2" s="48" t="str">
        <f>IF(CN2="y",CHAR(34)&amp;CN$1&amp;CHAR(34)&amp;",","")</f>
        <v/>
      </c>
      <c r="DZ2" s="48" t="str">
        <f>IF(CO2="y",CHAR(34)&amp;CO$1&amp;CHAR(34)&amp;",","")</f>
        <v>"4+Band",</v>
      </c>
      <c r="EA2" s="48" t="str">
        <f>IF(T2="y",CHAR(34)&amp;T$1&amp;CHAR(34)&amp;",","")</f>
        <v>"Diagon",</v>
      </c>
      <c r="EB2" s="48" t="str">
        <f>IF(U2="y",CHAR(34)&amp;U$1&amp;CHAR(34)&amp;",","")</f>
        <v/>
      </c>
      <c r="EC2" s="48" t="str">
        <f>IF(V2="y",CHAR(34)&amp;V$1&amp;CHAR(34)&amp;",","")</f>
        <v>"Horizo",</v>
      </c>
      <c r="ED2" s="48" t="str">
        <f>IF(W2="y",CHAR(34)&amp;W$1&amp;CHAR(34)&amp;",","")</f>
        <v/>
      </c>
      <c r="EE2" s="48" t="str">
        <f>IF(X2="y",CHAR(34)&amp;X$1&amp;CHAR(34)&amp;",","")</f>
        <v/>
      </c>
      <c r="EF2" s="48" t="str">
        <f>IF(AND(Y2&lt;&gt;"n",Y2&lt;&gt;""),CHAR(34)&amp;Y$1&amp;CHAR(34)&amp;",","")</f>
        <v/>
      </c>
      <c r="EG2" s="48" t="str">
        <f>IF(Z2="y",CHAR(34)&amp;Z$1&amp;CHAR(34)&amp;",","")</f>
        <v/>
      </c>
      <c r="EH2" s="48" t="str">
        <f>IF(AA2="y",CHAR(34)&amp;AA$1&amp;CHAR(34)&amp;",","")</f>
        <v/>
      </c>
      <c r="EI2" s="48" t="str">
        <f>IF(AB2="y",CHAR(34)&amp;AB$1&amp;CHAR(34)&amp;",","")</f>
        <v/>
      </c>
      <c r="EJ2" s="48" t="str">
        <f>IF(AC2="y",CHAR(34)&amp;AC$1&amp;CHAR(34)&amp;",","")</f>
        <v>"Weapon",</v>
      </c>
      <c r="EK2" s="48" t="str">
        <f>IF(AD2="y",CHAR(34)&amp;AD$1&amp;CHAR(34)&amp;",","")</f>
        <v/>
      </c>
      <c r="EL2" s="48" t="str">
        <f>IF(AE2="y",CHAR(34)&amp;AE$1&amp;CHAR(34)&amp;",","")</f>
        <v/>
      </c>
      <c r="EM2" s="48" t="str">
        <f>IF(AF2="y",CHAR(34)&amp;AF$1&amp;CHAR(34)&amp;",","")</f>
        <v/>
      </c>
      <c r="EN2" s="48" t="str">
        <f>IF(AG2="y",CHAR(34)&amp;AG$1&amp;CHAR(34)&amp;",","")</f>
        <v>"Unequa",</v>
      </c>
      <c r="EO2" s="48" t="str">
        <f>IF(AH2="y",CHAR(34)&amp;AH$1&amp;CHAR(34)&amp;",","")</f>
        <v>"Center",</v>
      </c>
      <c r="EP2" s="48" t="str">
        <f>IF(AI2="y",CHAR(34)&amp;AI$1&amp;CHAR(34)&amp;",","")</f>
        <v/>
      </c>
      <c r="EQ2" s="48" t="str">
        <f>IF(AJ2="y",CHAR(34)&amp;AJ$1&amp;CHAR(34)&amp;",","")</f>
        <v/>
      </c>
      <c r="ER2" s="48" t="str">
        <f>IF(AK2="y",CHAR(34)&amp;AK$1&amp;CHAR(34)&amp;",","")</f>
        <v/>
      </c>
      <c r="ES2" s="48" t="str">
        <f>IF(AL2="y",CHAR(34)&amp;AL$1&amp;CHAR(34)&amp;",","")</f>
        <v/>
      </c>
      <c r="ET2" s="48" t="str">
        <f>IF(AM2="y",CHAR(34)&amp;AM$1&amp;CHAR(34)&amp;",","")</f>
        <v/>
      </c>
      <c r="EU2" s="48" t="str">
        <f>IF(AN2="y",CHAR(34)&amp;AN$1&amp;CHAR(34)&amp;",","")</f>
        <v/>
      </c>
      <c r="EV2" s="48" t="str">
        <f>IF(AO2="y",CHAR(34)&amp;AO$1&amp;CHAR(34)&amp;",","")</f>
        <v/>
      </c>
      <c r="EW2" s="48" t="str">
        <f>IF(AP2="y",CHAR(34)&amp;AP$1&amp;CHAR(34)&amp;",","")</f>
        <v/>
      </c>
      <c r="EX2" s="48" t="str">
        <f>IF(AQ2="y",CHAR(34)&amp;AQ$1&amp;CHAR(34)&amp;",","")</f>
        <v/>
      </c>
      <c r="EY2" s="48" t="str">
        <f>IF(AR2="y",CHAR(34)&amp;AR$1&amp;CHAR(34)&amp;",","")</f>
        <v/>
      </c>
      <c r="EZ2" s="48" t="str">
        <f>IF(AS2="y",CHAR(34)&amp;AS$1&amp;CHAR(34)&amp;",","")</f>
        <v/>
      </c>
      <c r="FA2" s="48" t="str">
        <f>IF(AT2&gt;0,CHAR(34)&amp;"sta"&amp;AZ2&amp;CHAR(34)&amp;",","")</f>
        <v/>
      </c>
      <c r="FB2" s="48" t="str">
        <f>IF(AND(AT2&gt;0,BA2&lt;&gt;""),CHAR(34)&amp;"sta"&amp;BA2&amp;CHAR(34)&amp;",","")</f>
        <v/>
      </c>
      <c r="FC2" s="48" t="str">
        <f>IF(AND(AT2&gt;0,BB2&lt;&gt;""),CHAR(34)&amp;"sta"&amp;BB2&amp;CHAR(34)&amp;",","")</f>
        <v/>
      </c>
      <c r="FD2" s="48" t="str">
        <f>IF(BV2="n",CHAR(34)&amp;"tcWHYE"&amp;CHAR(34)&amp;",",IF(BV2="y",CHAR(34)&amp;FD$1&amp;CHAR(34)&amp;",",""))</f>
        <v/>
      </c>
      <c r="FE2" s="48" t="str">
        <f>IF(COUNTIF(BL2:BT2,"BLU")=0,CHAR(34)&amp;"NO_BLU"&amp;CHAR(34)&amp;",", "")</f>
        <v>"NO_BLU",</v>
      </c>
      <c r="FF2" s="48" t="str">
        <f>IF(COUNTIF(BL2:BT2,"WHI")=0,CHAR(34)&amp;"NO_WHI"&amp;CHAR(34)&amp;",", "")</f>
        <v/>
      </c>
      <c r="FG2" s="48" t="str">
        <f>IF(COUNTIF(BL2:BT2,"RED")=0,CHAR(34)&amp;"NO_RED"&amp;CHAR(34)&amp;",", "")</f>
        <v/>
      </c>
      <c r="FH2" s="48" t="str">
        <f>IF(COUNTIF(BL2:BS2,"GRE")=0,CHAR(34)&amp;"NO_GRE"&amp;CHAR(34)&amp;",", "")</f>
        <v/>
      </c>
      <c r="FI2" s="48" t="str">
        <f>IF(COUNTIF(BL2:BT2,"YEL")=0,CHAR(34)&amp;"NO_YEL"&amp;CHAR(34)&amp;",", "")</f>
        <v>"NO_YEL",</v>
      </c>
      <c r="FJ2" s="48" t="str">
        <f>IF(COUNTIF(BL2:BT2,"BLA")=0,CHAR(34)&amp;"NO_BLA"&amp;CHAR(34)&amp;",", "")</f>
        <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
      </c>
      <c r="FP2" s="48" t="str">
        <f>IF(AND(FF2&lt;&gt;"",FF2&lt;&gt;""),CHAR(34)&amp;"WHRENO"&amp;CHAR(34)&amp;",","")</f>
        <v/>
      </c>
      <c r="FQ2" s="48" t="str">
        <f>IF(LEN(BF2)=3,CHAR(34)&amp;"001"&amp;BF2&amp;CHAR(34)&amp;",","")</f>
        <v>"001BLA",</v>
      </c>
      <c r="FR2" s="48" t="str">
        <f>IF(LEN(BG2)=3,CHAR(34)&amp;"002"&amp;BG2&amp;CHAR(34)&amp;",","")</f>
        <v>"002RED",</v>
      </c>
      <c r="FS2" s="48" t="str">
        <f>IF(LEN(BH2)=3,CHAR(34)&amp;"003"&amp;BH2&amp;CHAR(34)&amp;",","")</f>
        <v>"003GRE",</v>
      </c>
      <c r="FT2" s="48" t="str">
        <f>CHAR(34)&amp;"myr"&amp;BD2&amp;CHAR(34)&amp;","</f>
        <v>"myrEQ",</v>
      </c>
      <c r="FU2" s="48" t="str">
        <f>IF(AY2="y",CHAR(34)&amp;"island"&amp;CHAR(34)&amp;",","")</f>
        <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"englis",</v>
      </c>
      <c r="GA2" s="48" t="str">
        <f>IFERROR(IF(SEARCH("French",CB2)&gt;0,CHAR(34)&amp;"french"&amp;CHAR(34)&amp;",",""),"")</f>
        <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"NoStar",</v>
      </c>
      <c r="GK2" s="48" t="str">
        <f>IF(GJ2="",CHAR(34)&amp;"HasSta"&amp;CHAR(34)&amp;",","")</f>
        <v/>
      </c>
      <c r="GL2" s="48" t="str">
        <f>IF(CQ2="y",CHAR(34)&amp;CQ$1&amp;CHAR(34)&amp;",","")</f>
        <v/>
      </c>
      <c r="GM2" s="48" t="str">
        <f>IF(CR2="y",CHAR(34)&amp;CR$1&amp;CHAR(34)&amp;",","")</f>
        <v/>
      </c>
      <c r="GN2" s="48" t="str">
        <f>IF(CS2="y",CHAR(34)&amp;CS$1&amp;CHAR(34)&amp;",","")</f>
        <v/>
      </c>
      <c r="GP2" s="48" t="str">
        <f>CHAR(34)&amp;AU2&amp;CHAR(34)</f>
        <v>""</v>
      </c>
      <c r="GS2" s="48" t="str">
        <f>SUBSTITUTE("["&amp;_xlfn.CONCAT(CW2:GN2)&amp;"]",",]","]")</f>
        <v>["4Color","lets05","startK","with_y","year19","allhor","4+Band","Diagon","Horizo","Weapon","Unequa","Center","NO_BLU","NO_YEL","001BLA","002RED","003GRE","myrEQ","englis","NoStar"]</v>
      </c>
      <c r="GT2" s="48" t="str">
        <f>IF(BL2&lt;&gt;"",CHAR(34)&amp;"cl_"&amp;BL2&amp;CHAR(34)&amp;",","")</f>
        <v>"cl_RED",</v>
      </c>
      <c r="GU2" s="48" t="str">
        <f>IF(BM2&lt;&gt;"",CHAR(34)&amp;"cl_"&amp;BM2&amp;CHAR(34)&amp;",","")</f>
        <v>"cl_GRE",</v>
      </c>
      <c r="GV2" s="48" t="str">
        <f>IF(BN2&lt;&gt;"",CHAR(34)&amp;"cl_"&amp;BN2&amp;CHAR(34)&amp;",","")</f>
        <v>"cl_BLA",</v>
      </c>
      <c r="GW2" s="48" t="str">
        <f>IF(BO2&lt;&gt;"",CHAR(34)&amp;"cl_"&amp;BO2&amp;CHAR(34)&amp;",","")</f>
        <v>"cl_WHI",</v>
      </c>
      <c r="GX2" s="48" t="str">
        <f>IF(BP2&lt;&gt;"",CHAR(34)&amp;"cl_"&amp;BP2&amp;CHAR(34)&amp;",","")</f>
        <v/>
      </c>
      <c r="GY2" s="48" t="str">
        <f>IF(BQ2&lt;&gt;"",CHAR(34)&amp;"cl_"&amp;BQ2&amp;CHAR(34)&amp;",","")</f>
        <v/>
      </c>
      <c r="GZ2" s="48" t="str">
        <f>IF(BR2&lt;&gt;"",CHAR(34)&amp;"cl_"&amp;BR2&amp;CHAR(34)&amp;",","")</f>
        <v/>
      </c>
      <c r="HA2" s="48" t="str">
        <f>IF(BS2&lt;&gt;"",CHAR(34)&amp;"cl_"&amp;BS2&amp;CHAR(34)&amp;",","")</f>
        <v/>
      </c>
      <c r="HB2" s="48" t="str">
        <f>IF(BT2&lt;&gt;"",CHAR(34)&amp;"cl_"&amp;BT2&amp;CHAR(34)&amp;",","")</f>
        <v/>
      </c>
      <c r="HC2" s="48" t="str">
        <f>SUBSTITUTE("["&amp;_xlfn.CONCAT(GT2:HB2)&amp;"]",",]","]")</f>
        <v>["cl_RED","cl_GRE","cl_BLA","cl_WHI"]</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{couname:"Kenya",year:"1963 ",region:"rgn_Africa",Colors:["cl_RED","cl_GRE","cl_BLA","cl_WHI"],Items:["4Color","lets05","startK","with_y","year19","allhor","4+Band","Diagon","Horizo","Weapon","Unequa","Center","NO_BLU","NO_YEL","001BLA","002RED","003GRE","myrEQ","englis","NoStar"],Flag:"https://i.ibb.co/r4rysg4/Kenya-Flag.png",HDFlag:"https://upload.wikimedia.org/wikipedia/commons/thumb/4/49/Flag_of_Kenya.svg/2560px-Flag_of_Kenya.svg.png",type:"", describe: "\nThe color black represents the country's African heritage, red for the bloodshed during the fight for independence from the British colonialism, and green for the country's landscape and natural wealth. The white fimbriation was added later to symbolise peace, honesty, purity, and innocence. The black, red, and white traditional African shield and two spears symbolise the defence of all the things mentioned above. Many of both colours and symbolic values are shared with the flag of South Sudan.", isnew:".", links: "https://en.wikipedia.org/wiki/Flag_of_Kenya"},</v>
      </c>
      <c r="HG2" s="73" t="str">
        <f>"{couname:"&amp;CT2&amp;(IF(HK2&lt;&gt;"",",subtype:"&amp;CHAR(34)&amp;HK2&amp;CHAR(34),""))&amp;",year:"&amp;HJ2&amp;",region:"&amp;CU2&amp;",Colors:"&amp;HC2&amp;",Items:"&amp;GS2&amp;",Flag:"&amp;CV2&amp;",HDFlag:"&amp;CHAR(34)&amp;E2&amp;CHAR(34)&amp;",type:"&amp;GP2&amp;", describe: "&amp;HI2&amp;", links: "&amp;HL2&amp;"},"</f>
        <v>{couname:"Kenya",year:"1963 ",region:"rgn_Africa",Colors:["cl_RED","cl_GRE","cl_BLA","cl_WHI"],Items:["4Color","lets05","startK","with_y","year19","allhor","4+Band","Diagon","Horizo","Weapon","Unequa","Center","NO_BLU","NO_YEL","001BLA","002RED","003GRE","myrEQ","englis","NoStar"],Flag:"https://i.ibb.co/r4rysg4/Kenya-Flag.png",HDFlag:"https://upload.wikimedia.org/wikipedia/commons/thumb/4/49/Flag_of_Kenya.svg/2560px-Flag_of_Kenya.svg.png",type:"", describe: "\nThe color black represents the country's African heritage, red for the bloodshed during the fight for independence from the British colonialism, and green for the country's landscape and natural wealth. The white fimbriation was added later to symbolise peace, honesty, purity, and innocence. The black, red, and white traditional African shield and two spears symbolise the defence of all the things mentioned above. Many of both colours and symbolic values are shared with the flag of South Sudan.", links: "https://en.wikipedia.org/wiki/Flag_of_Kenya"},</v>
      </c>
      <c r="HH2" s="48" t="str">
        <f>IF(P2&lt;&gt;"",CHAR(34)&amp;"\n"&amp;P2&amp;CHAR(34),CHAR(34)&amp;CHAR(34))</f>
        <v>"\nThe color black represents the country's African heritage, red for the bloodshed during the fight for independence from the British colonialism, and green for the country's landscape and natural wealth. The white fimbriation was added later to symbolise peace, honesty, purity, and innocence. The black, red, and white traditional African shield and two spears symbolise the defence of all the things mentioned above. Many of both colours and symbolic values are shared with the flag of South Sudan."</v>
      </c>
      <c r="HI2" s="48" t="str">
        <f>IF(J2=0,CHAR(34)&amp;CHAR(34),HH2)</f>
        <v>"\nThe color black represents the country's African heritage, red for the bloodshed during the fight for independence from the British colonialism, and green for the country's landscape and natural wealth. The white fimbriation was added later to symbolise peace, honesty, purity, and innocence. The black, red, and white traditional African shield and two spears symbolise the defence of all the things mentioned above. Many of both colours and symbolic values are shared with the flag of South Sudan."</v>
      </c>
      <c r="HJ2" s="48" t="str">
        <f>CHAR(34)&amp;O2&amp;CHAR(34)</f>
        <v>"1963 "</v>
      </c>
      <c r="HL2" s="48" t="str">
        <f>CHAR(34)&amp;I2&amp;CHAR(34)</f>
        <v>"https://en.wikipedia.org/wiki/Flag_of_Kenya"</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{"couname":"Kenya","year":"1963 ","region":"rgn_Africa","Colors":["cl_RED","cl_GRE","cl_BLA","cl_WHI"],"Items":["4Color","lets05","startK","with_y","year19","allhor","4+Band","Diagon","Horizo","Weapon","Unequa","Center","NO_BLU","NO_YEL","001BLA","002RED","003GRE","myrEQ","englis","NoStar"],"Flag":"https://i.ibb.co/r4rysg4/Kenya-Flag.png","HDFlag":"https://upload.wikimedia.org/wikipedia/commons/thumb/4/49/Flag_of_Kenya.svg/2560px-Flag_of_Kenya.svg.png","type":"", "describe": "\nThe color black represents the country's African heritage, red for the bloodshed during the fight for independence from the British colonialism, and green for the country's landscape and natural wealth. The white fimbriation was added later to symbolise peace, honesty, purity, and innocence. The black, red, and white traditional African shield and two spears symbolise the defence of all the things mentioned above. Many of both colours and symbolic values are shared with the flag of South Sudan.", "isnew": ".", "links": "https://en.wikipedia.org/wiki/Flag_of_Kenya"},</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{"couname":"Kenya","year":"1963 ","region":"rgn_Africa","Colors":["cl_RED","cl_GRE","cl_BLA","cl_WHI"],"Items":["4Color","lets05","startK","with_y","year19","allhor","4+Band","Diagon","Horizo","Weapon","Unequa","Center","NO_BLU","NO_YEL","001BLA","002RED","003GRE","myrEQ","englis","NoStar"],"Flag":"https://i.ibb.co/r4rysg4/Kenya-Flag.png","HDFlag":"https://upload.wikimedia.org/wikipedia/commons/thumb/4/49/Flag_of_Kenya.svg/2560px-Flag_of_Kenya.svg.png","type":"", "describe": "\nThe color black represents the country's African heritage, red for the bloodshed during the fight for independence from the British colonialism, and green for the country's landscape and natural wealth. The white fimbriation was added later to symbolise peace, honesty, purity, and innocence. The black, red, and white traditional African shield and two spears symbolise the defence of all the things mentioned above. Many of both colours and symbolic values are shared with the flag of South Sudan.", "isnew": ".", "links": "https://en.wikipedia.org/wiki/Flag_of_Kenya"},</v>
      </c>
      <c r="HO2" s="75"/>
      <c r="HP2" s="48" t="str" cm="1">
        <f t="array" ref="HP2">IF(_xlfn.TEXTJOIN(", ", TRUE, IF(ISNUMBER(SEARCH("BLA", BL2:BT2)), COLUMN(BL2:BT2) - COLUMN(BL2) + 1, ""))&lt;&gt;"","BLA","")</f>
        <v>BLA</v>
      </c>
      <c r="HQ2" s="48" t="str" cm="1">
        <f t="array" ref="HQ2">IF(_xlfn.TEXTJOIN(", ", TRUE, IF(ISNUMBER(SEARCH("BLU", BL2:BT2)), COLUMN(BL2:BT2) - COLUMN(BL2) + 1, ""))&lt;&gt;"","BLU","")</f>
        <v/>
      </c>
      <c r="HR2" s="48" t="str" cm="1">
        <f t="array" ref="HR2">IF(_xlfn.TEXTJOIN(", ", TRUE, IF(ISNUMBER(SEARCH("GRE", BL2:BT2)), COLUMN(BL2:BT2) - COLUMN(BL2) + 1, ""))&lt;&gt;"","GRE","")</f>
        <v>GRE</v>
      </c>
      <c r="HS2" s="48" t="str" cm="1">
        <f t="array" ref="HS2">IF(_xlfn.TEXTJOIN(", ", TRUE, IF(ISNUMBER(SEARCH("RED", BL2:BT2)), COLUMN(BL2:BT2) - COLUMN(BL2) + 1, ""))&lt;&gt;"","RED","")</f>
        <v>RED</v>
      </c>
      <c r="HT2" s="48" t="str" cm="1">
        <f t="array" ref="HT2">IF(_xlfn.TEXTJOIN(", ", TRUE, IF(ISNUMBER(SEARCH("YEL", BL2:BT2)), COLUMN(BL2:BT2) - COLUMN(BL2) + 1, ""))&lt;&gt;"","YEL","")</f>
        <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c r="IB2" s="6"/>
      <c r="IC2" s="77"/>
      <c r="ID2" s="77"/>
      <c r="IE2" s="77"/>
      <c r="IF2" s="77"/>
      <c r="IG2" s="77"/>
      <c r="IH2" s="77"/>
      <c r="II2" s="77"/>
      <c r="IJ2" s="77"/>
      <c r="IK2" s="77"/>
      <c r="IL2" s="48">
        <f>SUM(IC2:IK2)</f>
        <v>0</v>
      </c>
      <c r="IM2" s="45">
        <f>COUNTIF(IC2:IK2,"&gt;0")-CG2</f>
        <v>-4</v>
      </c>
      <c r="IN2" s="78" t="str">
        <f>"http://mkweb.bcgsc.ca/color-summarizer/?url="&amp;D2&amp;"&amp;precision=low&amp;num_clusters="&amp;CG2&amp;"&amp;text=1"</f>
        <v>http://mkweb.bcgsc.ca/color-summarizer/?url=https://i.ibb.co/r4rysg4/Kenya-Flag.png&amp;precision=low&amp;num_clusters=4&amp;text=1</v>
      </c>
      <c r="IO2" s="48" t="str">
        <f>IF(HP2&lt;&gt;"",CHAR(34)&amp;"black"&amp;CHAR(34),"")</f>
        <v>"black"</v>
      </c>
      <c r="IP2" s="48" t="str">
        <f>IF(HQ2&lt;&gt;"",CHAR(34)&amp;"blue"&amp;CHAR(34),"")</f>
        <v/>
      </c>
      <c r="IQ2" s="48" t="str">
        <f>IF(HR2&lt;&gt;"",CHAR(34)&amp;"green"&amp;CHAR(34),"")</f>
        <v>"green"</v>
      </c>
      <c r="IR2" s="48" t="str">
        <f>IF(HS2&lt;&gt;"",CHAR(34)&amp;"red"&amp;CHAR(34),"")</f>
        <v>"red"</v>
      </c>
      <c r="IS2" s="48" t="str">
        <f>IF(HT2&lt;&gt;"",CHAR(34)&amp;"yellow"&amp;CHAR(34),"")</f>
        <v/>
      </c>
      <c r="IT2" s="48" t="str">
        <f>IF(HU2&lt;&gt;"",CHAR(34)&amp;"orange"&amp;CHAR(34),"")</f>
        <v/>
      </c>
      <c r="IU2" s="48" t="str">
        <f>IF(HV2&lt;&gt;"",CHAR(34)&amp;"brown"&amp;CHAR(34),"")</f>
        <v/>
      </c>
      <c r="IV2" s="48" t="str">
        <f>IF(HW2&lt;&gt;"",CHAR(34)&amp;"purple"&amp;CHAR(34),"")</f>
        <v/>
      </c>
      <c r="IW2" s="48" t="str">
        <f>IF(HX2&lt;&gt;"",CHAR(34)&amp;"white"&amp;CHAR(34),"")</f>
        <v>"white"</v>
      </c>
      <c r="IX2" s="48" t="str">
        <f>"{"&amp;CHAR(34)&amp;"url"&amp;CHAR(34)&amp;":"&amp;CHAR(34)&amp;IN2&amp;CHAR(34)&amp;","&amp;CHAR(34)&amp;"name"&amp;CHAR(34)&amp;":"&amp;CHAR(34)&amp;A2&amp;CHAR(34)&amp;"},"</f>
        <v>{"url":"http://mkweb.bcgsc.ca/color-summarizer/?url=https://i.ibb.co/r4rysg4/Kenya-Flag.png&amp;precision=low&amp;num_clusters=4&amp;text=1","name":"Kenya"},</v>
      </c>
      <c r="IY2" s="48">
        <v>113</v>
      </c>
    </row>
    <row r="3" spans="1:259" s="48" customFormat="1" ht="38.4" customHeight="1" thickBot="1" x14ac:dyDescent="0.35">
      <c r="A3" s="79" t="s">
        <v>911</v>
      </c>
      <c r="B3" s="40" t="e" vm="56">
        <v>#VALUE!</v>
      </c>
      <c r="C3" s="41">
        <v>2</v>
      </c>
      <c r="D3" s="42" t="s">
        <v>912</v>
      </c>
      <c r="E3" s="43" t="s">
        <v>913</v>
      </c>
      <c r="F3" s="44" t="s">
        <v>163</v>
      </c>
      <c r="G3" s="45">
        <f>COUNTIF($A$1:$A$8348,A3)</f>
        <v>1</v>
      </c>
      <c r="H3" s="46"/>
      <c r="I3" s="47" t="s">
        <v>914</v>
      </c>
      <c r="J3" s="48" t="str">
        <f>""</f>
        <v/>
      </c>
      <c r="K3" s="49"/>
      <c r="L3" s="50"/>
      <c r="M3" s="50"/>
      <c r="N3" s="51" t="s">
        <v>180</v>
      </c>
      <c r="O3" s="52" t="s">
        <v>170</v>
      </c>
      <c r="P3" s="53" t="s">
        <v>915</v>
      </c>
      <c r="Q3" s="54">
        <v>2</v>
      </c>
      <c r="R3" s="55" t="s">
        <v>180</v>
      </c>
      <c r="S3" s="56">
        <v>0</v>
      </c>
      <c r="T3" s="57" t="s">
        <v>167</v>
      </c>
      <c r="U3" s="58" t="s">
        <v>164</v>
      </c>
      <c r="V3" s="58" t="s">
        <v>167</v>
      </c>
      <c r="W3" s="58" t="s">
        <v>164</v>
      </c>
      <c r="X3" s="58" t="s">
        <v>167</v>
      </c>
      <c r="Y3" s="58" t="s">
        <v>167</v>
      </c>
      <c r="Z3" s="58" t="s">
        <v>164</v>
      </c>
      <c r="AA3" s="58" t="s">
        <v>167</v>
      </c>
      <c r="AB3" s="58" t="s">
        <v>167</v>
      </c>
      <c r="AC3" s="58" t="s">
        <v>164</v>
      </c>
      <c r="AD3" s="58" t="s">
        <v>167</v>
      </c>
      <c r="AE3" s="58" t="s">
        <v>164</v>
      </c>
      <c r="AF3" s="59" t="s">
        <v>164</v>
      </c>
      <c r="AG3" s="59" t="s">
        <v>164</v>
      </c>
      <c r="AH3" s="59" t="s">
        <v>167</v>
      </c>
      <c r="AI3" s="59" t="s">
        <v>164</v>
      </c>
      <c r="AJ3" s="59" t="s">
        <v>164</v>
      </c>
      <c r="AK3" s="59" t="s">
        <v>164</v>
      </c>
      <c r="AL3" s="59" t="s">
        <v>164</v>
      </c>
      <c r="AM3" s="59" t="s">
        <v>167</v>
      </c>
      <c r="AN3" s="59" t="s">
        <v>164</v>
      </c>
      <c r="AO3" s="59" t="s">
        <v>164</v>
      </c>
      <c r="AP3" s="59" t="s">
        <v>164</v>
      </c>
      <c r="AQ3" s="59" t="s">
        <v>164</v>
      </c>
      <c r="AR3" s="59" t="s">
        <v>164</v>
      </c>
      <c r="AS3" s="59" t="s">
        <v>164</v>
      </c>
      <c r="AT3" s="60">
        <v>0</v>
      </c>
      <c r="AU3" s="59" t="s">
        <v>561</v>
      </c>
      <c r="AV3" s="59" t="str">
        <f>IF(LEFT(A3,1)="[",LEFT(A3,5)&amp;AU3&amp;A3,"")</f>
        <v>[KEN]County[KEN] Mombasa County</v>
      </c>
      <c r="AW3" s="59" t="str">
        <f t="shared" si="0"/>
        <v>2[KEN] Mombasa County</v>
      </c>
      <c r="AX3" s="61"/>
      <c r="AY3" s="61"/>
      <c r="AZ3" s="62" t="s">
        <v>172</v>
      </c>
      <c r="BA3" s="62" t="s">
        <v>172</v>
      </c>
      <c r="BB3" s="62"/>
      <c r="BC3" s="63"/>
      <c r="BD3" s="64" t="s">
        <v>159</v>
      </c>
      <c r="BE3" s="47"/>
      <c r="BF3" s="64" t="s">
        <v>172</v>
      </c>
      <c r="BG3" s="64" t="s">
        <v>172</v>
      </c>
      <c r="BH3" s="64" t="s">
        <v>172</v>
      </c>
      <c r="BI3" s="64"/>
      <c r="BJ3" s="64"/>
      <c r="BK3" s="47"/>
      <c r="BL3" s="64" t="s">
        <v>151</v>
      </c>
      <c r="BM3" s="64" t="s">
        <v>152</v>
      </c>
      <c r="BN3" s="64" t="s">
        <v>153</v>
      </c>
      <c r="BO3" s="64" t="s">
        <v>154</v>
      </c>
      <c r="BP3" s="64" t="s">
        <v>155</v>
      </c>
      <c r="BQ3" s="64" t="s">
        <v>172</v>
      </c>
      <c r="BR3" s="64" t="s">
        <v>157</v>
      </c>
      <c r="BS3" s="64" t="s">
        <v>172</v>
      </c>
      <c r="BT3" s="64" t="s">
        <v>159</v>
      </c>
      <c r="BU3" s="65"/>
      <c r="BV3" s="66"/>
      <c r="BW3" s="66">
        <v>0</v>
      </c>
      <c r="BX3" s="47"/>
      <c r="BY3" s="48" t="s">
        <v>164</v>
      </c>
      <c r="CB3" s="6"/>
      <c r="CC3" s="6"/>
      <c r="CD3" s="67">
        <v>0</v>
      </c>
      <c r="CE3" s="67">
        <v>0</v>
      </c>
      <c r="CF3" s="67" t="e">
        <v>#REF!</v>
      </c>
      <c r="CG3" s="68" cm="1">
        <f t="array" ref="CG3">SUMPRODUCT(--(LEN(TRIM(BL3:BT3))&gt;0))</f>
        <v>7</v>
      </c>
      <c r="CH3" s="59" t="str">
        <f>IF(CG3=2,"y","n")</f>
        <v>n</v>
      </c>
      <c r="CI3" s="59" t="str">
        <f>IF(CG3=3,"y","n")</f>
        <v>n</v>
      </c>
      <c r="CJ3" s="59" t="str">
        <f>IF(CG3=4,"y","n")</f>
        <v>n</v>
      </c>
      <c r="CK3" s="59" t="str">
        <f>IF(CG3&gt;4,"y","n")</f>
        <v>y</v>
      </c>
      <c r="CL3" s="59" t="str">
        <f>IF(S3=0,"y","n")</f>
        <v>y</v>
      </c>
      <c r="CM3" s="59" t="str">
        <f>IF(S3=2,"y","n")</f>
        <v>n</v>
      </c>
      <c r="CN3" s="59" t="str">
        <f>IF(S3=3,"y","n")</f>
        <v>n</v>
      </c>
      <c r="CO3" s="59" t="str">
        <f>IF(S3&gt;=4,"y","n")</f>
        <v>n</v>
      </c>
      <c r="CP3" s="59" t="str">
        <f>IF(AT3=0,"y","n")</f>
        <v>y</v>
      </c>
      <c r="CQ3" s="59" t="str">
        <f>IF(AT3=1,"y","n")</f>
        <v>n</v>
      </c>
      <c r="CR3" s="59" t="str">
        <f>IF(AT3=2,"y","n")</f>
        <v>n</v>
      </c>
      <c r="CS3" s="59" t="str">
        <f>IF(AT3&gt;=3,"y","n")</f>
        <v>n</v>
      </c>
      <c r="CT3" s="69" t="str">
        <f>CHAR(34)&amp;A3&amp;CHAR(34)</f>
        <v>"[KEN] Mombasa County"</v>
      </c>
      <c r="CU3" s="70" t="str">
        <f>CHAR(34)&amp;"rgn_"&amp;R3&amp;CHAR(34)</f>
        <v>"rgn_Africa"</v>
      </c>
      <c r="CV3" s="48" t="str">
        <f>CHAR(34)&amp;D3&amp;CHAR(34)</f>
        <v>"https://upload.wikimedia.org/wikipedia/commons/thumb/f/fd/Flag_of_Mombasa.svg/640px-Flag_of_Mombasa.svg.png"</v>
      </c>
      <c r="CW3" s="48" t="str">
        <f>IF(CH3="y",CHAR(34)&amp;CH$1&amp;CHAR(34)&amp;",","")</f>
        <v/>
      </c>
      <c r="CX3" s="48" t="str">
        <f>IF(CI3="y",CHAR(34)&amp;CI$1&amp;CHAR(34)&amp;",","")</f>
        <v/>
      </c>
      <c r="CY3" s="48" t="str">
        <f>IF(CJ3="y",CHAR(34)&amp;CJ$1&amp;CHAR(34)&amp;",","")</f>
        <v/>
      </c>
      <c r="CZ3" s="48" t="str">
        <f>IF(CK3="y",CHAR(34)&amp;CK$1&amp;CHAR(34)&amp;",","")</f>
        <v>"5+Colo",</v>
      </c>
      <c r="DA3" s="48" t="str">
        <f>IF(Q3&gt;1,CHAR(34)&amp;"words2"&amp;CHAR(34)&amp;",","")</f>
        <v>"words2",</v>
      </c>
      <c r="DB3" s="48" t="str">
        <f>IF(Q3&gt;2,CHAR(34)&amp;"words3"&amp;CHAR(34)&amp;",","")</f>
        <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"lets13",</v>
      </c>
      <c r="DE3" s="48" t="str">
        <f>CHAR(34)&amp;"start"&amp;IFERROR(LEFT(SUBSTITUTE(A3,"["&amp;MID(A3,FIND("[",A3)+1,FIND("]",A3)-FIND("[",A3)-1)&amp;"] ",""),1),LEFT(A3,1))&amp;CHAR(34)&amp;","</f>
        <v>"startM",</v>
      </c>
      <c r="DF3" s="48" t="str">
        <f>IFERROR(IF(SEARCH("tan",A3)&gt;0,CHAR(34)&amp;"withtn"&amp;CHAR(34)&amp;",",""),"")</f>
        <v/>
      </c>
      <c r="DG3" s="48" t="str">
        <f>IFERROR(IF(SEARCH("q",A3)&gt;0,CHAR(34)&amp;"with_q"&amp;CHAR(34)&amp;",",""),"")</f>
        <v/>
      </c>
      <c r="DH3" s="48" t="str">
        <f>IFERROR(IF(SEARCH("v",A3)&gt;0,CHAR(34)&amp;"with_v"&amp;CHAR(34)&amp;",",""),"")</f>
        <v/>
      </c>
      <c r="DI3" s="48" t="str">
        <f>IFERROR(IF(SEARCH("w",A3)&gt;0,CHAR(34)&amp;"with_w"&amp;CHAR(34)&amp;",",""),"")</f>
        <v/>
      </c>
      <c r="DJ3" s="48" t="str">
        <f>IFERROR(IF(SEARCH("y",A3)&gt;0,CHAR(34)&amp;"with_y"&amp;CHAR(34)&amp;",",""),"")</f>
        <v>"with_y",</v>
      </c>
      <c r="DK3" s="48" t="str">
        <f>IFERROR(IF(SEARCH("z",A3)&gt;0,CHAR(34)&amp;"with_z"&amp;CHAR(34)&amp;",",""),"")</f>
        <v/>
      </c>
      <c r="DL3" s="48" t="str">
        <f>IF(CG3=2, CHAR(34) &amp; _xlfn.TEXTJOIN("", TRUE, _xlfn._xlws.SORT(HP3:HX3)) &amp; CHAR(34) &amp; ",", "")</f>
        <v/>
      </c>
      <c r="DM3" s="48" t="str" cm="1">
        <f t="array" ref="DM3">IF(CG3=3,CHAR(34) &amp; _xlfn.TEXTJOIN("", TRUE, RIGHT(HP3:HX3, 2)) &amp; CHAR(34) &amp; ",", "")</f>
        <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
      </c>
      <c r="DP3" s="6" t="str">
        <f>IF(AND(ISNUMBER(SEARCH("20", O3)), ISERROR(SEARCH("1920", O3))), CHAR(34)&amp;"year00"&amp;CHAR(34)&amp;",", "")</f>
        <v/>
      </c>
      <c r="DQ3" s="6" t="str">
        <f>IF(CC3="y",CHAR(34)&amp;"soviet"&amp;CHAR(34)&amp;",","")</f>
        <v/>
      </c>
      <c r="DR3" s="6" t="str">
        <f>IF(BY3="y",CHAR(34)&amp;"dgband"&amp;CHAR(34)&amp;",","")</f>
        <v/>
      </c>
      <c r="DS3" s="6" t="str">
        <f>IF(W3="y",IF(AND(V3="n",BY3&lt;&gt;"y"),CHAR(34)&amp;"allver"&amp;CHAR(34)&amp;",",""),"")</f>
        <v/>
      </c>
      <c r="DT3" s="6" t="str">
        <f>IF(V3="y",IF(AND(W3="n",BY3&lt;&gt;"y"),CHAR(34)&amp;"allhor"&amp;CHAR(34)&amp;",",""),"")</f>
        <v>"allhor",</v>
      </c>
      <c r="DU3" s="6" t="str">
        <f>IF(BY3="y",IF(AND(W3="n",V3="n"),CHAR(34)&amp;"alldia"&amp;CHAR(34)&amp;",",""),"")</f>
        <v/>
      </c>
      <c r="DW3" s="48" t="str">
        <f>IF(CL3="y",CHAR(34)&amp;CL$1&amp;CHAR(34)&amp;",","")</f>
        <v>"NoBand",</v>
      </c>
      <c r="DX3" s="48" t="str">
        <f>IF(CM3="y",CHAR(34)&amp;CM$1&amp;CHAR(34)&amp;",","")</f>
        <v/>
      </c>
      <c r="DY3" s="48" t="str">
        <f>IF(CN3="y",CHAR(34)&amp;CN$1&amp;CHAR(34)&amp;",","")</f>
        <v/>
      </c>
      <c r="DZ3" s="48" t="str">
        <f>IF(CO3="y",CHAR(34)&amp;CO$1&amp;CHAR(34)&amp;",","")</f>
        <v/>
      </c>
      <c r="EA3" s="48" t="str">
        <f>IF(T3="y",CHAR(34)&amp;T$1&amp;CHAR(34)&amp;",","")</f>
        <v>"Diagon",</v>
      </c>
      <c r="EB3" s="48" t="str">
        <f>IF(U3="y",CHAR(34)&amp;U$1&amp;CHAR(34)&amp;",","")</f>
        <v/>
      </c>
      <c r="EC3" s="48" t="str">
        <f>IF(V3="y",CHAR(34)&amp;V$1&amp;CHAR(34)&amp;",","")</f>
        <v>"Horizo",</v>
      </c>
      <c r="ED3" s="48" t="str">
        <f>IF(W3="y",CHAR(34)&amp;W$1&amp;CHAR(34)&amp;",","")</f>
        <v/>
      </c>
      <c r="EE3" s="48" t="str">
        <f>IF(X3="y",CHAR(34)&amp;X$1&amp;CHAR(34)&amp;",","")</f>
        <v>"Circle",</v>
      </c>
      <c r="EF3" s="48" t="str">
        <f>IF(AND(Y3&lt;&gt;"n",Y3&lt;&gt;""),CHAR(34)&amp;Y$1&amp;CHAR(34)&amp;",","")</f>
        <v>"Animal",</v>
      </c>
      <c r="EG3" s="48" t="str">
        <f>IF(Z3="y",CHAR(34)&amp;Z$1&amp;CHAR(34)&amp;",","")</f>
        <v/>
      </c>
      <c r="EH3" s="48" t="str">
        <f>IF(AA3="y",CHAR(34)&amp;AA$1&amp;CHAR(34)&amp;",","")</f>
        <v>"Plants",</v>
      </c>
      <c r="EI3" s="48" t="str">
        <f>IF(AB3="y",CHAR(34)&amp;AB$1&amp;CHAR(34)&amp;",","")</f>
        <v>"Texted",</v>
      </c>
      <c r="EJ3" s="48" t="str">
        <f>IF(AC3="y",CHAR(34)&amp;AC$1&amp;CHAR(34)&amp;",","")</f>
        <v/>
      </c>
      <c r="EK3" s="48" t="str">
        <f>IF(AD3="y",CHAR(34)&amp;AD$1&amp;CHAR(34)&amp;",","")</f>
        <v>"HasSun",</v>
      </c>
      <c r="EL3" s="48" t="str">
        <f>IF(AE3="y",CHAR(34)&amp;AE$1&amp;CHAR(34)&amp;",","")</f>
        <v/>
      </c>
      <c r="EM3" s="48" t="str">
        <f>IF(AF3="y",CHAR(34)&amp;AF$1&amp;CHAR(34)&amp;",","")</f>
        <v/>
      </c>
      <c r="EN3" s="48" t="str">
        <f>IF(AG3="y",CHAR(34)&amp;AG$1&amp;CHAR(34)&amp;",","")</f>
        <v/>
      </c>
      <c r="EO3" s="48" t="str">
        <f>IF(AH3="y",CHAR(34)&amp;AH$1&amp;CHAR(34)&amp;",","")</f>
        <v>"Center",</v>
      </c>
      <c r="EP3" s="48" t="str">
        <f>IF(AI3="y",CHAR(34)&amp;AI$1&amp;CHAR(34)&amp;",","")</f>
        <v/>
      </c>
      <c r="EQ3" s="48" t="str">
        <f>IF(AJ3="y",CHAR(34)&amp;AJ$1&amp;CHAR(34)&amp;",","")</f>
        <v/>
      </c>
      <c r="ER3" s="48" t="str">
        <f>IF(AK3="y",CHAR(34)&amp;AK$1&amp;CHAR(34)&amp;",","")</f>
        <v/>
      </c>
      <c r="ES3" s="48" t="str">
        <f>IF(AL3="y",CHAR(34)&amp;AL$1&amp;CHAR(34)&amp;",","")</f>
        <v/>
      </c>
      <c r="ET3" s="48" t="str">
        <f>IF(AM3="y",CHAR(34)&amp;AM$1&amp;CHAR(34)&amp;",","")</f>
        <v>"Geogrh",</v>
      </c>
      <c r="EU3" s="48" t="str">
        <f>IF(AN3="y",CHAR(34)&amp;AN$1&amp;CHAR(34)&amp;",","")</f>
        <v/>
      </c>
      <c r="EV3" s="48" t="str">
        <f>IF(AO3="y",CHAR(34)&amp;AO$1&amp;CHAR(34)&amp;",","")</f>
        <v/>
      </c>
      <c r="EW3" s="48" t="str">
        <f>IF(AP3="y",CHAR(34)&amp;AP$1&amp;CHAR(34)&amp;",","")</f>
        <v/>
      </c>
      <c r="EX3" s="48" t="str">
        <f>IF(AQ3="y",CHAR(34)&amp;AQ$1&amp;CHAR(34)&amp;",","")</f>
        <v/>
      </c>
      <c r="EY3" s="48" t="str">
        <f>IF(AR3="y",CHAR(34)&amp;AR$1&amp;CHAR(34)&amp;",","")</f>
        <v/>
      </c>
      <c r="EZ3" s="48" t="str">
        <f>IF(AS3="y",CHAR(34)&amp;AS$1&amp;CHAR(34)&amp;",","")</f>
        <v/>
      </c>
      <c r="FA3" s="48" t="str">
        <f>IF(AT3&gt;0,CHAR(34)&amp;"sta"&amp;AZ3&amp;CHAR(34)&amp;",","")</f>
        <v/>
      </c>
      <c r="FB3" s="48" t="str">
        <f>IF(AND(AT3&gt;0,BA3&lt;&gt;""),CHAR(34)&amp;"sta"&amp;BA3&amp;CHAR(34)&amp;",","")</f>
        <v/>
      </c>
      <c r="FD3" s="48" t="str">
        <f>IF(BV3="n",CHAR(34)&amp;"tcWHYE"&amp;CHAR(34)&amp;",",IF(BV3="y",CHAR(34)&amp;FD$1&amp;CHAR(34)&amp;",",""))</f>
        <v/>
      </c>
      <c r="FE3" s="48" t="str">
        <f>IF(COUNTIF(BL3:BT3,"BLU")=0,CHAR(34)&amp;"NO_BLU"&amp;CHAR(34)&amp;",", "")</f>
        <v/>
      </c>
      <c r="FF3" s="48" t="str">
        <f>IF(COUNTIF(BL3:BT3,"WHI")=0,CHAR(34)&amp;"NO_WHI"&amp;CHAR(34)&amp;",", "")</f>
        <v/>
      </c>
      <c r="FG3" s="48" t="str">
        <f>IF(COUNTIF(BL3:BT3,"RED")=0,CHAR(34)&amp;"NO_RED"&amp;CHAR(34)&amp;",", "")</f>
        <v/>
      </c>
      <c r="FH3" s="48" t="str">
        <f>IF(COUNTIF(BL3:BS3,"GRE")=0,CHAR(34)&amp;"NO_GRE"&amp;CHAR(34)&amp;",", "")</f>
        <v/>
      </c>
      <c r="FI3" s="48" t="str">
        <f>IF(COUNTIF(BL3:BT3,"YEL")=0,CHAR(34)&amp;"NO_YEL"&amp;CHAR(34)&amp;",", "")</f>
        <v/>
      </c>
      <c r="FJ3" s="48" t="str">
        <f>IF(COUNTIF(BL3:BT3,"BLA")=0,CHAR(34)&amp;"NO_BLA"&amp;CHAR(34)&amp;",", "")</f>
        <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
      </c>
      <c r="FQ3" s="48" t="str">
        <f>IF(LEN(BF3)=3,CHAR(34)&amp;"001"&amp;BF3&amp;CHAR(34)&amp;",","")</f>
        <v/>
      </c>
      <c r="FR3" s="48" t="str">
        <f>IF(LEN(BG3)=3,CHAR(34)&amp;"002"&amp;BG3&amp;CHAR(34)&amp;",","")</f>
        <v/>
      </c>
      <c r="FS3" s="48" t="str">
        <f>IF(LEN(BH3)=3,CHAR(34)&amp;"003"&amp;BH3&amp;CHAR(34)&amp;",","")</f>
        <v/>
      </c>
      <c r="FT3" s="48" t="str">
        <f>CHAR(34)&amp;"myr"&amp;BD3&amp;CHAR(34)&amp;","</f>
        <v>"myrWHI",</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
      </c>
      <c r="GG3" s="48" t="str">
        <f>IF(BU3="y",CHAR(34)&amp;"unjack"&amp;CHAR(34)&amp;",","")</f>
        <v/>
      </c>
      <c r="GH3" s="48" t="str">
        <f>IF(CD3=1,CHAR(34)&amp;"southc"&amp;CHAR(34)&amp;",","")</f>
        <v/>
      </c>
      <c r="GI3" s="48" t="str">
        <f>IF(CE3=1,CHAR(34)&amp;"hasmap"&amp;CHAR(34)&amp;",","")</f>
        <v/>
      </c>
      <c r="GJ3" s="48" t="str">
        <f>IF(CP3="y",CHAR(34)&amp;CP$1&amp;CHAR(34)&amp;",","")</f>
        <v>"NoStar",</v>
      </c>
      <c r="GK3" s="48" t="str">
        <f>IF(GJ3="",CHAR(34)&amp;"HasSta"&amp;CHAR(34)&amp;",","")</f>
        <v/>
      </c>
      <c r="GL3" s="48" t="str">
        <f>IF(CQ3="y",CHAR(34)&amp;CQ$1&amp;CHAR(34)&amp;",","")</f>
        <v/>
      </c>
      <c r="GM3" s="48" t="str">
        <f>IF(CR3="y",CHAR(34)&amp;CR$1&amp;CHAR(34)&amp;",","")</f>
        <v/>
      </c>
      <c r="GN3" s="48" t="str">
        <f>IF(CS3="y",CHAR(34)&amp;CS$1&amp;CHAR(34)&amp;",","")</f>
        <v/>
      </c>
      <c r="GP3" s="48" t="str">
        <f>CHAR(34)&amp;AU3&amp;CHAR(34)</f>
        <v>"County"</v>
      </c>
      <c r="GS3" s="48" t="str">
        <f>SUBSTITUTE("["&amp;_xlfn.CONCAT(CW3:GN3)&amp;"]",",]","]")</f>
        <v>["5+Colo","words2","lets13","startM","with_y","allhor","NoBand","Diagon","Horizo","Circle","Animal","Plants","Texted","HasSun","Center","Geogrh","myrWHI","NoStar"]</v>
      </c>
      <c r="GT3" s="48" t="str">
        <f>IF(BL3&lt;&gt;"",CHAR(34)&amp;"cl_"&amp;BL3&amp;CHAR(34)&amp;",","")</f>
        <v>"cl_BLA",</v>
      </c>
      <c r="GU3" s="48" t="str">
        <f>IF(BM3&lt;&gt;"",CHAR(34)&amp;"cl_"&amp;BM3&amp;CHAR(34)&amp;",","")</f>
        <v>"cl_BLU",</v>
      </c>
      <c r="GV3" s="48" t="str">
        <f>IF(BN3&lt;&gt;"",CHAR(34)&amp;"cl_"&amp;BN3&amp;CHAR(34)&amp;",","")</f>
        <v>"cl_GRE",</v>
      </c>
      <c r="GW3" s="48" t="str">
        <f>IF(BO3&lt;&gt;"",CHAR(34)&amp;"cl_"&amp;BO3&amp;CHAR(34)&amp;",","")</f>
        <v>"cl_RED",</v>
      </c>
      <c r="GX3" s="48" t="str">
        <f>IF(BP3&lt;&gt;"",CHAR(34)&amp;"cl_"&amp;BP3&amp;CHAR(34)&amp;",","")</f>
        <v>"cl_YEL",</v>
      </c>
      <c r="GY3" s="48" t="str">
        <f>IF(BQ3&lt;&gt;"",CHAR(34)&amp;"cl_"&amp;BQ3&amp;CHAR(34)&amp;",","")</f>
        <v/>
      </c>
      <c r="GZ3" s="48" t="str">
        <f>IF(BR3&lt;&gt;"",CHAR(34)&amp;"cl_"&amp;BR3&amp;CHAR(34)&amp;",","")</f>
        <v>"cl_BRO",</v>
      </c>
      <c r="HA3" s="48" t="str">
        <f>IF(BS3&lt;&gt;"",CHAR(34)&amp;"cl_"&amp;BS3&amp;CHAR(34)&amp;",","")</f>
        <v/>
      </c>
      <c r="HB3" s="48" t="str">
        <f>IF(BT3&lt;&gt;"",CHAR(34)&amp;"cl_"&amp;BT3&amp;CHAR(34)&amp;",","")</f>
        <v>"cl_WHI",</v>
      </c>
      <c r="HC3" s="48" t="str">
        <f>SUBSTITUTE("["&amp;_xlfn.CONCAT(GT3:HB3)&amp;"]",",]","]")</f>
        <v>["cl_BLA","cl_BLU","cl_GRE","cl_RED","cl_YEL","cl_BRO","cl_WHI"]</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{couname:"[KEN] Mombasa County",year:"???",region:"rgn_Africa",Colors:["cl_BLA","cl_BLU","cl_GRE","cl_RED","cl_YEL","cl_BRO","cl_WHI"],Items:["5+Colo","words2","lets13","startM","with_y","allhor","NoBand","Diagon","Horizo","Circle","Animal","Plants","Texted","HasSun","Center","Geogrh","myrWHI","NoStar"],Flag:"https://upload.wikimedia.org/wikipedia/commons/thumb/f/fd/Flag_of_Mombasa.svg/640px-Flag_of_Mombasa.svg.png",HDFlag:"https://upload.wikimedia.org/wikipedia/commons/thumb/f/fd/Flag_of_Mombasa.svg/2560px-Flag_of_Mombasa.svg.png",type:"County", describe: "\nDescription of the flag\nThe flag of Mombasa County has a plain white background with the county arms in the centre, a photo of which can be seen here. \nJaume Ollé, 06 Dec 2017", isnew:".", links: "https://www.crwflags.com/fotw/flags/ke-mombc.html"},</v>
      </c>
      <c r="HG3" s="73" t="str">
        <f>"{couname:"&amp;CT3&amp;(IF(HK3&lt;&gt;"",",subtype:"&amp;CHAR(34)&amp;HK3&amp;CHAR(34),""))&amp;",year:"&amp;HJ3&amp;",region:"&amp;CU3&amp;",Colors:"&amp;HC3&amp;",Items:"&amp;GS3&amp;",Flag:"&amp;CV3&amp;",HDFlag:"&amp;CHAR(34)&amp;E3&amp;CHAR(34)&amp;",type:"&amp;GP3&amp;", describe: "&amp;HI3&amp;", links: "&amp;HL3&amp;"},"</f>
        <v>{couname:"[KEN] Mombasa County",year:"???",region:"rgn_Africa",Colors:["cl_BLA","cl_BLU","cl_GRE","cl_RED","cl_YEL","cl_BRO","cl_WHI"],Items:["5+Colo","words2","lets13","startM","with_y","allhor","NoBand","Diagon","Horizo","Circle","Animal","Plants","Texted","HasSun","Center","Geogrh","myrWHI","NoStar"],Flag:"https://upload.wikimedia.org/wikipedia/commons/thumb/f/fd/Flag_of_Mombasa.svg/640px-Flag_of_Mombasa.svg.png",HDFlag:"https://upload.wikimedia.org/wikipedia/commons/thumb/f/fd/Flag_of_Mombasa.svg/2560px-Flag_of_Mombasa.svg.png",type:"County", describe: "\nDescription of the flag\nThe flag of Mombasa County has a plain white background with the county arms in the centre, a photo of which can be seen here. \nJaume Ollé, 06 Dec 2017", links: "https://www.crwflags.com/fotw/flags/ke-mombc.html"},</v>
      </c>
      <c r="HH3" s="48" t="str">
        <f>IF(P3&lt;&gt;"",CHAR(34)&amp;"\n"&amp;P3&amp;CHAR(34),CHAR(34)&amp;CHAR(34))</f>
        <v>"\nDescription of the flag\nThe flag of Mombasa County has a plain white background with the county arms in the centre, a photo of which can be seen here. \nJaume Ollé, 06 Dec 2017"</v>
      </c>
      <c r="HI3" s="48" t="str">
        <f>IF(J3=0,CHAR(34)&amp;CHAR(34),HH3)</f>
        <v>"\nDescription of the flag\nThe flag of Mombasa County has a plain white background with the county arms in the centre, a photo of which can be seen here. \nJaume Ollé, 06 Dec 2017"</v>
      </c>
      <c r="HJ3" s="48" t="str">
        <f>CHAR(34)&amp;O3&amp;CHAR(34)</f>
        <v>"???"</v>
      </c>
      <c r="HL3" s="48" t="str">
        <f>CHAR(34)&amp;I3&amp;CHAR(34)</f>
        <v>"https://www.crwflags.com/fotw/flags/ke-mombc.html"</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{"couname":"[KEN] Mombasa County","year":"???","region":"rgn_Africa","Colors":["cl_BLA","cl_BLU","cl_GRE","cl_RED","cl_YEL","cl_BRO","cl_WHI"],"Items":["5+Colo","words2","lets13","startM","with_y","allhor","NoBand","Diagon","Horizo","Circle","Animal","Plants","Texted","HasSun","Center","Geogrh","myrWHI","NoStar"],"Flag":"https://upload.wikimedia.org/wikipedia/commons/thumb/f/fd/Flag_of_Mombasa.svg/640px-Flag_of_Mombasa.svg.png","HDFlag":"https://upload.wikimedia.org/wikipedia/commons/thumb/f/fd/Flag_of_Mombasa.svg/2560px-Flag_of_Mombasa.svg.png","type":"County", "describe": "\nDescription of the flag\nThe flag of Mombasa County has a plain white background with the county arms in the centre, a photo of which can be seen here. \nJaume Ollé, 06 Dec 2017", "isnew": ".", "links": "https://www.crwflags.com/fotw/flags/ke-mombc.html"},</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{"couname":"[KEN] Mombasa County","year":"???","region":"rgn_Africa","Colors":["cl_BLA","cl_BLU","cl_GRE","cl_RED","cl_YEL","cl_BRO","cl_WHI"],"Items":["5+Colo","words2","lets13","startM","with_y","allhor","NoBand","Diagon","Horizo","Circle","Animal","Plants","Texted","HasSun","Center","Geogrh","myrWHI","NoStar"],"Flag":"https://upload.wikimedia.org/wikipedia/commons/thumb/f/fd/Flag_of_Mombasa.svg/640px-Flag_of_Mombasa.svg.png","HDFlag":"https://upload.wikimedia.org/wikipedia/commons/thumb/f/fd/Flag_of_Mombasa.svg/2560px-Flag_of_Mombasa.svg.png","type":"County", "describe": "\nDescription of the flag\nThe flag of Mombasa County has a plain white background with the county arms in the centre, a photo of which can be seen here. \nJaume Ollé, 06 Dec 2017", "isnew": ".", "links": "https://www.crwflags.com/fotw/flags/ke-mombc.html"},</v>
      </c>
      <c r="HO3" s="75">
        <v>45610</v>
      </c>
      <c r="HP3" s="48" t="str" cm="1">
        <f t="array" ref="HP3">IF(_xlfn.TEXTJOIN(", ", TRUE, IF(ISNUMBER(SEARCH("BLA", BL3:BT3)), COLUMN(BL3:BT3) - COLUMN(BL3) + 1, ""))&lt;&gt;"","BLA","")</f>
        <v>BLA</v>
      </c>
      <c r="HQ3" s="48" t="str" cm="1">
        <f t="array" ref="HQ3">IF(_xlfn.TEXTJOIN(", ", TRUE, IF(ISNUMBER(SEARCH("BLU", BL3:BT3)), COLUMN(BL3:BT3) - COLUMN(BL3) + 1, ""))&lt;&gt;"","BLU","")</f>
        <v>BLU</v>
      </c>
      <c r="HR3" s="48" t="str" cm="1">
        <f t="array" ref="HR3">IF(_xlfn.TEXTJOIN(", ", TRUE, IF(ISNUMBER(SEARCH("GRE", BL3:BT3)), COLUMN(BL3:BT3) - COLUMN(BL3) + 1, ""))&lt;&gt;"","GRE","")</f>
        <v>GRE</v>
      </c>
      <c r="HS3" s="48" t="str" cm="1">
        <f t="array" ref="HS3">IF(_xlfn.TEXTJOIN(", ", TRUE, IF(ISNUMBER(SEARCH("RED", BL3:BT3)), COLUMN(BL3:BT3) - COLUMN(BL3) + 1, ""))&lt;&gt;"","RED","")</f>
        <v>RED</v>
      </c>
      <c r="HT3" s="48" t="str" cm="1">
        <f t="array" ref="HT3">IF(_xlfn.TEXTJOIN(", ", TRUE, IF(ISNUMBER(SEARCH("YEL", BL3:BT3)), COLUMN(BL3:BT3) - COLUMN(BL3) + 1, ""))&lt;&gt;"","YEL","")</f>
        <v>YEL</v>
      </c>
      <c r="HU3" s="48" t="str" cm="1">
        <f t="array" ref="HU3">IF(_xlfn.TEXTJOIN(", ", TRUE, IF(ISNUMBER(SEARCH("ORA", BL3:BT3)), COLUMN(BL3:BT3) - COLUMN(BL3) + 1, ""))&lt;&gt;"","ORA","")</f>
        <v/>
      </c>
      <c r="HV3" s="48" t="str" cm="1">
        <f t="array" ref="HV3">IF(_xlfn.TEXTJOIN(", ", TRUE, IF(ISNUMBER(SEARCH("BRO", BL3:BT3)), COLUMN(BL3:BT3) - COLUMN(BL3) + 1, ""))&lt;&gt;"","BRO","")</f>
        <v>BRO</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M3" s="45">
        <f>COUNTIF(IC3:IK3,"&gt;0")-CG3</f>
        <v>-7</v>
      </c>
      <c r="IN3" s="78" t="str">
        <f>"http://mkweb.bcgsc.ca/color-summarizer/?url="&amp;D3&amp;"&amp;precision=low&amp;num_clusters="&amp;CG3&amp;"&amp;text=1"</f>
        <v>http://mkweb.bcgsc.ca/color-summarizer/?url=https://upload.wikimedia.org/wikipedia/commons/thumb/f/fd/Flag_of_Mombasa.svg/640px-Flag_of_Mombasa.svg.png&amp;precision=low&amp;num_clusters=7&amp;text=1</v>
      </c>
      <c r="IO3" s="48" t="str">
        <f>IF(HP3&lt;&gt;"",CHAR(34)&amp;"black"&amp;CHAR(34),"")</f>
        <v>"black"</v>
      </c>
      <c r="IP3" s="48" t="str">
        <f>IF(HQ3&lt;&gt;"",CHAR(34)&amp;"blue"&amp;CHAR(34),"")</f>
        <v>"blue"</v>
      </c>
      <c r="IQ3" s="48" t="str">
        <f>IF(HR3&lt;&gt;"",CHAR(34)&amp;"green"&amp;CHAR(34),"")</f>
        <v>"green"</v>
      </c>
      <c r="IR3" s="48" t="str">
        <f>IF(HS3&lt;&gt;"",CHAR(34)&amp;"red"&amp;CHAR(34),"")</f>
        <v>"red"</v>
      </c>
      <c r="IS3" s="48" t="str">
        <f>IF(HT3&lt;&gt;"",CHAR(34)&amp;"yellow"&amp;CHAR(34),"")</f>
        <v>"yellow"</v>
      </c>
      <c r="IT3" s="48" t="str">
        <f>IF(HU3&lt;&gt;"",CHAR(34)&amp;"orange"&amp;CHAR(34),"")</f>
        <v/>
      </c>
      <c r="IU3" s="48" t="str">
        <f>IF(HV3&lt;&gt;"",CHAR(34)&amp;"brown"&amp;CHAR(34),"")</f>
        <v>"brown"</v>
      </c>
      <c r="IV3" s="48" t="str">
        <f>IF(HW3&lt;&gt;"",CHAR(34)&amp;"purple"&amp;CHAR(34),"")</f>
        <v/>
      </c>
      <c r="IW3" s="48" t="str">
        <f>IF(HX3&lt;&gt;"",CHAR(34)&amp;"white"&amp;CHAR(34),"")</f>
        <v>"white"</v>
      </c>
      <c r="IX3" s="48" t="str">
        <f>"{"&amp;CHAR(34)&amp;"url"&amp;CHAR(34)&amp;":"&amp;CHAR(34)&amp;IN3&amp;CHAR(34)&amp;","&amp;CHAR(34)&amp;"name"&amp;CHAR(34)&amp;":"&amp;CHAR(34)&amp;A3&amp;CHAR(34)&amp;"},"</f>
        <v>{"url":"http://mkweb.bcgsc.ca/color-summarizer/?url=https://upload.wikimedia.org/wikipedia/commons/thumb/f/fd/Flag_of_Mombasa.svg/640px-Flag_of_Mombasa.svg.png&amp;precision=low&amp;num_clusters=7&amp;text=1","name":"[KEN] Mombasa County"},</v>
      </c>
      <c r="IY3" s="48">
        <v>1327</v>
      </c>
    </row>
    <row r="4" spans="1:259" s="48" customFormat="1" ht="38.4" customHeight="1" thickBot="1" x14ac:dyDescent="0.35">
      <c r="A4" s="79" t="s">
        <v>916</v>
      </c>
      <c r="B4" s="40" t="e" vm="57">
        <v>#VALUE!</v>
      </c>
      <c r="C4" s="41">
        <v>2</v>
      </c>
      <c r="D4" s="42" t="s">
        <v>917</v>
      </c>
      <c r="E4" s="43" t="s">
        <v>918</v>
      </c>
      <c r="F4" s="44" t="s">
        <v>163</v>
      </c>
      <c r="G4" s="45">
        <f>COUNTIF($A$1:$A$8348,A4)</f>
        <v>1</v>
      </c>
      <c r="H4" s="46"/>
      <c r="I4" s="47" t="s">
        <v>919</v>
      </c>
      <c r="J4" s="48" t="str">
        <f>""</f>
        <v/>
      </c>
      <c r="K4" s="49"/>
      <c r="L4" s="50"/>
      <c r="M4" s="50"/>
      <c r="N4" s="51" t="s">
        <v>180</v>
      </c>
      <c r="O4" s="52" t="s">
        <v>170</v>
      </c>
      <c r="P4" s="53" t="s">
        <v>633</v>
      </c>
      <c r="Q4" s="54">
        <v>1</v>
      </c>
      <c r="R4" s="55" t="s">
        <v>180</v>
      </c>
      <c r="S4" s="56">
        <v>0</v>
      </c>
      <c r="T4" s="57" t="s">
        <v>164</v>
      </c>
      <c r="U4" s="58" t="s">
        <v>164</v>
      </c>
      <c r="V4" s="58" t="s">
        <v>164</v>
      </c>
      <c r="W4" s="58" t="s">
        <v>164</v>
      </c>
      <c r="X4" s="58" t="s">
        <v>167</v>
      </c>
      <c r="Y4" s="58" t="s">
        <v>164</v>
      </c>
      <c r="Z4" s="58" t="s">
        <v>164</v>
      </c>
      <c r="AA4" s="58" t="s">
        <v>164</v>
      </c>
      <c r="AB4" s="58" t="s">
        <v>164</v>
      </c>
      <c r="AC4" s="58" t="s">
        <v>164</v>
      </c>
      <c r="AD4" s="58" t="s">
        <v>164</v>
      </c>
      <c r="AE4" s="58" t="s">
        <v>164</v>
      </c>
      <c r="AF4" s="59" t="s">
        <v>164</v>
      </c>
      <c r="AG4" s="59" t="s">
        <v>164</v>
      </c>
      <c r="AH4" s="59" t="s">
        <v>167</v>
      </c>
      <c r="AI4" s="59" t="s">
        <v>164</v>
      </c>
      <c r="AJ4" s="59" t="s">
        <v>164</v>
      </c>
      <c r="AK4" s="59" t="s">
        <v>164</v>
      </c>
      <c r="AL4" s="59" t="s">
        <v>164</v>
      </c>
      <c r="AM4" s="59" t="s">
        <v>164</v>
      </c>
      <c r="AN4" s="59" t="s">
        <v>164</v>
      </c>
      <c r="AO4" s="59" t="s">
        <v>164</v>
      </c>
      <c r="AP4" s="59" t="s">
        <v>164</v>
      </c>
      <c r="AQ4" s="59" t="s">
        <v>164</v>
      </c>
      <c r="AR4" s="59" t="s">
        <v>164</v>
      </c>
      <c r="AS4" s="59" t="s">
        <v>164</v>
      </c>
      <c r="AT4" s="60">
        <v>0</v>
      </c>
      <c r="AU4" s="59" t="s">
        <v>171</v>
      </c>
      <c r="AV4" s="59" t="str">
        <f>IF(LEFT(A4,1)="[",LEFT(A4,5)&amp;AU4&amp;A4,"")</f>
        <v>[KEN]Capital City[KEN] Nairobi</v>
      </c>
      <c r="AW4" s="59" t="str">
        <f t="shared" si="0"/>
        <v>2[KEN] Nairobi</v>
      </c>
      <c r="AX4" s="61"/>
      <c r="AY4" s="61"/>
      <c r="AZ4" s="62"/>
      <c r="BA4" s="62"/>
      <c r="BB4" s="62"/>
      <c r="BC4" s="63"/>
      <c r="BD4" s="64" t="s">
        <v>169</v>
      </c>
      <c r="BE4" s="47"/>
      <c r="BF4" s="64"/>
      <c r="BG4" s="64"/>
      <c r="BH4" s="64"/>
      <c r="BI4" s="64"/>
      <c r="BJ4" s="64"/>
      <c r="BK4" s="47"/>
      <c r="BL4" s="64" t="s">
        <v>153</v>
      </c>
      <c r="BM4" s="64" t="s">
        <v>155</v>
      </c>
      <c r="BN4" s="64" t="s">
        <v>159</v>
      </c>
      <c r="BO4" s="64" t="s">
        <v>152</v>
      </c>
      <c r="BP4" s="64"/>
      <c r="BQ4" s="64"/>
      <c r="BR4" s="64"/>
      <c r="BS4" s="64"/>
      <c r="BT4" s="64"/>
      <c r="BU4" s="65"/>
      <c r="BV4" s="66"/>
      <c r="BW4" s="66">
        <v>0</v>
      </c>
      <c r="BX4" s="47"/>
      <c r="CB4" s="6"/>
      <c r="CC4" s="6"/>
      <c r="CD4" s="67">
        <v>0</v>
      </c>
      <c r="CE4" s="67">
        <v>0</v>
      </c>
      <c r="CF4" s="67" t="e">
        <v>#REF!</v>
      </c>
      <c r="CG4" s="68" cm="1">
        <f t="array" ref="CG4">SUMPRODUCT(--(LEN(TRIM(BL4:BT4))&gt;0))</f>
        <v>4</v>
      </c>
      <c r="CH4" s="59" t="str">
        <f>IF(CG4=2,"y","n")</f>
        <v>n</v>
      </c>
      <c r="CI4" s="59" t="str">
        <f>IF(CG4=3,"y","n")</f>
        <v>n</v>
      </c>
      <c r="CJ4" s="59" t="str">
        <f>IF(CG4=4,"y","n")</f>
        <v>y</v>
      </c>
      <c r="CK4" s="59" t="str">
        <f>IF(CG4&gt;4,"y","n")</f>
        <v>n</v>
      </c>
      <c r="CL4" s="59" t="str">
        <f>IF(S4=0,"y","n")</f>
        <v>y</v>
      </c>
      <c r="CM4" s="59" t="str">
        <f>IF(S4=2,"y","n")</f>
        <v>n</v>
      </c>
      <c r="CN4" s="59" t="str">
        <f>IF(S4=3,"y","n")</f>
        <v>n</v>
      </c>
      <c r="CO4" s="59" t="str">
        <f>IF(S4&gt;=4,"y","n")</f>
        <v>n</v>
      </c>
      <c r="CP4" s="59" t="str">
        <f>IF(AT4=0,"y","n")</f>
        <v>y</v>
      </c>
      <c r="CQ4" s="59" t="str">
        <f>IF(AT4=1,"y","n")</f>
        <v>n</v>
      </c>
      <c r="CR4" s="59" t="str">
        <f>IF(AT4=2,"y","n")</f>
        <v>n</v>
      </c>
      <c r="CS4" s="59" t="str">
        <f>IF(AT4&gt;=3,"y","n")</f>
        <v>n</v>
      </c>
      <c r="CT4" s="69" t="str">
        <f>CHAR(34)&amp;A4&amp;CHAR(34)</f>
        <v>"[KEN] Nairobi"</v>
      </c>
      <c r="CU4" s="70" t="str">
        <f>CHAR(34)&amp;"rgn_"&amp;R4&amp;CHAR(34)</f>
        <v>"rgn_Africa"</v>
      </c>
      <c r="CV4" s="48" t="str">
        <f>CHAR(34)&amp;D4&amp;CHAR(34)</f>
        <v>"https://upload.wikimedia.org/wikipedia/commons/thumb/8/84/Flag_of_Nairobi.svg/640px-Flag_of_Nairobi.svg.png"</v>
      </c>
      <c r="CW4" s="48" t="str">
        <f>IF(CH4="y",CHAR(34)&amp;CH$1&amp;CHAR(34)&amp;",","")</f>
        <v/>
      </c>
      <c r="CX4" s="48" t="str">
        <f>IF(CI4="y",CHAR(34)&amp;CI$1&amp;CHAR(34)&amp;",","")</f>
        <v/>
      </c>
      <c r="CY4" s="48" t="str">
        <f>IF(CJ4="y",CHAR(34)&amp;CJ$1&amp;CHAR(34)&amp;",","")</f>
        <v>"4Color",</v>
      </c>
      <c r="CZ4" s="48" t="str">
        <f>IF(CK4="y",CHAR(34)&amp;CK$1&amp;CHAR(34)&amp;",","")</f>
        <v/>
      </c>
      <c r="DA4" s="48" t="str">
        <f>IF(Q4&gt;1,CHAR(34)&amp;"words2"&amp;CHAR(34)&amp;",","")</f>
        <v/>
      </c>
      <c r="DB4" s="48" t="str">
        <f>IF(Q4&gt;2,CHAR(34)&amp;"words3"&amp;CHAR(34)&amp;",","")</f>
        <v/>
      </c>
      <c r="DD4" s="48" t="str">
        <f>IF(LEN(CHAR(34)&amp;"lets"&amp;LEN(SUBSTITUTE(SUBSTITUTE(IFERROR(TRIM(SUBSTITUTE(A4,MID(A4,FIND("[",A4),FIND("]",A4)-FIND("[",A4)+1),"")),A4)," ",""),"-",""))&amp;CHAR(34)&amp;",")=9,CHAR(34)&amp;"lets"&amp;LEN(SUBSTITUTE(SUBSTITUTE(IFERROR(TRIM(SUBSTITUTE(A4,MID(A4,FIND("[",A4),FIND("]",A4)-FIND("[",A4)+1),"")),A4)," ",""),"-",""))&amp;CHAR(34)&amp;",",CHAR(34)&amp;"lets0"&amp;LEN(SUBSTITUTE(SUBSTITUTE(IFERROR(TRIM(SUBSTITUTE(A4,MID(A4,FIND("[",A4),FIND("]",A4)-FIND("[",A4)+1),"")),A4)," ",""),"-",""))&amp;CHAR(34)&amp;",")</f>
        <v>"lets07",</v>
      </c>
      <c r="DE4" s="48" t="str">
        <f>CHAR(34)&amp;"start"&amp;IFERROR(LEFT(SUBSTITUTE(A4,"["&amp;MID(A4,FIND("[",A4)+1,FIND("]",A4)-FIND("[",A4)-1)&amp;"] ",""),1),LEFT(A4,1))&amp;CHAR(34)&amp;","</f>
        <v>"startN",</v>
      </c>
      <c r="DF4" s="48" t="str">
        <f>IFERROR(IF(SEARCH("tan",A4)&gt;0,CHAR(34)&amp;"withtn"&amp;CHAR(34)&amp;",",""),"")</f>
        <v/>
      </c>
      <c r="DG4" s="48" t="str">
        <f>IFERROR(IF(SEARCH("q",A4)&gt;0,CHAR(34)&amp;"with_q"&amp;CHAR(34)&amp;",",""),"")</f>
        <v/>
      </c>
      <c r="DH4" s="48" t="str">
        <f>IFERROR(IF(SEARCH("v",A4)&gt;0,CHAR(34)&amp;"with_v"&amp;CHAR(34)&amp;",",""),"")</f>
        <v/>
      </c>
      <c r="DI4" s="48" t="str">
        <f>IFERROR(IF(SEARCH("w",A4)&gt;0,CHAR(34)&amp;"with_w"&amp;CHAR(34)&amp;",",""),"")</f>
        <v/>
      </c>
      <c r="DJ4" s="48" t="str">
        <f>IFERROR(IF(SEARCH("y",A4)&gt;0,CHAR(34)&amp;"with_y"&amp;CHAR(34)&amp;",",""),"")</f>
        <v/>
      </c>
      <c r="DK4" s="48" t="str">
        <f>IFERROR(IF(SEARCH("z",A4)&gt;0,CHAR(34)&amp;"with_z"&amp;CHAR(34)&amp;",",""),"")</f>
        <v/>
      </c>
      <c r="DL4" s="48" t="str">
        <f>IF(CG4=2, CHAR(34) &amp; _xlfn.TEXTJOIN("", TRUE, _xlfn._xlws.SORT(HP4:HX4)) &amp; CHAR(34) &amp; ",", "")</f>
        <v/>
      </c>
      <c r="DM4" s="48" t="str" cm="1">
        <f t="array" ref="DM4">IF(CG4=3,CHAR(34) &amp; _xlfn.TEXTJOIN("", TRUE, RIGHT(HP4:HX4, 2)) &amp; CHAR(34) &amp; ",", "")</f>
        <v/>
      </c>
      <c r="DN4" s="48" t="str">
        <f>IF(AND(ISNUMBER(SEARCH("18", O4)), ISERROR(SEARCH("1918", O4)), ISERROR(SEARCH("2018", O4))), CHAR(34) &amp; "year18" &amp; CHAR(34) &amp; ",", "")</f>
        <v/>
      </c>
      <c r="DO4" s="48" t="str">
        <f>IF(AND(ISNUMBER(SEARCH("19", O4)), ISERROR(SEARCH("1819", O4)),  ISERROR(SEARCH("1219", O4)),ISERROR(SEARCH("1119", O4)),ISERROR(SEARCH("1190", O4)),ISERROR(SEARCH("2019", O4))), CHAR(34) &amp; "year19" &amp; CHAR(34) &amp; ",", "")</f>
        <v/>
      </c>
      <c r="DP4" s="6" t="str">
        <f>IF(AND(ISNUMBER(SEARCH("20", O4)), ISERROR(SEARCH("1920", O4))), CHAR(34)&amp;"year00"&amp;CHAR(34)&amp;",", "")</f>
        <v/>
      </c>
      <c r="DQ4" s="6" t="str">
        <f>IF(CC4="y",CHAR(34)&amp;"soviet"&amp;CHAR(34)&amp;",","")</f>
        <v/>
      </c>
      <c r="DR4" s="6" t="str">
        <f>IF(BY4="y",CHAR(34)&amp;"dgband"&amp;CHAR(34)&amp;",","")</f>
        <v/>
      </c>
      <c r="DS4" s="6" t="str">
        <f>IF(W4="y",IF(AND(V4="n",BY4&lt;&gt;"y"),CHAR(34)&amp;"allver"&amp;CHAR(34)&amp;",",""),"")</f>
        <v/>
      </c>
      <c r="DT4" s="6" t="str">
        <f>IF(V4="y",IF(AND(W4="n",BY4&lt;&gt;"y"),CHAR(34)&amp;"allhor"&amp;CHAR(34)&amp;",",""),"")</f>
        <v/>
      </c>
      <c r="DU4" s="6" t="str">
        <f>IF(BY4="y",IF(AND(W4="n",V4="n"),CHAR(34)&amp;"alldia"&amp;CHAR(34)&amp;",",""),"")</f>
        <v/>
      </c>
      <c r="DW4" s="48" t="str">
        <f>IF(CL4="y",CHAR(34)&amp;CL$1&amp;CHAR(34)&amp;",","")</f>
        <v>"NoBand",</v>
      </c>
      <c r="DX4" s="48" t="str">
        <f>IF(CM4="y",CHAR(34)&amp;CM$1&amp;CHAR(34)&amp;",","")</f>
        <v/>
      </c>
      <c r="DY4" s="48" t="str">
        <f>IF(CN4="y",CHAR(34)&amp;CN$1&amp;CHAR(34)&amp;",","")</f>
        <v/>
      </c>
      <c r="DZ4" s="48" t="str">
        <f>IF(CO4="y",CHAR(34)&amp;CO$1&amp;CHAR(34)&amp;",","")</f>
        <v/>
      </c>
      <c r="EA4" s="48" t="str">
        <f>IF(T4="y",CHAR(34)&amp;T$1&amp;CHAR(34)&amp;",","")</f>
        <v/>
      </c>
      <c r="EB4" s="48" t="str">
        <f>IF(U4="y",CHAR(34)&amp;U$1&amp;CHAR(34)&amp;",","")</f>
        <v/>
      </c>
      <c r="EC4" s="48" t="str">
        <f>IF(V4="y",CHAR(34)&amp;V$1&amp;CHAR(34)&amp;",","")</f>
        <v/>
      </c>
      <c r="ED4" s="48" t="str">
        <f>IF(W4="y",CHAR(34)&amp;W$1&amp;CHAR(34)&amp;",","")</f>
        <v/>
      </c>
      <c r="EE4" s="48" t="str">
        <f>IF(X4="y",CHAR(34)&amp;X$1&amp;CHAR(34)&amp;",","")</f>
        <v>"Circle",</v>
      </c>
      <c r="EF4" s="48" t="str">
        <f>IF(AND(Y4&lt;&gt;"n",Y4&lt;&gt;""),CHAR(34)&amp;Y$1&amp;CHAR(34)&amp;",","")</f>
        <v/>
      </c>
      <c r="EG4" s="48" t="str">
        <f>IF(Z4="y",CHAR(34)&amp;Z$1&amp;CHAR(34)&amp;",","")</f>
        <v/>
      </c>
      <c r="EH4" s="48" t="str">
        <f>IF(AA4="y",CHAR(34)&amp;AA$1&amp;CHAR(34)&amp;",","")</f>
        <v/>
      </c>
      <c r="EI4" s="48" t="str">
        <f>IF(AB4="y",CHAR(34)&amp;AB$1&amp;CHAR(34)&amp;",","")</f>
        <v/>
      </c>
      <c r="EJ4" s="48" t="str">
        <f>IF(AC4="y",CHAR(34)&amp;AC$1&amp;CHAR(34)&amp;",","")</f>
        <v/>
      </c>
      <c r="EK4" s="48" t="str">
        <f>IF(AD4="y",CHAR(34)&amp;AD$1&amp;CHAR(34)&amp;",","")</f>
        <v/>
      </c>
      <c r="EL4" s="48" t="str">
        <f>IF(AE4="y",CHAR(34)&amp;AE$1&amp;CHAR(34)&amp;",","")</f>
        <v/>
      </c>
      <c r="EM4" s="48" t="str">
        <f>IF(AF4="y",CHAR(34)&amp;AF$1&amp;CHAR(34)&amp;",","")</f>
        <v/>
      </c>
      <c r="EN4" s="48" t="str">
        <f>IF(AG4="y",CHAR(34)&amp;AG$1&amp;CHAR(34)&amp;",","")</f>
        <v/>
      </c>
      <c r="EO4" s="48" t="str">
        <f>IF(AH4="y",CHAR(34)&amp;AH$1&amp;CHAR(34)&amp;",","")</f>
        <v>"Center",</v>
      </c>
      <c r="EP4" s="48" t="str">
        <f>IF(AI4="y",CHAR(34)&amp;AI$1&amp;CHAR(34)&amp;",","")</f>
        <v/>
      </c>
      <c r="EQ4" s="48" t="str">
        <f>IF(AJ4="y",CHAR(34)&amp;AJ$1&amp;CHAR(34)&amp;",","")</f>
        <v/>
      </c>
      <c r="ER4" s="48" t="str">
        <f>IF(AK4="y",CHAR(34)&amp;AK$1&amp;CHAR(34)&amp;",","")</f>
        <v/>
      </c>
      <c r="ES4" s="48" t="str">
        <f>IF(AL4="y",CHAR(34)&amp;AL$1&amp;CHAR(34)&amp;",","")</f>
        <v/>
      </c>
      <c r="ET4" s="48" t="str">
        <f>IF(AM4="y",CHAR(34)&amp;AM$1&amp;CHAR(34)&amp;",","")</f>
        <v/>
      </c>
      <c r="EU4" s="48" t="str">
        <f>IF(AN4="y",CHAR(34)&amp;AN$1&amp;CHAR(34)&amp;",","")</f>
        <v/>
      </c>
      <c r="EV4" s="48" t="str">
        <f>IF(AO4="y",CHAR(34)&amp;AO$1&amp;CHAR(34)&amp;",","")</f>
        <v/>
      </c>
      <c r="EW4" s="48" t="str">
        <f>IF(AP4="y",CHAR(34)&amp;AP$1&amp;CHAR(34)&amp;",","")</f>
        <v/>
      </c>
      <c r="EX4" s="48" t="str">
        <f>IF(AQ4="y",CHAR(34)&amp;AQ$1&amp;CHAR(34)&amp;",","")</f>
        <v/>
      </c>
      <c r="EY4" s="48" t="str">
        <f>IF(AR4="y",CHAR(34)&amp;AR$1&amp;CHAR(34)&amp;",","")</f>
        <v/>
      </c>
      <c r="EZ4" s="48" t="str">
        <f>IF(AS4="y",CHAR(34)&amp;AS$1&amp;CHAR(34)&amp;",","")</f>
        <v/>
      </c>
      <c r="FA4" s="48" t="str">
        <f>IF(AT4&gt;0,CHAR(34)&amp;"sta"&amp;AZ4&amp;CHAR(34)&amp;",","")</f>
        <v/>
      </c>
      <c r="FB4" s="48" t="str">
        <f>IF(AND(AT4&gt;0,BA4&lt;&gt;""),CHAR(34)&amp;"sta"&amp;BA4&amp;CHAR(34)&amp;",","")</f>
        <v/>
      </c>
      <c r="FD4" s="48" t="str">
        <f>IF(BV4="n",CHAR(34)&amp;"tcWHYE"&amp;CHAR(34)&amp;",",IF(BV4="y",CHAR(34)&amp;FD$1&amp;CHAR(34)&amp;",",""))</f>
        <v/>
      </c>
      <c r="FE4" s="48" t="str">
        <f>IF(COUNTIF(BL4:BT4,"BLU")=0,CHAR(34)&amp;"NO_BLU"&amp;CHAR(34)&amp;",", "")</f>
        <v/>
      </c>
      <c r="FF4" s="48" t="str">
        <f>IF(COUNTIF(BL4:BT4,"WHI")=0,CHAR(34)&amp;"NO_WHI"&amp;CHAR(34)&amp;",", "")</f>
        <v/>
      </c>
      <c r="FG4" s="48" t="str">
        <f>IF(COUNTIF(BL4:BT4,"RED")=0,CHAR(34)&amp;"NO_RED"&amp;CHAR(34)&amp;",", "")</f>
        <v>"NO_RED",</v>
      </c>
      <c r="FH4" s="48" t="str">
        <f>IF(COUNTIF(BL4:BS4,"GRE")=0,CHAR(34)&amp;"NO_GRE"&amp;CHAR(34)&amp;",", "")</f>
        <v/>
      </c>
      <c r="FI4" s="48" t="str">
        <f>IF(COUNTIF(BL4:BT4,"YEL")=0,CHAR(34)&amp;"NO_YEL"&amp;CHAR(34)&amp;",", "")</f>
        <v/>
      </c>
      <c r="FJ4" s="48" t="str">
        <f>IF(COUNTIF(BL4:BT4,"BLA")=0,CHAR(34)&amp;"NO_BLA"&amp;CHAR(34)&amp;",", "")</f>
        <v>"NO_BLA",</v>
      </c>
      <c r="FK4" s="48" t="str">
        <f>IF(AND(FH4&lt;&gt;"",FF4&lt;&gt;""),CHAR(34)&amp;"WHGRNO"&amp;CHAR(34)&amp;",","")</f>
        <v/>
      </c>
      <c r="FL4" s="48" t="str">
        <f>IF(AND(FI4&lt;&gt;"",FF4&lt;&gt;""),CHAR(34)&amp;"WHYENO"&amp;CHAR(34)&amp;",","")</f>
        <v/>
      </c>
      <c r="FM4" s="48" t="str">
        <f>IF(AND(FJ4&lt;&gt;"",FF4&lt;&gt;""),CHAR(34)&amp;"BAWHNO"&amp;CHAR(34)&amp;",","")</f>
        <v/>
      </c>
      <c r="FN4" s="48" t="str">
        <f>IF(AND(FE4&lt;&gt;"",FF4&lt;&gt;""),CHAR(34)&amp;"BLWHNO"&amp;CHAR(34)&amp;",","")</f>
        <v/>
      </c>
      <c r="FO4" s="48" t="str">
        <f>IF(AND(FE4&lt;&gt;"",FG4&lt;&gt;""),CHAR(34)&amp;"BLRENO"&amp;CHAR(34)&amp;",","")</f>
        <v/>
      </c>
      <c r="FP4" s="48" t="str">
        <f>IF(AND(FF4&lt;&gt;"",FF4&lt;&gt;""),CHAR(34)&amp;"WHRENO"&amp;CHAR(34)&amp;",","")</f>
        <v/>
      </c>
      <c r="FQ4" s="48" t="str">
        <f>IF(LEN(BF4)=3,CHAR(34)&amp;"001"&amp;BF4&amp;CHAR(34)&amp;",","")</f>
        <v/>
      </c>
      <c r="FR4" s="48" t="str">
        <f>IF(LEN(BG4)=3,CHAR(34)&amp;"002"&amp;BG4&amp;CHAR(34)&amp;",","")</f>
        <v/>
      </c>
      <c r="FS4" s="48" t="str">
        <f>IF(LEN(BH4)=3,CHAR(34)&amp;"003"&amp;BH4&amp;CHAR(34)&amp;",","")</f>
        <v/>
      </c>
      <c r="FT4" s="48" t="str">
        <f>CHAR(34)&amp;"myr"&amp;BD4&amp;CHAR(34)&amp;","</f>
        <v>"myrEQ",</v>
      </c>
      <c r="FU4" s="48" t="str">
        <f>IF(AY4="y",CHAR(34)&amp;"island"&amp;CHAR(34)&amp;",","")</f>
        <v/>
      </c>
      <c r="FV4" s="48" t="str">
        <f>IF(BZ4="y",CHAR(34)&amp;"landlo"&amp;CHAR(34)&amp;",","")</f>
        <v/>
      </c>
      <c r="FW4" s="48" t="str">
        <f>IF(CA4="y",CHAR(34)&amp;"eunion"&amp;CHAR(34)&amp;",","")</f>
        <v/>
      </c>
      <c r="FY4" s="48" t="str">
        <f>IFERROR(IF(SEARCH("Arabic",CB4)&gt;0,CHAR(34)&amp;"arabic"&amp;CHAR(34)&amp;",",""),"")</f>
        <v/>
      </c>
      <c r="FZ4" s="48" t="str">
        <f>IFERROR(IF(SEARCH("English",CB4)&gt;0,CHAR(34)&amp;"englis"&amp;CHAR(34)&amp;",",""),"")</f>
        <v/>
      </c>
      <c r="GA4" s="48" t="str">
        <f>IFERROR(IF(SEARCH("French",CB4)&gt;0,CHAR(34)&amp;"french"&amp;CHAR(34)&amp;",",""),"")</f>
        <v/>
      </c>
      <c r="GB4" s="48" t="str">
        <f>IFERROR(IF(SEARCH("Spanish",CB4)&gt;0,CHAR(34)&amp;"spanis"&amp;CHAR(34)&amp;",",""),"")</f>
        <v/>
      </c>
      <c r="GE4" s="48" t="str">
        <f>IFERROR(IF(SEARCH("Dutch",CB4)&gt;0,CHAR(34)&amp;"dutchs"&amp;CHAR(34)&amp;",",""),"")</f>
        <v/>
      </c>
      <c r="GF4" s="48" t="str">
        <f>IFERROR(IF(SEARCH("Historical",AU4)&gt;0,CHAR(34)&amp;"histor"&amp;CHAR(34)&amp;",",""),"")</f>
        <v/>
      </c>
      <c r="GG4" s="48" t="str">
        <f>IF(BU4="y",CHAR(34)&amp;"unjack"&amp;CHAR(34)&amp;",","")</f>
        <v/>
      </c>
      <c r="GH4" s="48" t="str">
        <f>IF(CD4=1,CHAR(34)&amp;"southc"&amp;CHAR(34)&amp;",","")</f>
        <v/>
      </c>
      <c r="GI4" s="48" t="str">
        <f>IF(CE4=1,CHAR(34)&amp;"hasmap"&amp;CHAR(34)&amp;",","")</f>
        <v/>
      </c>
      <c r="GJ4" s="48" t="str">
        <f>IF(CP4="y",CHAR(34)&amp;CP$1&amp;CHAR(34)&amp;",","")</f>
        <v>"NoStar",</v>
      </c>
      <c r="GK4" s="48" t="str">
        <f>IF(GJ4="",CHAR(34)&amp;"HasSta"&amp;CHAR(34)&amp;",","")</f>
        <v/>
      </c>
      <c r="GL4" s="48" t="str">
        <f>IF(CQ4="y",CHAR(34)&amp;CQ$1&amp;CHAR(34)&amp;",","")</f>
        <v/>
      </c>
      <c r="GM4" s="48" t="str">
        <f>IF(CR4="y",CHAR(34)&amp;CR$1&amp;CHAR(34)&amp;",","")</f>
        <v/>
      </c>
      <c r="GN4" s="48" t="str">
        <f>IF(CS4="y",CHAR(34)&amp;CS$1&amp;CHAR(34)&amp;",","")</f>
        <v/>
      </c>
      <c r="GP4" s="48" t="str">
        <f>CHAR(34)&amp;AU4&amp;CHAR(34)</f>
        <v>"Capital City"</v>
      </c>
      <c r="GS4" s="48" t="str">
        <f>SUBSTITUTE("["&amp;_xlfn.CONCAT(CW4:GN4)&amp;"]",",]","]")</f>
        <v>["4Color","lets07","startN","NoBand","Circle","Center","NO_RED","NO_BLA","myrEQ","NoStar"]</v>
      </c>
      <c r="GT4" s="48" t="str">
        <f>IF(BL4&lt;&gt;"",CHAR(34)&amp;"cl_"&amp;BL4&amp;CHAR(34)&amp;",","")</f>
        <v>"cl_GRE",</v>
      </c>
      <c r="GU4" s="48" t="str">
        <f>IF(BM4&lt;&gt;"",CHAR(34)&amp;"cl_"&amp;BM4&amp;CHAR(34)&amp;",","")</f>
        <v>"cl_YEL",</v>
      </c>
      <c r="GV4" s="48" t="str">
        <f>IF(BN4&lt;&gt;"",CHAR(34)&amp;"cl_"&amp;BN4&amp;CHAR(34)&amp;",","")</f>
        <v>"cl_WHI",</v>
      </c>
      <c r="GW4" s="48" t="str">
        <f>IF(BO4&lt;&gt;"",CHAR(34)&amp;"cl_"&amp;BO4&amp;CHAR(34)&amp;",","")</f>
        <v>"cl_BLU",</v>
      </c>
      <c r="GX4" s="48" t="str">
        <f>IF(BP4&lt;&gt;"",CHAR(34)&amp;"cl_"&amp;BP4&amp;CHAR(34)&amp;",","")</f>
        <v/>
      </c>
      <c r="GY4" s="48" t="str">
        <f>IF(BQ4&lt;&gt;"",CHAR(34)&amp;"cl_"&amp;BQ4&amp;CHAR(34)&amp;",","")</f>
        <v/>
      </c>
      <c r="GZ4" s="48" t="str">
        <f>IF(BR4&lt;&gt;"",CHAR(34)&amp;"cl_"&amp;BR4&amp;CHAR(34)&amp;",","")</f>
        <v/>
      </c>
      <c r="HA4" s="48" t="str">
        <f>IF(BS4&lt;&gt;"",CHAR(34)&amp;"cl_"&amp;BS4&amp;CHAR(34)&amp;",","")</f>
        <v/>
      </c>
      <c r="HB4" s="48" t="str">
        <f>IF(BT4&lt;&gt;"",CHAR(34)&amp;"cl_"&amp;BT4&amp;CHAR(34)&amp;",","")</f>
        <v/>
      </c>
      <c r="HC4" s="48" t="str">
        <f>SUBSTITUTE("["&amp;_xlfn.CONCAT(GT4:HB4)&amp;"]",",]","]")</f>
        <v>["cl_GRE","cl_YEL","cl_WHI","cl_BLU"]</v>
      </c>
      <c r="HE4" s="71"/>
      <c r="HF4" s="72" t="str">
        <f>"{couname:"&amp;CT4&amp;(IF(HK4&lt;&gt;"",",subtype:"&amp;CHAR(34)&amp;HK4&amp;CHAR(34),""))&amp;",year:"&amp;HJ4&amp;",region:"&amp;CU4&amp;",Colors:"&amp;HC4&amp;",Items:"&amp;GS4&amp;",Flag:"&amp;CV4&amp;",HDFlag:"&amp;CHAR(34)&amp;E4&amp;CHAR(34)&amp;",type:"&amp;GP4&amp;", describe: "&amp;HH4&amp;", isnew:"&amp;CHAR(34)&amp;F4&amp;CHAR(34)&amp;", links: "&amp;HL4&amp;"},"</f>
        <v>{couname:"[KEN] Nairobi",year:"???",region:"rgn_Africa",Colors:["cl_GRE","cl_YEL","cl_WHI","cl_BLU"],Items:["4Color","lets07","startN","NoBand","Circle","Center","NO_RED","NO_BLA","myrEQ","NoStar"],Flag:"https://upload.wikimedia.org/wikipedia/commons/thumb/8/84/Flag_of_Nairobi.svg/640px-Flag_of_Nairobi.svg.png",HDFlag:"https://upload.wikimedia.org/wikipedia/commons/thumb/8/84/Flag_of_Nairobi.svg/2560px-Flag_of_Nairobi.svg.png",type:"Capital City", describe: "\nNot available", isnew:".", links: "https://en.wikipedia.org/wiki/Nairobi"},</v>
      </c>
      <c r="HG4" s="73" t="str">
        <f>"{couname:"&amp;CT4&amp;(IF(HK4&lt;&gt;"",",subtype:"&amp;CHAR(34)&amp;HK4&amp;CHAR(34),""))&amp;",year:"&amp;HJ4&amp;",region:"&amp;CU4&amp;",Colors:"&amp;HC4&amp;",Items:"&amp;GS4&amp;",Flag:"&amp;CV4&amp;",HDFlag:"&amp;CHAR(34)&amp;E4&amp;CHAR(34)&amp;",type:"&amp;GP4&amp;", describe: "&amp;HI4&amp;", links: "&amp;HL4&amp;"},"</f>
        <v>{couname:"[KEN] Nairobi",year:"???",region:"rgn_Africa",Colors:["cl_GRE","cl_YEL","cl_WHI","cl_BLU"],Items:["4Color","lets07","startN","NoBand","Circle","Center","NO_RED","NO_BLA","myrEQ","NoStar"],Flag:"https://upload.wikimedia.org/wikipedia/commons/thumb/8/84/Flag_of_Nairobi.svg/640px-Flag_of_Nairobi.svg.png",HDFlag:"https://upload.wikimedia.org/wikipedia/commons/thumb/8/84/Flag_of_Nairobi.svg/2560px-Flag_of_Nairobi.svg.png",type:"Capital City", describe: "\nNot available", links: "https://en.wikipedia.org/wiki/Nairobi"},</v>
      </c>
      <c r="HH4" s="48" t="str">
        <f>IF(P4&lt;&gt;"",CHAR(34)&amp;"\n"&amp;P4&amp;CHAR(34),CHAR(34)&amp;CHAR(34))</f>
        <v>"\nNot available"</v>
      </c>
      <c r="HI4" s="48" t="str">
        <f>IF(J4=0,CHAR(34)&amp;CHAR(34),HH4)</f>
        <v>"\nNot available"</v>
      </c>
      <c r="HJ4" s="48" t="str">
        <f>CHAR(34)&amp;O4&amp;CHAR(34)</f>
        <v>"???"</v>
      </c>
      <c r="HL4" s="48" t="str">
        <f>CHAR(34)&amp;I4&amp;CHAR(34)</f>
        <v>"https://en.wikipedia.org/wiki/Nairobi"</v>
      </c>
      <c r="HM4" s="72"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"&amp;HH4&amp;", "&amp;CHAR(34)&amp;"isnew"&amp;CHAR(34)&amp;": "&amp;CHAR(34)&amp;F4&amp;CHAR(34)&amp;", "&amp;CHAR(34)&amp;"links"&amp;CHAR(34)&amp;": "&amp;HL4&amp;"},"</f>
        <v>{"couname":"[KEN] Nairobi","year":"???","region":"rgn_Africa","Colors":["cl_GRE","cl_YEL","cl_WHI","cl_BLU"],"Items":["4Color","lets07","startN","NoBand","Circle","Center","NO_RED","NO_BLA","myrEQ","NoStar"],"Flag":"https://upload.wikimedia.org/wikipedia/commons/thumb/8/84/Flag_of_Nairobi.svg/640px-Flag_of_Nairobi.svg.png","HDFlag":"https://upload.wikimedia.org/wikipedia/commons/thumb/8/84/Flag_of_Nairobi.svg/2560px-Flag_of_Nairobi.svg.png","type":"Capital City", "describe": "\nNot available", "isnew": ".", "links": "https://en.wikipedia.org/wiki/Nairobi"},</v>
      </c>
      <c r="HN4" s="74"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"&amp;HI4&amp;", "&amp;CHAR(34)&amp;"isnew"&amp;CHAR(34)&amp;": "&amp;CHAR(34)&amp;F4&amp;CHAR(34)&amp;", "&amp;CHAR(34)&amp;"links"&amp;CHAR(34)&amp;": "&amp;HL4&amp;"},"</f>
        <v>{"couname":"[KEN] Nairobi","year":"???","region":"rgn_Africa","Colors":["cl_GRE","cl_YEL","cl_WHI","cl_BLU"],"Items":["4Color","lets07","startN","NoBand","Circle","Center","NO_RED","NO_BLA","myrEQ","NoStar"],"Flag":"https://upload.wikimedia.org/wikipedia/commons/thumb/8/84/Flag_of_Nairobi.svg/640px-Flag_of_Nairobi.svg.png","HDFlag":"https://upload.wikimedia.org/wikipedia/commons/thumb/8/84/Flag_of_Nairobi.svg/2560px-Flag_of_Nairobi.svg.png","type":"Capital City", "describe": "\nNot available", "isnew": ".", "links": "https://en.wikipedia.org/wiki/Nairobi"},</v>
      </c>
      <c r="HO4" s="75">
        <v>45596</v>
      </c>
      <c r="HP4" s="48" t="str" cm="1">
        <f t="array" ref="HP4">IF(_xlfn.TEXTJOIN(", ", TRUE, IF(ISNUMBER(SEARCH("BLA", BL4:BT4)), COLUMN(BL4:BT4) - COLUMN(BL4) + 1, ""))&lt;&gt;"","BLA","")</f>
        <v/>
      </c>
      <c r="HQ4" s="48" t="str" cm="1">
        <f t="array" ref="HQ4">IF(_xlfn.TEXTJOIN(", ", TRUE, IF(ISNUMBER(SEARCH("BLU", BL4:BT4)), COLUMN(BL4:BT4) - COLUMN(BL4) + 1, ""))&lt;&gt;"","BLU","")</f>
        <v>BLU</v>
      </c>
      <c r="HR4" s="48" t="str" cm="1">
        <f t="array" ref="HR4">IF(_xlfn.TEXTJOIN(", ", TRUE, IF(ISNUMBER(SEARCH("GRE", BL4:BT4)), COLUMN(BL4:BT4) - COLUMN(BL4) + 1, ""))&lt;&gt;"","GRE","")</f>
        <v>GRE</v>
      </c>
      <c r="HS4" s="48" t="str" cm="1">
        <f t="array" ref="HS4">IF(_xlfn.TEXTJOIN(", ", TRUE, IF(ISNUMBER(SEARCH("RED", BL4:BT4)), COLUMN(BL4:BT4) - COLUMN(BL4) + 1, ""))&lt;&gt;"","RED","")</f>
        <v/>
      </c>
      <c r="HT4" s="48" t="str" cm="1">
        <f t="array" ref="HT4">IF(_xlfn.TEXTJOIN(", ", TRUE, IF(ISNUMBER(SEARCH("YEL", BL4:BT4)), COLUMN(BL4:BT4) - COLUMN(BL4) + 1, ""))&lt;&gt;"","YEL","")</f>
        <v>YEL</v>
      </c>
      <c r="HU4" s="48" t="str" cm="1">
        <f t="array" ref="HU4">IF(_xlfn.TEXTJOIN(", ", TRUE, IF(ISNUMBER(SEARCH("ORA", BL4:BT4)), COLUMN(BL4:BT4) - COLUMN(BL4) + 1, ""))&lt;&gt;"","ORA","")</f>
        <v/>
      </c>
      <c r="HV4" s="48" t="str" cm="1">
        <f t="array" ref="HV4">IF(_xlfn.TEXTJOIN(", ", TRUE, IF(ISNUMBER(SEARCH("BRO", BL4:BT4)), COLUMN(BL4:BT4) - COLUMN(BL4) + 1, ""))&lt;&gt;"","BRO","")</f>
        <v/>
      </c>
      <c r="HW4" s="48" t="str" cm="1">
        <f t="array" ref="HW4">IF(_xlfn.TEXTJOIN(", ", TRUE, IF(ISNUMBER(SEARCH("PUR", BL4:BT4)), COLUMN(BL4:BT4) - COLUMN(BL4) + 1, ""))&lt;&gt;"","PUR","")</f>
        <v/>
      </c>
      <c r="HX4" s="48" t="str" cm="1">
        <f t="array" ref="HX4">IF(_xlfn.TEXTJOIN(", ", TRUE, IF(ISNUMBER(SEARCH("WHI", BL4:BT4)), COLUMN(BL4:BT4) - COLUMN(BL4) + 1, ""))&lt;&gt;"","WHI","")</f>
        <v>WHI</v>
      </c>
      <c r="HY4" s="76"/>
      <c r="HZ4" s="76"/>
      <c r="IA4" s="6"/>
      <c r="IB4" s="6"/>
      <c r="IC4" s="77"/>
      <c r="ID4" s="77"/>
      <c r="IE4" s="77"/>
      <c r="IF4" s="77"/>
      <c r="IG4" s="77"/>
      <c r="IH4" s="77"/>
      <c r="II4" s="77"/>
      <c r="IJ4" s="77"/>
      <c r="IK4" s="77"/>
      <c r="IL4" s="48">
        <f>SUM(IC4:IK4)</f>
        <v>0</v>
      </c>
      <c r="IM4" s="45">
        <f>COUNTIF(IC4:IK4,"&gt;0")-CG4</f>
        <v>-4</v>
      </c>
      <c r="IN4" s="78" t="str">
        <f>"http://mkweb.bcgsc.ca/color-summarizer/?url="&amp;D4&amp;"&amp;precision=low&amp;num_clusters="&amp;CG4&amp;"&amp;text=1"</f>
        <v>http://mkweb.bcgsc.ca/color-summarizer/?url=https://upload.wikimedia.org/wikipedia/commons/thumb/8/84/Flag_of_Nairobi.svg/640px-Flag_of_Nairobi.svg.png&amp;precision=low&amp;num_clusters=4&amp;text=1</v>
      </c>
      <c r="IO4" s="48" t="str">
        <f>IF(HP4&lt;&gt;"",CHAR(34)&amp;"black"&amp;CHAR(34),"")</f>
        <v/>
      </c>
      <c r="IP4" s="48" t="str">
        <f>IF(HQ4&lt;&gt;"",CHAR(34)&amp;"blue"&amp;CHAR(34),"")</f>
        <v>"blue"</v>
      </c>
      <c r="IQ4" s="48" t="str">
        <f>IF(HR4&lt;&gt;"",CHAR(34)&amp;"green"&amp;CHAR(34),"")</f>
        <v>"green"</v>
      </c>
      <c r="IR4" s="48" t="str">
        <f>IF(HS4&lt;&gt;"",CHAR(34)&amp;"red"&amp;CHAR(34),"")</f>
        <v/>
      </c>
      <c r="IS4" s="48" t="str">
        <f>IF(HT4&lt;&gt;"",CHAR(34)&amp;"yellow"&amp;CHAR(34),"")</f>
        <v>"yellow"</v>
      </c>
      <c r="IT4" s="48" t="str">
        <f>IF(HU4&lt;&gt;"",CHAR(34)&amp;"orange"&amp;CHAR(34),"")</f>
        <v/>
      </c>
      <c r="IU4" s="48" t="str">
        <f>IF(HV4&lt;&gt;"",CHAR(34)&amp;"brown"&amp;CHAR(34),"")</f>
        <v/>
      </c>
      <c r="IV4" s="48" t="str">
        <f>IF(HW4&lt;&gt;"",CHAR(34)&amp;"purple"&amp;CHAR(34),"")</f>
        <v/>
      </c>
      <c r="IW4" s="48" t="str">
        <f>IF(HX4&lt;&gt;"",CHAR(34)&amp;"white"&amp;CHAR(34),"")</f>
        <v>"white"</v>
      </c>
      <c r="IX4" s="48" t="str">
        <f>"{"&amp;CHAR(34)&amp;"url"&amp;CHAR(34)&amp;":"&amp;CHAR(34)&amp;IN4&amp;CHAR(34)&amp;","&amp;CHAR(34)&amp;"name"&amp;CHAR(34)&amp;":"&amp;CHAR(34)&amp;A4&amp;CHAR(34)&amp;"},"</f>
        <v>{"url":"http://mkweb.bcgsc.ca/color-summarizer/?url=https://upload.wikimedia.org/wikipedia/commons/thumb/8/84/Flag_of_Nairobi.svg/640px-Flag_of_Nairobi.svg.png&amp;precision=low&amp;num_clusters=4&amp;text=1","name":"[KEN] Nairobi"},</v>
      </c>
      <c r="IY4" s="48">
        <v>1326</v>
      </c>
    </row>
    <row r="5" spans="1:259" ht="38.4" customHeight="1" x14ac:dyDescent="0.3">
      <c r="F5" s="82"/>
      <c r="G5" s="82"/>
      <c r="H5" s="82"/>
      <c r="I5" s="82"/>
      <c r="J5" s="82"/>
      <c r="K5" s="82"/>
    </row>
    <row r="6" spans="1:259" ht="38.4" customHeight="1" x14ac:dyDescent="0.3">
      <c r="F6" s="82"/>
      <c r="G6" s="82"/>
      <c r="H6" s="82"/>
      <c r="I6" s="82"/>
      <c r="J6" s="82"/>
      <c r="K6" s="82"/>
    </row>
  </sheetData>
  <autoFilter ref="A1:IY1" xr:uid="{A1051193-A95B-4CFB-A73C-F0184620C81F}">
    <sortState xmlns:xlrd2="http://schemas.microsoft.com/office/spreadsheetml/2017/richdata2" ref="A2:IY5">
      <sortCondition ref="AW1"/>
    </sortState>
  </autoFilter>
  <conditionalFormatting sqref="H1 CW1:GS1 IA1:IB1">
    <cfRule type="cellIs" dxfId="3908" priority="118" operator="greaterThan">
      <formula>0</formula>
    </cfRule>
  </conditionalFormatting>
  <conditionalFormatting sqref="H1 H7:H1048576">
    <cfRule type="cellIs" dxfId="3907" priority="84" stopIfTrue="1" operator="notEqual">
      <formula>""</formula>
    </cfRule>
  </conditionalFormatting>
  <conditionalFormatting sqref="T1:BK1">
    <cfRule type="cellIs" dxfId="3906" priority="121" operator="greaterThan">
      <formula>0</formula>
    </cfRule>
  </conditionalFormatting>
  <conditionalFormatting sqref="BV1:BW1 BV5:BW1048576">
    <cfRule type="cellIs" dxfId="3905" priority="120" operator="equal">
      <formula>"nc"</formula>
    </cfRule>
  </conditionalFormatting>
  <conditionalFormatting sqref="HF1:HG1">
    <cfRule type="cellIs" dxfId="3904" priority="122" operator="greaterThan">
      <formula>0</formula>
    </cfRule>
  </conditionalFormatting>
  <conditionalFormatting sqref="HK1">
    <cfRule type="cellIs" dxfId="3903" priority="119" operator="greaterThan">
      <formula>0</formula>
    </cfRule>
  </conditionalFormatting>
  <conditionalFormatting sqref="HP1:HX1">
    <cfRule type="cellIs" dxfId="3902" priority="96" operator="equal">
      <formula>"PIN"</formula>
    </cfRule>
    <cfRule type="cellIs" dxfId="3901" priority="97" operator="equal">
      <formula>"ORA"</formula>
    </cfRule>
    <cfRule type="cellIs" dxfId="3900" priority="98" operator="equal">
      <formula>"GRA"</formula>
    </cfRule>
    <cfRule type="cellIs" dxfId="3899" priority="99" operator="equal">
      <formula>"PUR"</formula>
    </cfRule>
    <cfRule type="cellIs" dxfId="3898" priority="100" operator="equal">
      <formula>"BRO"</formula>
    </cfRule>
    <cfRule type="cellIs" dxfId="3897" priority="101" operator="equal">
      <formula>"YEL"</formula>
    </cfRule>
    <cfRule type="cellIs" dxfId="3896" priority="102" operator="equal">
      <formula>"BLU"</formula>
    </cfRule>
    <cfRule type="cellIs" dxfId="3895" priority="103" operator="equal">
      <formula>"WHI"</formula>
    </cfRule>
    <cfRule type="cellIs" dxfId="3894" priority="104" operator="equal">
      <formula>"GRE"</formula>
    </cfRule>
    <cfRule type="cellIs" dxfId="3893" priority="105" operator="equal">
      <formula>"RED"</formula>
    </cfRule>
    <cfRule type="cellIs" dxfId="3892" priority="106" operator="equal">
      <formula>"BLA"</formula>
    </cfRule>
  </conditionalFormatting>
  <conditionalFormatting sqref="IC1:IK1">
    <cfRule type="cellIs" dxfId="3891" priority="107" operator="equal">
      <formula>"PIN"</formula>
    </cfRule>
    <cfRule type="cellIs" dxfId="3890" priority="108" operator="equal">
      <formula>"ORA"</formula>
    </cfRule>
    <cfRule type="cellIs" dxfId="3889" priority="109" operator="equal">
      <formula>"GRA"</formula>
    </cfRule>
    <cfRule type="cellIs" dxfId="3888" priority="110" operator="equal">
      <formula>"PUR"</formula>
    </cfRule>
    <cfRule type="cellIs" dxfId="3887" priority="111" operator="equal">
      <formula>"BRO"</formula>
    </cfRule>
    <cfRule type="cellIs" dxfId="3886" priority="112" operator="equal">
      <formula>"YEL"</formula>
    </cfRule>
    <cfRule type="cellIs" dxfId="3885" priority="113" operator="equal">
      <formula>"BLU"</formula>
    </cfRule>
    <cfRule type="cellIs" dxfId="3884" priority="114" operator="equal">
      <formula>"WHI"</formula>
    </cfRule>
    <cfRule type="cellIs" dxfId="3883" priority="115" operator="equal">
      <formula>"GRE"</formula>
    </cfRule>
    <cfRule type="cellIs" dxfId="3882" priority="116" operator="equal">
      <formula>"RED"</formula>
    </cfRule>
    <cfRule type="cellIs" dxfId="3881" priority="117" operator="equal">
      <formula>"BLA"</formula>
    </cfRule>
  </conditionalFormatting>
  <conditionalFormatting sqref="IO1:IW1">
    <cfRule type="cellIs" dxfId="3880" priority="85" operator="equal">
      <formula>"PIN"</formula>
    </cfRule>
    <cfRule type="cellIs" dxfId="3879" priority="86" operator="equal">
      <formula>"ORA"</formula>
    </cfRule>
    <cfRule type="cellIs" dxfId="3878" priority="87" operator="equal">
      <formula>"GRA"</formula>
    </cfRule>
    <cfRule type="cellIs" dxfId="3877" priority="88" operator="equal">
      <formula>"PUR"</formula>
    </cfRule>
    <cfRule type="cellIs" dxfId="3876" priority="89" operator="equal">
      <formula>"BRO"</formula>
    </cfRule>
    <cfRule type="cellIs" dxfId="3875" priority="90" operator="equal">
      <formula>"YEL"</formula>
    </cfRule>
    <cfRule type="cellIs" dxfId="3874" priority="91" operator="equal">
      <formula>"BLU"</formula>
    </cfRule>
    <cfRule type="cellIs" dxfId="3873" priority="92" operator="equal">
      <formula>"WHI"</formula>
    </cfRule>
    <cfRule type="cellIs" dxfId="3872" priority="93" operator="equal">
      <formula>"GRE"</formula>
    </cfRule>
    <cfRule type="cellIs" dxfId="3871" priority="94" operator="equal">
      <formula>"RED"</formula>
    </cfRule>
    <cfRule type="cellIs" dxfId="3870" priority="95" operator="equal">
      <formula>"BLA"</formula>
    </cfRule>
  </conditionalFormatting>
  <conditionalFormatting sqref="H2">
    <cfRule type="cellIs" dxfId="3869" priority="77" stopIfTrue="1" operator="notEqual">
      <formula>""</formula>
    </cfRule>
  </conditionalFormatting>
  <conditionalFormatting sqref="R2 CU2">
    <cfRule type="cellIs" dxfId="3868" priority="79" operator="greaterThan">
      <formula>0</formula>
    </cfRule>
  </conditionalFormatting>
  <conditionalFormatting sqref="T2:AS2 CH2:CS2">
    <cfRule type="cellIs" dxfId="3867" priority="74" stopIfTrue="1" operator="equal">
      <formula>"n"</formula>
    </cfRule>
    <cfRule type="cellIs" dxfId="3866" priority="75" stopIfTrue="1" operator="equal">
      <formula>"y"</formula>
    </cfRule>
    <cfRule type="cellIs" dxfId="3865" priority="76" operator="greaterThan">
      <formula>0</formula>
    </cfRule>
  </conditionalFormatting>
  <conditionalFormatting sqref="AZ2:BB2">
    <cfRule type="expression" dxfId="3864" priority="61">
      <formula>$AT2=0</formula>
    </cfRule>
  </conditionalFormatting>
  <conditionalFormatting sqref="AZ2:BU2">
    <cfRule type="cellIs" dxfId="3863" priority="62" operator="equal">
      <formula>"PIN"</formula>
    </cfRule>
    <cfRule type="cellIs" dxfId="3862" priority="63" operator="equal">
      <formula>"ORA"</formula>
    </cfRule>
    <cfRule type="cellIs" dxfId="3861" priority="64" operator="equal">
      <formula>"GRA"</formula>
    </cfRule>
    <cfRule type="cellIs" dxfId="3860" priority="65" operator="equal">
      <formula>"PUR"</formula>
    </cfRule>
    <cfRule type="cellIs" dxfId="3859" priority="66" operator="equal">
      <formula>"BRO"</formula>
    </cfRule>
    <cfRule type="cellIs" dxfId="3858" priority="67" operator="equal">
      <formula>"YEL"</formula>
    </cfRule>
    <cfRule type="cellIs" dxfId="3857" priority="68" operator="equal">
      <formula>"BLU"</formula>
    </cfRule>
    <cfRule type="cellIs" dxfId="3856" priority="69" operator="equal">
      <formula>"WHI"</formula>
    </cfRule>
    <cfRule type="cellIs" dxfId="3855" priority="70" operator="equal">
      <formula>"GRE"</formula>
    </cfRule>
    <cfRule type="cellIs" dxfId="3854" priority="71" operator="equal">
      <formula>"RED"</formula>
    </cfRule>
    <cfRule type="cellIs" dxfId="3853" priority="72" operator="equal">
      <formula>"BLA"</formula>
    </cfRule>
  </conditionalFormatting>
  <conditionalFormatting sqref="BV2">
    <cfRule type="cellIs" dxfId="3852" priority="78" operator="equal">
      <formula>"nc"</formula>
    </cfRule>
  </conditionalFormatting>
  <conditionalFormatting sqref="CD2:CF2 BZ2:CA2">
    <cfRule type="cellIs" dxfId="3851" priority="73" operator="greaterThan">
      <formula>0</formula>
    </cfRule>
  </conditionalFormatting>
  <conditionalFormatting sqref="IC2:IK2">
    <cfRule type="expression" dxfId="3850" priority="60">
      <formula>$IL2&gt;0</formula>
    </cfRule>
  </conditionalFormatting>
  <conditionalFormatting sqref="BX2:CA2 CD2:CF2">
    <cfRule type="cellIs" dxfId="3849" priority="48" operator="equal">
      <formula>"y"</formula>
    </cfRule>
    <cfRule type="cellIs" dxfId="3848" priority="49" operator="equal">
      <formula>"PIN"</formula>
    </cfRule>
    <cfRule type="cellIs" dxfId="3847" priority="50" operator="equal">
      <formula>"ORA"</formula>
    </cfRule>
    <cfRule type="cellIs" dxfId="3846" priority="51" operator="equal">
      <formula>"GRA"</formula>
    </cfRule>
    <cfRule type="cellIs" dxfId="3845" priority="52" operator="equal">
      <formula>"PUR"</formula>
    </cfRule>
    <cfRule type="cellIs" dxfId="3844" priority="53" operator="equal">
      <formula>"BRO"</formula>
    </cfRule>
    <cfRule type="cellIs" dxfId="3843" priority="54" operator="equal">
      <formula>"YEL"</formula>
    </cfRule>
    <cfRule type="cellIs" dxfId="3842" priority="55" operator="equal">
      <formula>"BLU"</formula>
    </cfRule>
    <cfRule type="cellIs" dxfId="3841" priority="56" operator="equal">
      <formula>"WHI"</formula>
    </cfRule>
    <cfRule type="cellIs" dxfId="3840" priority="57" operator="equal">
      <formula>"GRE"</formula>
    </cfRule>
    <cfRule type="cellIs" dxfId="3839" priority="58" operator="equal">
      <formula>"RED"</formula>
    </cfRule>
    <cfRule type="cellIs" dxfId="3838" priority="59" operator="equal">
      <formula>"BLA"</formula>
    </cfRule>
  </conditionalFormatting>
  <conditionalFormatting sqref="J2">
    <cfRule type="colorScale" priority="80">
      <colorScale>
        <cfvo type="min"/>
        <cfvo type="percentile" val="50"/>
        <cfvo type="max"/>
        <color rgb="FFF8696B"/>
        <color rgb="FFFFEB84"/>
        <color rgb="FF63BE7B"/>
      </colorScale>
    </cfRule>
  </conditionalFormatting>
  <conditionalFormatting sqref="S2">
    <cfRule type="colorScale" priority="81">
      <colorScale>
        <cfvo type="min"/>
        <cfvo type="max"/>
        <color rgb="FFFCFCFF"/>
        <color rgb="FF754BFB"/>
      </colorScale>
    </cfRule>
  </conditionalFormatting>
  <conditionalFormatting sqref="AT2">
    <cfRule type="colorScale" priority="82">
      <colorScale>
        <cfvo type="min"/>
        <cfvo type="max"/>
        <color rgb="FFFCFCFF"/>
        <color theme="8" tint="0.39997558519241921"/>
      </colorScale>
    </cfRule>
  </conditionalFormatting>
  <conditionalFormatting sqref="CG2">
    <cfRule type="colorScale" priority="83">
      <colorScale>
        <cfvo type="min"/>
        <cfvo type="max"/>
        <color rgb="FFFCFCFF"/>
        <color rgb="FF63BE7B"/>
      </colorScale>
    </cfRule>
  </conditionalFormatting>
  <conditionalFormatting sqref="H3:H4">
    <cfRule type="cellIs" dxfId="3837" priority="40" stopIfTrue="1" operator="notEqual">
      <formula>""</formula>
    </cfRule>
  </conditionalFormatting>
  <conditionalFormatting sqref="R3:R4 CU3:CU4">
    <cfRule type="cellIs" dxfId="3836" priority="43" operator="greaterThan">
      <formula>0</formula>
    </cfRule>
  </conditionalFormatting>
  <conditionalFormatting sqref="T3:AS4 CH3:CS4">
    <cfRule type="cellIs" dxfId="3835" priority="37" stopIfTrue="1" operator="equal">
      <formula>"n"</formula>
    </cfRule>
    <cfRule type="cellIs" dxfId="3834" priority="38" stopIfTrue="1" operator="equal">
      <formula>"y"</formula>
    </cfRule>
    <cfRule type="cellIs" dxfId="3833" priority="39" operator="greaterThan">
      <formula>0</formula>
    </cfRule>
  </conditionalFormatting>
  <conditionalFormatting sqref="AZ3:BB4">
    <cfRule type="expression" dxfId="3832" priority="24">
      <formula>$AT3=0</formula>
    </cfRule>
  </conditionalFormatting>
  <conditionalFormatting sqref="CD3:CF4 BX3:CA4 AZ3:BU4">
    <cfRule type="cellIs" dxfId="3831" priority="25" operator="equal">
      <formula>"PIN"</formula>
    </cfRule>
    <cfRule type="cellIs" dxfId="3830" priority="26" operator="equal">
      <formula>"ORA"</formula>
    </cfRule>
    <cfRule type="cellIs" dxfId="3829" priority="27" operator="equal">
      <formula>"GRA"</formula>
    </cfRule>
    <cfRule type="cellIs" dxfId="3828" priority="28" operator="equal">
      <formula>"PUR"</formula>
    </cfRule>
    <cfRule type="cellIs" dxfId="3827" priority="29" operator="equal">
      <formula>"BRO"</formula>
    </cfRule>
    <cfRule type="cellIs" dxfId="3826" priority="30" operator="equal">
      <formula>"YEL"</formula>
    </cfRule>
    <cfRule type="cellIs" dxfId="3825" priority="31" operator="equal">
      <formula>"BLU"</formula>
    </cfRule>
    <cfRule type="cellIs" dxfId="3824" priority="32" operator="equal">
      <formula>"WHI"</formula>
    </cfRule>
    <cfRule type="cellIs" dxfId="3823" priority="33" operator="equal">
      <formula>"GRE"</formula>
    </cfRule>
    <cfRule type="cellIs" dxfId="3822" priority="34" operator="equal">
      <formula>"RED"</formula>
    </cfRule>
    <cfRule type="cellIs" dxfId="3821" priority="35" operator="equal">
      <formula>"BLA"</formula>
    </cfRule>
  </conditionalFormatting>
  <conditionalFormatting sqref="BV3:BV4">
    <cfRule type="cellIs" dxfId="3820" priority="42" operator="equal">
      <formula>"nc"</formula>
    </cfRule>
  </conditionalFormatting>
  <conditionalFormatting sqref="CD3:CF4 BX3:CA4">
    <cfRule type="cellIs" dxfId="3819" priority="41" operator="equal">
      <formula>"y"</formula>
    </cfRule>
  </conditionalFormatting>
  <conditionalFormatting sqref="CD3:CF4 BZ3:CA4">
    <cfRule type="cellIs" dxfId="3818" priority="36" operator="greaterThan">
      <formula>0</formula>
    </cfRule>
  </conditionalFormatting>
  <conditionalFormatting sqref="IC3:IK4">
    <cfRule type="expression" dxfId="3817" priority="23">
      <formula>$IL3&gt;0</formula>
    </cfRule>
  </conditionalFormatting>
  <conditionalFormatting sqref="IC3:IC4">
    <cfRule type="cellIs" dxfId="3816" priority="17" stopIfTrue="1" operator="greaterThan">
      <formula>0</formula>
    </cfRule>
  </conditionalFormatting>
  <conditionalFormatting sqref="ID3:ID4">
    <cfRule type="cellIs" dxfId="3815" priority="15" stopIfTrue="1" operator="greaterThan">
      <formula>0</formula>
    </cfRule>
  </conditionalFormatting>
  <conditionalFormatting sqref="II3:II4 IE3:IF4">
    <cfRule type="cellIs" dxfId="3814" priority="22" operator="greaterThan">
      <formula>0</formula>
    </cfRule>
  </conditionalFormatting>
  <conditionalFormatting sqref="II3:II4 IF3:IF4">
    <cfRule type="cellIs" dxfId="3813" priority="16" stopIfTrue="1" operator="greaterThan">
      <formula>0</formula>
    </cfRule>
  </conditionalFormatting>
  <conditionalFormatting sqref="IG3:IG4">
    <cfRule type="cellIs" dxfId="3812" priority="21" operator="greaterThan">
      <formula>0</formula>
    </cfRule>
  </conditionalFormatting>
  <conditionalFormatting sqref="IH3:II4">
    <cfRule type="cellIs" dxfId="3811" priority="20" operator="greaterThan">
      <formula>0</formula>
    </cfRule>
  </conditionalFormatting>
  <conditionalFormatting sqref="IJ3:IJ4">
    <cfRule type="cellIs" dxfId="3810" priority="19" operator="greaterThan">
      <formula>0</formula>
    </cfRule>
  </conditionalFormatting>
  <conditionalFormatting sqref="IK3:IK4">
    <cfRule type="cellIs" dxfId="3809" priority="18" operator="greaterThan">
      <formula>0</formula>
    </cfRule>
  </conditionalFormatting>
  <conditionalFormatting sqref="IF3:IF4">
    <cfRule type="cellIs" dxfId="3808" priority="14" stopIfTrue="1" operator="greaterThan">
      <formula>0</formula>
    </cfRule>
  </conditionalFormatting>
  <conditionalFormatting sqref="IM3:IM4">
    <cfRule type="cellIs" dxfId="3807" priority="13" operator="equal">
      <formula>0</formula>
    </cfRule>
  </conditionalFormatting>
  <conditionalFormatting sqref="BX3:CA4 CD3:CF4">
    <cfRule type="cellIs" dxfId="3806" priority="1" operator="equal">
      <formula>"y"</formula>
    </cfRule>
    <cfRule type="cellIs" dxfId="3805" priority="2" operator="equal">
      <formula>"PIN"</formula>
    </cfRule>
    <cfRule type="cellIs" dxfId="3804" priority="3" operator="equal">
      <formula>"ORA"</formula>
    </cfRule>
    <cfRule type="cellIs" dxfId="3803" priority="4" operator="equal">
      <formula>"GRA"</formula>
    </cfRule>
    <cfRule type="cellIs" dxfId="3802" priority="5" operator="equal">
      <formula>"PUR"</formula>
    </cfRule>
    <cfRule type="cellIs" dxfId="3801" priority="6" operator="equal">
      <formula>"BRO"</formula>
    </cfRule>
    <cfRule type="cellIs" dxfId="3800" priority="7" operator="equal">
      <formula>"YEL"</formula>
    </cfRule>
    <cfRule type="cellIs" dxfId="3799" priority="8" operator="equal">
      <formula>"BLU"</formula>
    </cfRule>
    <cfRule type="cellIs" dxfId="3798" priority="9" operator="equal">
      <formula>"WHI"</formula>
    </cfRule>
    <cfRule type="cellIs" dxfId="3797" priority="10" operator="equal">
      <formula>"GRE"</formula>
    </cfRule>
    <cfRule type="cellIs" dxfId="3796" priority="11" operator="equal">
      <formula>"RED"</formula>
    </cfRule>
    <cfRule type="cellIs" dxfId="3795" priority="12" operator="equal">
      <formula>"BLA"</formula>
    </cfRule>
  </conditionalFormatting>
  <conditionalFormatting sqref="AT3:AT4">
    <cfRule type="colorScale" priority="44">
      <colorScale>
        <cfvo type="min"/>
        <cfvo type="max"/>
        <color rgb="FFFCFCFF"/>
        <color theme="8" tint="0.39997558519241921"/>
      </colorScale>
    </cfRule>
  </conditionalFormatting>
  <conditionalFormatting sqref="S3:S4">
    <cfRule type="colorScale" priority="45">
      <colorScale>
        <cfvo type="min"/>
        <cfvo type="max"/>
        <color rgb="FFFCFCFF"/>
        <color rgb="FF754BFB"/>
      </colorScale>
    </cfRule>
  </conditionalFormatting>
  <conditionalFormatting sqref="J3:J4">
    <cfRule type="colorScale" priority="46">
      <colorScale>
        <cfvo type="min"/>
        <cfvo type="percentile" val="50"/>
        <cfvo type="max"/>
        <color rgb="FFF8696B"/>
        <color rgb="FFFFEB84"/>
        <color rgb="FF63BE7B"/>
      </colorScale>
    </cfRule>
  </conditionalFormatting>
  <conditionalFormatting sqref="CG3:CG4">
    <cfRule type="colorScale" priority="47">
      <colorScale>
        <cfvo type="min"/>
        <cfvo type="max"/>
        <color rgb="FFFCFCFF"/>
        <color rgb="FF63BE7B"/>
      </colorScale>
    </cfRule>
  </conditionalFormatting>
  <hyperlinks>
    <hyperlink ref="A2" r:id="rId1" display="https://fbref.com/en/country/KEN/Kenya-Football" xr:uid="{38803B8C-BB7D-4EA4-978B-02175210889C}"/>
    <hyperlink ref="I2" r:id="rId2" xr:uid="{0824759E-5FB8-4DCF-A966-2ED90A0D2B89}"/>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51201" r:id="rId6"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51202" r:id="rId7"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51203" r:id="rId8"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44734-0AC0-4742-A913-9E826A7EDDEA}">
  <sheetPr codeName="Sheet60"/>
  <dimension ref="A1:IY8"/>
  <sheetViews>
    <sheetView zoomScale="70" zoomScaleNormal="70" workbookViewId="0">
      <pane xSplit="5" ySplit="1" topLeftCell="F2" activePane="bottomRight" state="frozen"/>
      <selection pane="topRight" activeCell="F1" sqref="F1"/>
      <selection pane="bottomLeft" activeCell="A2" sqref="A2"/>
      <selection pane="bottomRight" activeCell="M3" sqref="M3"/>
    </sheetView>
  </sheetViews>
  <sheetFormatPr defaultRowHeight="38.4" customHeight="1" x14ac:dyDescent="0.3"/>
  <cols>
    <col min="1" max="1" width="52.44140625" style="81" bestFit="1" customWidth="1"/>
    <col min="2" max="2" width="10.109375" style="81" customWidth="1"/>
    <col min="3" max="3" width="7.44140625" style="82" customWidth="1"/>
    <col min="4" max="4" width="4.77734375" style="83" customWidth="1"/>
    <col min="5" max="5" width="4.5546875" style="83" customWidth="1"/>
    <col min="6" max="6" width="5.77734375" style="83" customWidth="1"/>
    <col min="7" max="7" width="7.44140625" style="81" customWidth="1"/>
    <col min="8" max="8" width="11.44140625" style="81" customWidth="1"/>
    <col min="9" max="9" width="10" style="81" customWidth="1"/>
    <col min="10" max="10" width="4.21875" style="81" customWidth="1"/>
    <col min="11" max="11" width="5.6640625" style="83" customWidth="1"/>
    <col min="12" max="12" width="2.88671875" style="83" customWidth="1"/>
    <col min="13" max="13" width="6.44140625" style="83" customWidth="1"/>
    <col min="14" max="14" width="4.5546875" style="83" customWidth="1"/>
    <col min="15" max="15" width="10.5546875" style="84" customWidth="1"/>
    <col min="16" max="16" width="6.88671875" style="83" customWidth="1"/>
    <col min="17" max="17" width="4.77734375" style="83" customWidth="1"/>
    <col min="18" max="18" width="13.109375" style="82" customWidth="1"/>
    <col min="19" max="19" width="6.77734375" style="82" customWidth="1"/>
    <col min="20" max="46" width="8.44140625" style="81" customWidth="1"/>
    <col min="47" max="47" width="24.5546875" style="81" customWidth="1"/>
    <col min="48" max="51" width="16.6640625" style="81" customWidth="1"/>
    <col min="52" max="52" width="6.5546875" style="81" customWidth="1"/>
    <col min="53" max="54" width="5.88671875" style="81" customWidth="1"/>
    <col min="55" max="55" width="1.33203125" style="81" customWidth="1"/>
    <col min="56" max="56" width="7.44140625" style="81" customWidth="1"/>
    <col min="57" max="57" width="2.33203125" style="81" customWidth="1"/>
    <col min="58" max="62" width="6.109375" style="81" customWidth="1"/>
    <col min="63" max="63" width="2.33203125" style="81" customWidth="1"/>
    <col min="64" max="64" width="7" style="81" bestFit="1" customWidth="1"/>
    <col min="65" max="65" width="6.44140625" style="81" bestFit="1" customWidth="1"/>
    <col min="66" max="66" width="7.109375" style="81" bestFit="1" customWidth="1"/>
    <col min="67" max="71" width="6.44140625" style="81" bestFit="1" customWidth="1"/>
    <col min="72" max="73" width="6.44140625" style="81" customWidth="1"/>
    <col min="74" max="75" width="13.44140625" style="81" customWidth="1"/>
    <col min="76" max="84" width="14.6640625" style="81" customWidth="1"/>
    <col min="85" max="85" width="6.44140625" style="81" customWidth="1"/>
    <col min="86" max="87" width="11.6640625" style="81" bestFit="1" customWidth="1"/>
    <col min="88" max="88" width="11.6640625" style="81" customWidth="1"/>
    <col min="89" max="89" width="12.77734375" style="81" bestFit="1" customWidth="1"/>
    <col min="90" max="90" width="16.44140625" style="82" bestFit="1" customWidth="1"/>
    <col min="91" max="92" width="14.88671875" style="82" bestFit="1" customWidth="1"/>
    <col min="93" max="93" width="16" style="82" bestFit="1" customWidth="1"/>
    <col min="94" max="97" width="7.77734375" style="81" customWidth="1"/>
    <col min="98" max="98" width="33.21875" style="81" customWidth="1"/>
    <col min="99" max="99" width="18" style="81" customWidth="1"/>
    <col min="100" max="100" width="75.6640625" style="81" customWidth="1"/>
    <col min="101" max="125" width="33" style="81" customWidth="1"/>
    <col min="126" max="126" width="8.88671875" style="81"/>
    <col min="127" max="128" width="9.44140625" style="81" bestFit="1" customWidth="1"/>
    <col min="129" max="129" width="10.77734375" style="81" bestFit="1" customWidth="1"/>
    <col min="130" max="134" width="10.77734375" style="81" customWidth="1"/>
    <col min="135" max="135" width="10.109375" style="81" bestFit="1" customWidth="1"/>
    <col min="136" max="136" width="7.77734375" style="81" bestFit="1" customWidth="1"/>
    <col min="137" max="137" width="7.77734375" style="81" customWidth="1"/>
    <col min="138" max="138" width="9" style="81" bestFit="1" customWidth="1"/>
    <col min="139" max="139" width="11.33203125" style="81" bestFit="1" customWidth="1"/>
    <col min="140" max="140" width="9.109375" style="81" bestFit="1" customWidth="1"/>
    <col min="141" max="141" width="9" style="81" bestFit="1" customWidth="1"/>
    <col min="142" max="142" width="12" style="81" bestFit="1" customWidth="1"/>
    <col min="143" max="166" width="12" style="81" customWidth="1"/>
    <col min="167" max="167" width="17.21875" style="81" customWidth="1"/>
    <col min="168" max="191" width="12" style="81" customWidth="1"/>
    <col min="192" max="192" width="8.5546875" style="81" bestFit="1" customWidth="1"/>
    <col min="193" max="193" width="8.5546875" style="81" customWidth="1"/>
    <col min="194" max="194" width="7.109375" style="81" bestFit="1" customWidth="1"/>
    <col min="195" max="195" width="7.5546875" style="81" bestFit="1" customWidth="1"/>
    <col min="196" max="196" width="8.5546875" style="81" bestFit="1" customWidth="1"/>
    <col min="197" max="200" width="8.5546875" style="81" customWidth="1"/>
    <col min="201" max="201" width="188.88671875" style="81" customWidth="1"/>
    <col min="202" max="202" width="9.5546875" style="81" bestFit="1" customWidth="1"/>
    <col min="203" max="203" width="10.44140625" style="81" bestFit="1" customWidth="1"/>
    <col min="204" max="204" width="11.109375" style="81" bestFit="1" customWidth="1"/>
    <col min="205" max="205" width="10.44140625" style="81" bestFit="1" customWidth="1"/>
    <col min="206" max="210" width="10.44140625" style="81" customWidth="1"/>
    <col min="211" max="211" width="45.44140625" style="81" customWidth="1"/>
    <col min="212" max="212" width="47.5546875" style="81" bestFit="1" customWidth="1"/>
    <col min="213" max="213" width="9.33203125" style="85" customWidth="1"/>
    <col min="214" max="214" width="119.5546875" style="81" customWidth="1"/>
    <col min="215" max="215" width="69.6640625" style="81" customWidth="1"/>
    <col min="216" max="218" width="8.88671875" style="81"/>
    <col min="219" max="219" width="37.109375" style="81" customWidth="1"/>
    <col min="220" max="220" width="16.33203125" style="81" customWidth="1"/>
    <col min="221" max="222" width="8.88671875" style="81"/>
    <col min="223" max="223" width="10.109375" style="81" bestFit="1" customWidth="1"/>
    <col min="224" max="232" width="10.88671875" style="81" customWidth="1"/>
    <col min="233" max="234" width="30.77734375" style="81" customWidth="1"/>
    <col min="235" max="235" width="5.109375" style="81" customWidth="1"/>
    <col min="236" max="236" width="3" style="81" customWidth="1"/>
    <col min="237" max="245" width="6.77734375" style="86" customWidth="1"/>
    <col min="246" max="247" width="8.88671875" style="81"/>
    <col min="248" max="248" width="61.5546875" style="81" customWidth="1"/>
    <col min="249" max="253" width="8.88671875" style="81"/>
    <col min="254" max="254" width="9" style="81" customWidth="1"/>
    <col min="255" max="16384" width="8.88671875" style="8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562</v>
      </c>
      <c r="B2" s="40" t="e" vm="58">
        <v>#VALUE!</v>
      </c>
      <c r="C2" s="41">
        <v>1</v>
      </c>
      <c r="D2" s="42"/>
      <c r="E2" s="43" t="s">
        <v>563</v>
      </c>
      <c r="F2" s="44" t="s">
        <v>163</v>
      </c>
      <c r="G2" s="45">
        <f>COUNTIF($A$1:$A$8371,A2)</f>
        <v>1</v>
      </c>
      <c r="H2" s="46"/>
      <c r="I2" s="47" t="s">
        <v>564</v>
      </c>
      <c r="J2" s="48" t="str">
        <f>""</f>
        <v/>
      </c>
      <c r="K2" s="49">
        <v>5418377</v>
      </c>
      <c r="L2" s="50">
        <v>16300</v>
      </c>
      <c r="M2" s="50" t="s">
        <v>567</v>
      </c>
      <c r="N2" s="51" t="s">
        <v>180</v>
      </c>
      <c r="O2" s="52" t="s">
        <v>565</v>
      </c>
      <c r="P2" s="53" t="s">
        <v>566</v>
      </c>
      <c r="Q2" s="54">
        <v>1</v>
      </c>
      <c r="R2" s="55" t="s">
        <v>180</v>
      </c>
      <c r="S2" s="56">
        <v>11</v>
      </c>
      <c r="T2" s="57" t="s">
        <v>164</v>
      </c>
      <c r="U2" s="58" t="s">
        <v>164</v>
      </c>
      <c r="V2" s="58" t="s">
        <v>167</v>
      </c>
      <c r="W2" s="58" t="s">
        <v>164</v>
      </c>
      <c r="X2" s="58" t="s">
        <v>164</v>
      </c>
      <c r="Y2" s="58" t="s">
        <v>164</v>
      </c>
      <c r="Z2" s="58" t="s">
        <v>164</v>
      </c>
      <c r="AA2" s="58" t="s">
        <v>164</v>
      </c>
      <c r="AB2" s="58" t="s">
        <v>164</v>
      </c>
      <c r="AC2" s="58" t="s">
        <v>164</v>
      </c>
      <c r="AD2" s="58" t="s">
        <v>164</v>
      </c>
      <c r="AE2" s="58" t="s">
        <v>164</v>
      </c>
      <c r="AF2" s="59" t="s">
        <v>164</v>
      </c>
      <c r="AG2" s="59" t="s">
        <v>164</v>
      </c>
      <c r="AH2" s="59" t="s">
        <v>164</v>
      </c>
      <c r="AI2" s="59" t="s">
        <v>167</v>
      </c>
      <c r="AJ2" s="59" t="s">
        <v>164</v>
      </c>
      <c r="AK2" s="59" t="s">
        <v>164</v>
      </c>
      <c r="AL2" s="59" t="s">
        <v>164</v>
      </c>
      <c r="AM2" s="59" t="s">
        <v>164</v>
      </c>
      <c r="AN2" s="59" t="s">
        <v>164</v>
      </c>
      <c r="AO2" s="59" t="s">
        <v>164</v>
      </c>
      <c r="AP2" s="59" t="s">
        <v>164</v>
      </c>
      <c r="AQ2" s="59" t="s">
        <v>164</v>
      </c>
      <c r="AR2" s="59" t="s">
        <v>164</v>
      </c>
      <c r="AS2" s="59" t="s">
        <v>164</v>
      </c>
      <c r="AT2" s="60">
        <v>1</v>
      </c>
      <c r="AU2" s="59"/>
      <c r="AV2" s="59" t="str">
        <f>IF(LEFT(A2,1)="[",LEFT(A2,5)&amp;AU2&amp;A2,"")</f>
        <v/>
      </c>
      <c r="AW2" s="59" t="str">
        <f t="shared" ref="AW2" si="0">C2&amp;H2&amp;A2</f>
        <v>1Liberia</v>
      </c>
      <c r="AX2" s="61" t="str">
        <f>_xlfn.TEXTJOIN(";",TRUE,AU2:AW2)</f>
        <v>1Liberia</v>
      </c>
      <c r="AY2" s="61"/>
      <c r="AZ2" s="62" t="s">
        <v>159</v>
      </c>
      <c r="BA2" s="62"/>
      <c r="BB2" s="62"/>
      <c r="BC2" s="63"/>
      <c r="BD2" s="64" t="s">
        <v>154</v>
      </c>
      <c r="BE2" s="47"/>
      <c r="BF2" s="64" t="s">
        <v>154</v>
      </c>
      <c r="BG2" s="64" t="s">
        <v>159</v>
      </c>
      <c r="BH2" s="64" t="s">
        <v>154</v>
      </c>
      <c r="BI2" s="64"/>
      <c r="BJ2" s="64"/>
      <c r="BK2" s="47"/>
      <c r="BL2" s="64" t="s">
        <v>154</v>
      </c>
      <c r="BM2" s="64" t="s">
        <v>159</v>
      </c>
      <c r="BN2" s="64" t="s">
        <v>152</v>
      </c>
      <c r="BO2" s="64"/>
      <c r="BP2" s="64"/>
      <c r="BQ2" s="64"/>
      <c r="BR2" s="64"/>
      <c r="BS2" s="64"/>
      <c r="BT2" s="64"/>
      <c r="BU2" s="65" t="s">
        <v>164</v>
      </c>
      <c r="BV2" s="66" t="s">
        <v>165</v>
      </c>
      <c r="BW2" s="66" t="s">
        <v>166</v>
      </c>
      <c r="BX2" s="47"/>
      <c r="CB2" s="6" t="s">
        <v>136</v>
      </c>
      <c r="CC2" s="6"/>
      <c r="CD2" s="67">
        <v>0</v>
      </c>
      <c r="CE2" s="67">
        <v>0</v>
      </c>
      <c r="CF2" s="67" t="e">
        <v>#REF!</v>
      </c>
      <c r="CG2" s="68" cm="1">
        <f t="array" ref="CG2">SUMPRODUCT(--(LEN(TRIM(BL2:BT2))&gt;0))</f>
        <v>3</v>
      </c>
      <c r="CH2" s="59" t="str">
        <f>IF(CG2=2,"y","n")</f>
        <v>n</v>
      </c>
      <c r="CI2" s="59" t="str">
        <f>IF(CG2=3,"y","n")</f>
        <v>y</v>
      </c>
      <c r="CJ2" s="59" t="str">
        <f>IF(CG2=4,"y","n")</f>
        <v>n</v>
      </c>
      <c r="CK2" s="59" t="str">
        <f>IF(CG2&gt;4,"y","n")</f>
        <v>n</v>
      </c>
      <c r="CL2" s="59" t="str">
        <f>IF(S2=0,"y","n")</f>
        <v>n</v>
      </c>
      <c r="CM2" s="59" t="str">
        <f>IF(S2=2,"y","n")</f>
        <v>n</v>
      </c>
      <c r="CN2" s="59" t="str">
        <f>IF(S2=3,"y","n")</f>
        <v>n</v>
      </c>
      <c r="CO2" s="59" t="str">
        <f>IF(S2&gt;=4,"y","n")</f>
        <v>y</v>
      </c>
      <c r="CP2" s="59" t="str">
        <f>IF(AT2=0,"y","n")</f>
        <v>n</v>
      </c>
      <c r="CQ2" s="59" t="str">
        <f>IF(AT2=1,"y","n")</f>
        <v>y</v>
      </c>
      <c r="CR2" s="59" t="str">
        <f>IF(AT2=2,"y","n")</f>
        <v>n</v>
      </c>
      <c r="CS2" s="59" t="str">
        <f>IF(AT2&gt;=3,"y","n")</f>
        <v>n</v>
      </c>
      <c r="CT2" s="69" t="str">
        <f>CHAR(34)&amp;A2&amp;CHAR(34)</f>
        <v>"Liberia"</v>
      </c>
      <c r="CU2" s="70" t="str">
        <f>CHAR(34)&amp;"rgn_"&amp;R2&amp;CHAR(34)</f>
        <v>"rgn_Africa"</v>
      </c>
      <c r="CV2" s="48" t="str">
        <f>CHAR(34)&amp;D2&amp;CHAR(34)</f>
        <v>""</v>
      </c>
      <c r="CW2" s="48" t="str">
        <f>IF(CH2="y",CHAR(34)&amp;CH$1&amp;CHAR(34)&amp;",","")</f>
        <v/>
      </c>
      <c r="CX2" s="48" t="str">
        <f>IF(CI2="y",CHAR(34)&amp;CI$1&amp;CHAR(34)&amp;",","")</f>
        <v>"3Color",</v>
      </c>
      <c r="CY2" s="48" t="str">
        <f>IF(CJ2="y",CHAR(34)&amp;CJ$1&amp;CHAR(34)&amp;",","")</f>
        <v/>
      </c>
      <c r="CZ2" s="48" t="str">
        <f>IF(CK2="y",CHAR(34)&amp;CK$1&amp;CHAR(34)&amp;",","")</f>
        <v/>
      </c>
      <c r="DA2" s="48" t="str">
        <f>IF(Q2&gt;1,CHAR(34)&amp;"words2"&amp;CHAR(34)&amp;",","")</f>
        <v/>
      </c>
      <c r="DB2" s="48" t="str">
        <f>IF(Q2&gt;2,CHAR(34)&amp;"words3"&amp;CHAR(34)&amp;",","")</f>
        <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"lets07",</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"startL",</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"LUEDHI",</v>
      </c>
      <c r="DN2" s="48" t="str">
        <f>IF(AND(ISNUMBER(SEARCH("18", O2)), ISERROR(SEARCH("1918", O2)), ISERROR(SEARCH("2018", O2))), CHAR(34) &amp; "year18" &amp; CHAR(34) &amp; ",", "")</f>
        <v>"year18",</v>
      </c>
      <c r="DO2" s="48" t="str">
        <f>IF(AND(ISNUMBER(SEARCH("19", O2)), ISERROR(SEARCH("1819", O2)),  ISERROR(SEARCH("1219", O2)),ISERROR(SEARCH("1119", O2)),ISERROR(SEARCH("1190", O2)),ISERROR(SEARCH("2019", O2))), CHAR(34) &amp; "year19" &amp; CHAR(34) &amp; ",", "")</f>
        <v/>
      </c>
      <c r="DP2" s="6" t="str">
        <f>IF(AND(ISNUMBER(SEARCH("20", O2)), ISERROR(SEARCH("1920", O2))), CHAR(34)&amp;"year00"&amp;CHAR(34)&amp;",", "")</f>
        <v/>
      </c>
      <c r="DQ2" s="6" t="str">
        <f>IF(CC2="y",CHAR(34)&amp;"soviet"&amp;CHAR(34)&amp;",","")</f>
        <v/>
      </c>
      <c r="DR2" s="6" t="str">
        <f>IF(BY2="y",CHAR(34)&amp;"dgband"&amp;CHAR(34)&amp;",","")</f>
        <v/>
      </c>
      <c r="DS2" s="6" t="str">
        <f>IF(W2="y",IF(AND(V2="n",BY2&lt;&gt;"y"),CHAR(34)&amp;"allver"&amp;CHAR(34)&amp;",",""),"")</f>
        <v/>
      </c>
      <c r="DT2" s="6" t="str">
        <f>IF(V2="y",IF(AND(W2="n",BY2&lt;&gt;"y"),CHAR(34)&amp;"allhor"&amp;CHAR(34)&amp;",",""),"")</f>
        <v>"allhor",</v>
      </c>
      <c r="DU2" s="6" t="str">
        <f>IF(BY2="y",IF(AND(W2="n",V2="n"),CHAR(34)&amp;"alldia"&amp;CHAR(34)&amp;",",""),"")</f>
        <v/>
      </c>
      <c r="DV2" s="48" t="str">
        <f>IF(IA2&lt;&gt;"",(IF(IA2="y",CHAR(34)&amp;"largec"&amp;CHAR(34)&amp;",",CHAR(34)&amp;"smallc"&amp;CHAR(34)&amp;",")),"")</f>
        <v/>
      </c>
      <c r="DW2" s="48" t="str">
        <f>IF(CL2="y",CHAR(34)&amp;CL$1&amp;CHAR(34)&amp;",","")</f>
        <v/>
      </c>
      <c r="DX2" s="48" t="str">
        <f>IF(CM2="y",CHAR(34)&amp;CM$1&amp;CHAR(34)&amp;",","")</f>
        <v/>
      </c>
      <c r="DY2" s="48" t="str">
        <f>IF(CN2="y",CHAR(34)&amp;CN$1&amp;CHAR(34)&amp;",","")</f>
        <v/>
      </c>
      <c r="DZ2" s="48" t="str">
        <f>IF(CO2="y",CHAR(34)&amp;CO$1&amp;CHAR(34)&amp;",","")</f>
        <v>"4+Band",</v>
      </c>
      <c r="EA2" s="48" t="str">
        <f>IF(T2="y",CHAR(34)&amp;T$1&amp;CHAR(34)&amp;",","")</f>
        <v/>
      </c>
      <c r="EB2" s="48" t="str">
        <f>IF(U2="y",CHAR(34)&amp;U$1&amp;CHAR(34)&amp;",","")</f>
        <v/>
      </c>
      <c r="EC2" s="48" t="str">
        <f>IF(V2="y",CHAR(34)&amp;V$1&amp;CHAR(34)&amp;",","")</f>
        <v>"Horizo",</v>
      </c>
      <c r="ED2" s="48" t="str">
        <f>IF(W2="y",CHAR(34)&amp;W$1&amp;CHAR(34)&amp;",","")</f>
        <v/>
      </c>
      <c r="EE2" s="48" t="str">
        <f>IF(X2="y",CHAR(34)&amp;X$1&amp;CHAR(34)&amp;",","")</f>
        <v/>
      </c>
      <c r="EF2" s="48" t="str">
        <f>IF(AND(Y2&lt;&gt;"n",Y2&lt;&gt;""),CHAR(34)&amp;Y$1&amp;CHAR(34)&amp;",","")</f>
        <v/>
      </c>
      <c r="EG2" s="48" t="str">
        <f>IF(Z2="y",CHAR(34)&amp;Z$1&amp;CHAR(34)&amp;",","")</f>
        <v/>
      </c>
      <c r="EH2" s="48" t="str">
        <f>IF(AA2="y",CHAR(34)&amp;AA$1&amp;CHAR(34)&amp;",","")</f>
        <v/>
      </c>
      <c r="EI2" s="48" t="str">
        <f>IF(AB2="y",CHAR(34)&amp;AB$1&amp;CHAR(34)&amp;",","")</f>
        <v/>
      </c>
      <c r="EJ2" s="48" t="str">
        <f>IF(AC2="y",CHAR(34)&amp;AC$1&amp;CHAR(34)&amp;",","")</f>
        <v/>
      </c>
      <c r="EK2" s="48" t="str">
        <f>IF(AD2="y",CHAR(34)&amp;AD$1&amp;CHAR(34)&amp;",","")</f>
        <v/>
      </c>
      <c r="EL2" s="48" t="str">
        <f>IF(AE2="y",CHAR(34)&amp;AE$1&amp;CHAR(34)&amp;",","")</f>
        <v/>
      </c>
      <c r="EM2" s="48" t="str">
        <f>IF(AF2="y",CHAR(34)&amp;AF$1&amp;CHAR(34)&amp;",","")</f>
        <v/>
      </c>
      <c r="EN2" s="48" t="str">
        <f>IF(AG2="y",CHAR(34)&amp;AG$1&amp;CHAR(34)&amp;",","")</f>
        <v/>
      </c>
      <c r="EO2" s="48" t="str">
        <f>IF(AH2="y",CHAR(34)&amp;AH$1&amp;CHAR(34)&amp;",","")</f>
        <v/>
      </c>
      <c r="EP2" s="48" t="str">
        <f>IF(AI2="y",CHAR(34)&amp;AI$1&amp;CHAR(34)&amp;",","")</f>
        <v>"Canton",</v>
      </c>
      <c r="EQ2" s="48" t="str">
        <f>IF(AJ2="y",CHAR(34)&amp;AJ$1&amp;CHAR(34)&amp;",","")</f>
        <v/>
      </c>
      <c r="ER2" s="48" t="str">
        <f>IF(AK2="y",CHAR(34)&amp;AK$1&amp;CHAR(34)&amp;",","")</f>
        <v/>
      </c>
      <c r="ES2" s="48" t="str">
        <f>IF(AL2="y",CHAR(34)&amp;AL$1&amp;CHAR(34)&amp;",","")</f>
        <v/>
      </c>
      <c r="ET2" s="48" t="str">
        <f>IF(AM2="y",CHAR(34)&amp;AM$1&amp;CHAR(34)&amp;",","")</f>
        <v/>
      </c>
      <c r="EU2" s="48" t="str">
        <f>IF(AN2="y",CHAR(34)&amp;AN$1&amp;CHAR(34)&amp;",","")</f>
        <v/>
      </c>
      <c r="EV2" s="48" t="str">
        <f>IF(AO2="y",CHAR(34)&amp;AO$1&amp;CHAR(34)&amp;",","")</f>
        <v/>
      </c>
      <c r="EW2" s="48" t="str">
        <f>IF(AP2="y",CHAR(34)&amp;AP$1&amp;CHAR(34)&amp;",","")</f>
        <v/>
      </c>
      <c r="EX2" s="48" t="str">
        <f>IF(AQ2="y",CHAR(34)&amp;AQ$1&amp;CHAR(34)&amp;",","")</f>
        <v/>
      </c>
      <c r="EY2" s="48" t="str">
        <f>IF(AR2="y",CHAR(34)&amp;AR$1&amp;CHAR(34)&amp;",","")</f>
        <v/>
      </c>
      <c r="EZ2" s="48" t="str">
        <f>IF(AS2="y",CHAR(34)&amp;AS$1&amp;CHAR(34)&amp;",","")</f>
        <v/>
      </c>
      <c r="FA2" s="48" t="str">
        <f>IF(AT2&gt;0,CHAR(34)&amp;"sta"&amp;AZ2&amp;CHAR(34)&amp;",","")</f>
        <v>"staWHI",</v>
      </c>
      <c r="FB2" s="48" t="str">
        <f>IF(AND(AT2&gt;0,BA2&lt;&gt;""),CHAR(34)&amp;"sta"&amp;BA2&amp;CHAR(34)&amp;",","")</f>
        <v/>
      </c>
      <c r="FC2" s="48" t="str">
        <f>IF(AND(AT2&gt;0,BB2&lt;&gt;""),CHAR(34)&amp;"sta"&amp;BB2&amp;CHAR(34)&amp;",","")</f>
        <v/>
      </c>
      <c r="FD2" s="48" t="str">
        <f>IF(BV2="n",CHAR(34)&amp;"tcWHYE"&amp;CHAR(34)&amp;",",IF(BV2="y",CHAR(34)&amp;FD$1&amp;CHAR(34)&amp;",",""))</f>
        <v/>
      </c>
      <c r="FE2" s="48" t="str">
        <f>IF(COUNTIF(BL2:BT2,"BLU")=0,CHAR(34)&amp;"NO_BLU"&amp;CHAR(34)&amp;",", "")</f>
        <v/>
      </c>
      <c r="FF2" s="48" t="str">
        <f>IF(COUNTIF(BL2:BT2,"WHI")=0,CHAR(34)&amp;"NO_WHI"&amp;CHAR(34)&amp;",", "")</f>
        <v/>
      </c>
      <c r="FG2" s="48" t="str">
        <f>IF(COUNTIF(BL2:BT2,"RED")=0,CHAR(34)&amp;"NO_RED"&amp;CHAR(34)&amp;",", "")</f>
        <v/>
      </c>
      <c r="FH2" s="48" t="str">
        <f>IF(COUNTIF(BL2:BS2,"GRE")=0,CHAR(34)&amp;"NO_GRE"&amp;CHAR(34)&amp;",", "")</f>
        <v>"NO_GRE",</v>
      </c>
      <c r="FI2" s="48" t="str">
        <f>IF(COUNTIF(BL2:BT2,"YEL")=0,CHAR(34)&amp;"NO_YEL"&amp;CHAR(34)&amp;",", "")</f>
        <v>"NO_YEL",</v>
      </c>
      <c r="FJ2" s="48" t="str">
        <f>IF(COUNTIF(BL2:BT2,"BLA")=0,CHAR(34)&amp;"NO_BLA"&amp;CHAR(34)&amp;",", "")</f>
        <v>"NO_BLA",</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
      </c>
      <c r="FP2" s="48" t="str">
        <f>IF(AND(FF2&lt;&gt;"",FF2&lt;&gt;""),CHAR(34)&amp;"WHRENO"&amp;CHAR(34)&amp;",","")</f>
        <v/>
      </c>
      <c r="FQ2" s="48" t="str">
        <f>IF(LEN(BF2)=3,CHAR(34)&amp;"001"&amp;BF2&amp;CHAR(34)&amp;",","")</f>
        <v>"001RED",</v>
      </c>
      <c r="FR2" s="48" t="str">
        <f>IF(LEN(BG2)=3,CHAR(34)&amp;"002"&amp;BG2&amp;CHAR(34)&amp;",","")</f>
        <v>"002WHI",</v>
      </c>
      <c r="FS2" s="48" t="str">
        <f>IF(LEN(BH2)=3,CHAR(34)&amp;"003"&amp;BH2&amp;CHAR(34)&amp;",","")</f>
        <v>"003RED",</v>
      </c>
      <c r="FT2" s="48" t="str">
        <f>CHAR(34)&amp;"myr"&amp;BD2&amp;CHAR(34)&amp;","</f>
        <v>"myrRED",</v>
      </c>
      <c r="FU2" s="48" t="str">
        <f>IF(AY2="y",CHAR(34)&amp;"island"&amp;CHAR(34)&amp;",","")</f>
        <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"englis",</v>
      </c>
      <c r="GA2" s="48" t="str">
        <f>IFERROR(IF(SEARCH("French",CB2)&gt;0,CHAR(34)&amp;"french"&amp;CHAR(34)&amp;",",""),"")</f>
        <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
      </c>
      <c r="GK2" s="48" t="str">
        <f>IF(GJ2="",CHAR(34)&amp;"HasSta"&amp;CHAR(34)&amp;",","")</f>
        <v>"HasSta",</v>
      </c>
      <c r="GL2" s="48" t="str">
        <f>IF(CQ2="y",CHAR(34)&amp;CQ$1&amp;CHAR(34)&amp;",","")</f>
        <v>"1Stars",</v>
      </c>
      <c r="GM2" s="48" t="str">
        <f>IF(CR2="y",CHAR(34)&amp;CR$1&amp;CHAR(34)&amp;",","")</f>
        <v/>
      </c>
      <c r="GN2" s="48" t="str">
        <f>IF(CS2="y",CHAR(34)&amp;CS$1&amp;CHAR(34)&amp;",","")</f>
        <v/>
      </c>
      <c r="GP2" s="48" t="str">
        <f>CHAR(34)&amp;AU2&amp;CHAR(34)</f>
        <v>""</v>
      </c>
      <c r="GS2" s="48" t="str">
        <f>SUBSTITUTE("["&amp;_xlfn.CONCAT(CW2:GN2)&amp;"]",",]","]")</f>
        <v>["3Color","lets07","startL","LUEDHI","year18","allhor","4+Band","Horizo","Canton","staWHI","NO_GRE","NO_YEL","NO_BLA","001RED","002WHI","003RED","myrRED","englis","HasSta","1Stars"]</v>
      </c>
      <c r="GT2" s="48" t="str">
        <f>IF(BL2&lt;&gt;"",CHAR(34)&amp;"cl_"&amp;BL2&amp;CHAR(34)&amp;",","")</f>
        <v>"cl_RED",</v>
      </c>
      <c r="GU2" s="48" t="str">
        <f>IF(BM2&lt;&gt;"",CHAR(34)&amp;"cl_"&amp;BM2&amp;CHAR(34)&amp;",","")</f>
        <v>"cl_WHI",</v>
      </c>
      <c r="GV2" s="48" t="str">
        <f>IF(BN2&lt;&gt;"",CHAR(34)&amp;"cl_"&amp;BN2&amp;CHAR(34)&amp;",","")</f>
        <v>"cl_BLU",</v>
      </c>
      <c r="GW2" s="48" t="str">
        <f>IF(BO2&lt;&gt;"",CHAR(34)&amp;"cl_"&amp;BO2&amp;CHAR(34)&amp;",","")</f>
        <v/>
      </c>
      <c r="GX2" s="48" t="str">
        <f>IF(BP2&lt;&gt;"",CHAR(34)&amp;"cl_"&amp;BP2&amp;CHAR(34)&amp;",","")</f>
        <v/>
      </c>
      <c r="GY2" s="48" t="str">
        <f>IF(BQ2&lt;&gt;"",CHAR(34)&amp;"cl_"&amp;BQ2&amp;CHAR(34)&amp;",","")</f>
        <v/>
      </c>
      <c r="GZ2" s="48" t="str">
        <f>IF(BR2&lt;&gt;"",CHAR(34)&amp;"cl_"&amp;BR2&amp;CHAR(34)&amp;",","")</f>
        <v/>
      </c>
      <c r="HA2" s="48" t="str">
        <f>IF(BS2&lt;&gt;"",CHAR(34)&amp;"cl_"&amp;BS2&amp;CHAR(34)&amp;",","")</f>
        <v/>
      </c>
      <c r="HB2" s="48" t="str">
        <f>IF(BT2&lt;&gt;"",CHAR(34)&amp;"cl_"&amp;BT2&amp;CHAR(34)&amp;",","")</f>
        <v/>
      </c>
      <c r="HC2" s="48" t="str">
        <f>SUBSTITUTE("["&amp;_xlfn.CONCAT(GT2:HB2)&amp;"]",",]","]")</f>
        <v>["cl_RED","cl_WHI","cl_BLU"]</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{couname:"Liberia",year:"1847 ",region:"rgn_Africa",Colors:["cl_RED","cl_WHI","cl_BLU"],Items:["3Color","lets07","startL","LUEDHI","year18","allhor","4+Band","Horizo","Canton","staWHI","NO_GRE","NO_YEL","NO_BLA","001RED","002WHI","003RED","myrRED","englis","HasSta","1Stars"],Flag:"",HDFlag:"https://upload.wikimedia.org/wikipedia/commons/thumb/b/b8/Flag_of_Liberia.svg/2560px-Flag_of_Liberia.svg.png",type:"", describe: "\nThe eleven stripes symbolize the signatories of the Liberian Declaration of Independence and the red and white symbolize courage and moral excellence. The white star represents the first independent republic in Africa, above the blue square representing the African continent. The Liberian flag is modeled after and resembles the United States flag because Liberia was founded, colonized, established, and controlled by free people of color and formerly enslaved black people from the United States and the Caribbean", isnew:".", links: "https://en.wikipedia.org/wiki/Flag_of_Liberia"},</v>
      </c>
      <c r="HG2" s="73" t="str">
        <f>"{couname:"&amp;CT2&amp;(IF(HK2&lt;&gt;"",",subtype:"&amp;CHAR(34)&amp;HK2&amp;CHAR(34),""))&amp;",year:"&amp;HJ2&amp;",region:"&amp;CU2&amp;",Colors:"&amp;HC2&amp;",Items:"&amp;GS2&amp;",Flag:"&amp;CV2&amp;",HDFlag:"&amp;CHAR(34)&amp;E2&amp;CHAR(34)&amp;",type:"&amp;GP2&amp;", describe: "&amp;HI2&amp;", links: "&amp;HL2&amp;"},"</f>
        <v>{couname:"Liberia",year:"1847 ",region:"rgn_Africa",Colors:["cl_RED","cl_WHI","cl_BLU"],Items:["3Color","lets07","startL","LUEDHI","year18","allhor","4+Band","Horizo","Canton","staWHI","NO_GRE","NO_YEL","NO_BLA","001RED","002WHI","003RED","myrRED","englis","HasSta","1Stars"],Flag:"",HDFlag:"https://upload.wikimedia.org/wikipedia/commons/thumb/b/b8/Flag_of_Liberia.svg/2560px-Flag_of_Liberia.svg.png",type:"", describe: "\nThe eleven stripes symbolize the signatories of the Liberian Declaration of Independence and the red and white symbolize courage and moral excellence. The white star represents the first independent republic in Africa, above the blue square representing the African continent. The Liberian flag is modeled after and resembles the United States flag because Liberia was founded, colonized, established, and controlled by free people of color and formerly enslaved black people from the United States and the Caribbean", links: "https://en.wikipedia.org/wiki/Flag_of_Liberia"},</v>
      </c>
      <c r="HH2" s="48" t="str">
        <f>IF(P2&lt;&gt;"",CHAR(34)&amp;"\n"&amp;P2&amp;CHAR(34),CHAR(34)&amp;CHAR(34))</f>
        <v>"\nThe eleven stripes symbolize the signatories of the Liberian Declaration of Independence and the red and white symbolize courage and moral excellence. The white star represents the first independent republic in Africa, above the blue square representing the African continent. The Liberian flag is modeled after and resembles the United States flag because Liberia was founded, colonized, established, and controlled by free people of color and formerly enslaved black people from the United States and the Caribbean"</v>
      </c>
      <c r="HI2" s="48" t="str">
        <f>IF(J2=0,CHAR(34)&amp;CHAR(34),HH2)</f>
        <v>"\nThe eleven stripes symbolize the signatories of the Liberian Declaration of Independence and the red and white symbolize courage and moral excellence. The white star represents the first independent republic in Africa, above the blue square representing the African continent. The Liberian flag is modeled after and resembles the United States flag because Liberia was founded, colonized, established, and controlled by free people of color and formerly enslaved black people from the United States and the Caribbean"</v>
      </c>
      <c r="HJ2" s="48" t="str">
        <f>CHAR(34)&amp;O2&amp;CHAR(34)</f>
        <v>"1847 "</v>
      </c>
      <c r="HL2" s="48" t="str">
        <f>CHAR(34)&amp;I2&amp;CHAR(34)</f>
        <v>"https://en.wikipedia.org/wiki/Flag_of_Liberia"</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{"couname":"Liberia","year":"1847 ","region":"rgn_Africa","Colors":["cl_RED","cl_WHI","cl_BLU"],"Items":["3Color","lets07","startL","LUEDHI","year18","allhor","4+Band","Horizo","Canton","staWHI","NO_GRE","NO_YEL","NO_BLA","001RED","002WHI","003RED","myrRED","englis","HasSta","1Stars"],"Flag":"","HDFlag":"https://upload.wikimedia.org/wikipedia/commons/thumb/b/b8/Flag_of_Liberia.svg/2560px-Flag_of_Liberia.svg.png","type":"", "describe": "\nThe eleven stripes symbolize the signatories of the Liberian Declaration of Independence and the red and white symbolize courage and moral excellence. The white star represents the first independent republic in Africa, above the blue square representing the African continent. The Liberian flag is modeled after and resembles the United States flag because Liberia was founded, colonized, established, and controlled by free people of color and formerly enslaved black people from the United States and the Caribbean", "isnew": ".", "links": "https://en.wikipedia.org/wiki/Flag_of_Liberia"},</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{"couname":"Liberia","year":"1847 ","region":"rgn_Africa","Colors":["cl_RED","cl_WHI","cl_BLU"],"Items":["3Color","lets07","startL","LUEDHI","year18","allhor","4+Band","Horizo","Canton","staWHI","NO_GRE","NO_YEL","NO_BLA","001RED","002WHI","003RED","myrRED","englis","HasSta","1Stars"],"Flag":"","HDFlag":"https://upload.wikimedia.org/wikipedia/commons/thumb/b/b8/Flag_of_Liberia.svg/2560px-Flag_of_Liberia.svg.png","type":"", "describe": "\nThe eleven stripes symbolize the signatories of the Liberian Declaration of Independence and the red and white symbolize courage and moral excellence. The white star represents the first independent republic in Africa, above the blue square representing the African continent. The Liberian flag is modeled after and resembles the United States flag because Liberia was founded, colonized, established, and controlled by free people of color and formerly enslaved black people from the United States and the Caribbean", "isnew": ".", "links": "https://en.wikipedia.org/wiki/Flag_of_Liberia"},</v>
      </c>
      <c r="HO2" s="75"/>
      <c r="HP2" s="48" t="str" cm="1">
        <f t="array" ref="HP2">IF(_xlfn.TEXTJOIN(", ", TRUE, IF(ISNUMBER(SEARCH("BLA", BL2:BT2)), COLUMN(BL2:BT2) - COLUMN(BL2) + 1, ""))&lt;&gt;"","BLA","")</f>
        <v/>
      </c>
      <c r="HQ2" s="48" t="str" cm="1">
        <f t="array" ref="HQ2">IF(_xlfn.TEXTJOIN(", ", TRUE, IF(ISNUMBER(SEARCH("BLU", BL2:BT2)), COLUMN(BL2:BT2) - COLUMN(BL2) + 1, ""))&lt;&gt;"","BLU","")</f>
        <v>BLU</v>
      </c>
      <c r="HR2" s="48" t="str" cm="1">
        <f t="array" ref="HR2">IF(_xlfn.TEXTJOIN(", ", TRUE, IF(ISNUMBER(SEARCH("GRE", BL2:BT2)), COLUMN(BL2:BT2) - COLUMN(BL2) + 1, ""))&lt;&gt;"","GRE","")</f>
        <v/>
      </c>
      <c r="HS2" s="48" t="str" cm="1">
        <f t="array" ref="HS2">IF(_xlfn.TEXTJOIN(", ", TRUE, IF(ISNUMBER(SEARCH("RED", BL2:BT2)), COLUMN(BL2:BT2) - COLUMN(BL2) + 1, ""))&lt;&gt;"","RED","")</f>
        <v>RED</v>
      </c>
      <c r="HT2" s="48" t="str" cm="1">
        <f t="array" ref="HT2">IF(_xlfn.TEXTJOIN(", ", TRUE, IF(ISNUMBER(SEARCH("YEL", BL2:BT2)), COLUMN(BL2:BT2) - COLUMN(BL2) + 1, ""))&lt;&gt;"","YEL","")</f>
        <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c r="IB2" s="6"/>
      <c r="IC2" s="77"/>
      <c r="ID2" s="77"/>
      <c r="IE2" s="77"/>
      <c r="IF2" s="77"/>
      <c r="IG2" s="77"/>
      <c r="IH2" s="77"/>
      <c r="II2" s="77"/>
      <c r="IJ2" s="77"/>
      <c r="IK2" s="77"/>
      <c r="IL2" s="48">
        <f>SUM(IC2:IK2)</f>
        <v>0</v>
      </c>
      <c r="IM2" s="45">
        <f>COUNTIF(IC2:IK2,"&gt;0")-CG2</f>
        <v>-3</v>
      </c>
      <c r="IN2" s="78" t="str">
        <f>"http://mkweb.bcgsc.ca/color-summarizer/?url="&amp;D2&amp;"&amp;precision=low&amp;num_clusters="&amp;CG2&amp;"&amp;text=1"</f>
        <v>http://mkweb.bcgsc.ca/color-summarizer/?url=&amp;precision=low&amp;num_clusters=3&amp;text=1</v>
      </c>
      <c r="IO2" s="48" t="str">
        <f>IF(HP2&lt;&gt;"",CHAR(34)&amp;"black"&amp;CHAR(34),"")</f>
        <v/>
      </c>
      <c r="IP2" s="48" t="str">
        <f>IF(HQ2&lt;&gt;"",CHAR(34)&amp;"blue"&amp;CHAR(34),"")</f>
        <v>"blue"</v>
      </c>
      <c r="IQ2" s="48" t="str">
        <f>IF(HR2&lt;&gt;"",CHAR(34)&amp;"green"&amp;CHAR(34),"")</f>
        <v/>
      </c>
      <c r="IR2" s="48" t="str">
        <f>IF(HS2&lt;&gt;"",CHAR(34)&amp;"red"&amp;CHAR(34),"")</f>
        <v>"red"</v>
      </c>
      <c r="IS2" s="48" t="str">
        <f>IF(HT2&lt;&gt;"",CHAR(34)&amp;"yellow"&amp;CHAR(34),"")</f>
        <v/>
      </c>
      <c r="IT2" s="48" t="str">
        <f>IF(HU2&lt;&gt;"",CHAR(34)&amp;"orange"&amp;CHAR(34),"")</f>
        <v/>
      </c>
      <c r="IU2" s="48" t="str">
        <f>IF(HV2&lt;&gt;"",CHAR(34)&amp;"brown"&amp;CHAR(34),"")</f>
        <v/>
      </c>
      <c r="IV2" s="48" t="str">
        <f>IF(HW2&lt;&gt;"",CHAR(34)&amp;"purple"&amp;CHAR(34),"")</f>
        <v/>
      </c>
      <c r="IW2" s="48" t="str">
        <f>IF(HX2&lt;&gt;"",CHAR(34)&amp;"white"&amp;CHAR(34),"")</f>
        <v>"white"</v>
      </c>
      <c r="IX2" s="48" t="str">
        <f>"{"&amp;CHAR(34)&amp;"url"&amp;CHAR(34)&amp;":"&amp;CHAR(34)&amp;IN2&amp;CHAR(34)&amp;","&amp;CHAR(34)&amp;"name"&amp;CHAR(34)&amp;":"&amp;CHAR(34)&amp;A2&amp;CHAR(34)&amp;"},"</f>
        <v>{"url":"http://mkweb.bcgsc.ca/color-summarizer/?url=&amp;precision=low&amp;num_clusters=3&amp;text=1","name":"Liberia"},</v>
      </c>
      <c r="IY2" s="48">
        <v>122</v>
      </c>
    </row>
    <row r="3" spans="1:259" s="48" customFormat="1" ht="38.4" customHeight="1" thickBot="1" x14ac:dyDescent="0.35">
      <c r="A3" s="79" t="s">
        <v>556</v>
      </c>
      <c r="B3" s="40" t="e" vm="59">
        <v>#VALUE!</v>
      </c>
      <c r="C3" s="41">
        <v>2</v>
      </c>
      <c r="D3" s="42" t="s">
        <v>557</v>
      </c>
      <c r="E3" s="43" t="s">
        <v>558</v>
      </c>
      <c r="F3" s="44" t="s">
        <v>163</v>
      </c>
      <c r="G3" s="45">
        <f>COUNTIF($A$1:$A$8383,A3)</f>
        <v>1</v>
      </c>
      <c r="H3" s="46"/>
      <c r="I3" s="47" t="s">
        <v>559</v>
      </c>
      <c r="J3" s="48" t="str">
        <f>""</f>
        <v/>
      </c>
      <c r="K3" s="49"/>
      <c r="L3" s="50"/>
      <c r="M3" s="50"/>
      <c r="N3" s="51" t="s">
        <v>180</v>
      </c>
      <c r="O3" s="52">
        <v>1965</v>
      </c>
      <c r="P3" s="53" t="s">
        <v>560</v>
      </c>
      <c r="Q3" s="54">
        <v>2</v>
      </c>
      <c r="R3" s="55" t="s">
        <v>180</v>
      </c>
      <c r="S3" s="56">
        <v>3</v>
      </c>
      <c r="T3" s="57" t="s">
        <v>164</v>
      </c>
      <c r="U3" s="58" t="s">
        <v>164</v>
      </c>
      <c r="V3" s="58" t="s">
        <v>167</v>
      </c>
      <c r="W3" s="58" t="s">
        <v>164</v>
      </c>
      <c r="X3" s="58" t="s">
        <v>164</v>
      </c>
      <c r="Y3" s="58" t="s">
        <v>164</v>
      </c>
      <c r="Z3" s="58" t="s">
        <v>164</v>
      </c>
      <c r="AA3" s="58" t="s">
        <v>167</v>
      </c>
      <c r="AB3" s="58" t="s">
        <v>164</v>
      </c>
      <c r="AC3" s="58" t="s">
        <v>164</v>
      </c>
      <c r="AD3" s="58" t="s">
        <v>164</v>
      </c>
      <c r="AE3" s="58" t="s">
        <v>164</v>
      </c>
      <c r="AF3" s="59" t="s">
        <v>164</v>
      </c>
      <c r="AG3" s="59" t="s">
        <v>167</v>
      </c>
      <c r="AH3" s="59" t="s">
        <v>164</v>
      </c>
      <c r="AI3" s="59" t="s">
        <v>167</v>
      </c>
      <c r="AJ3" s="59" t="s">
        <v>164</v>
      </c>
      <c r="AK3" s="59" t="s">
        <v>164</v>
      </c>
      <c r="AL3" s="59" t="s">
        <v>164</v>
      </c>
      <c r="AM3" s="59" t="s">
        <v>167</v>
      </c>
      <c r="AN3" s="59" t="s">
        <v>164</v>
      </c>
      <c r="AO3" s="59" t="s">
        <v>167</v>
      </c>
      <c r="AP3" s="59" t="s">
        <v>164</v>
      </c>
      <c r="AQ3" s="59" t="s">
        <v>164</v>
      </c>
      <c r="AR3" s="59" t="s">
        <v>164</v>
      </c>
      <c r="AS3" s="59" t="s">
        <v>164</v>
      </c>
      <c r="AT3" s="60">
        <v>1</v>
      </c>
      <c r="AU3" s="59" t="s">
        <v>561</v>
      </c>
      <c r="AV3" s="59" t="str">
        <f>IF(LEFT(A3,1)="[",LEFT(A3,5)&amp;AU3&amp;A3,"")</f>
        <v>[LBR]County[LBR] Maryland County</v>
      </c>
      <c r="AW3" s="59" t="str">
        <f t="shared" ref="AW3" si="1">C3&amp;H3&amp;A3</f>
        <v>2[LBR] Maryland County</v>
      </c>
      <c r="AX3" s="61"/>
      <c r="AY3" s="61"/>
      <c r="AZ3" s="62" t="s">
        <v>159</v>
      </c>
      <c r="BA3" s="62"/>
      <c r="BB3" s="62"/>
      <c r="BC3" s="63"/>
      <c r="BD3" s="64" t="s">
        <v>155</v>
      </c>
      <c r="BE3" s="47"/>
      <c r="BF3" s="64" t="s">
        <v>155</v>
      </c>
      <c r="BG3" s="64" t="s">
        <v>152</v>
      </c>
      <c r="BH3" s="64" t="s">
        <v>155</v>
      </c>
      <c r="BI3" s="64"/>
      <c r="BJ3" s="64"/>
      <c r="BK3" s="47"/>
      <c r="BL3" s="64" t="s">
        <v>151</v>
      </c>
      <c r="BM3" s="64" t="s">
        <v>152</v>
      </c>
      <c r="BN3" s="64" t="s">
        <v>153</v>
      </c>
      <c r="BO3" s="64" t="s">
        <v>154</v>
      </c>
      <c r="BP3" s="64" t="s">
        <v>155</v>
      </c>
      <c r="BQ3" s="64" t="s">
        <v>172</v>
      </c>
      <c r="BR3" s="64" t="s">
        <v>157</v>
      </c>
      <c r="BS3" s="64" t="s">
        <v>172</v>
      </c>
      <c r="BT3" s="64" t="s">
        <v>159</v>
      </c>
      <c r="BU3" s="65" t="s">
        <v>164</v>
      </c>
      <c r="BV3" s="66"/>
      <c r="BW3" s="66">
        <v>0</v>
      </c>
      <c r="BX3" s="47"/>
      <c r="CB3" s="6"/>
      <c r="CC3" s="6"/>
      <c r="CD3" s="67">
        <v>0</v>
      </c>
      <c r="CE3" s="67">
        <v>0</v>
      </c>
      <c r="CF3" s="67" t="e">
        <v>#REF!</v>
      </c>
      <c r="CG3" s="68" cm="1">
        <f t="array" ref="CG3">SUMPRODUCT(--(LEN(TRIM(BL3:BT3))&gt;0))</f>
        <v>7</v>
      </c>
      <c r="CH3" s="59" t="str">
        <f>IF(CG3=2,"y","n")</f>
        <v>n</v>
      </c>
      <c r="CI3" s="59" t="str">
        <f>IF(CG3=3,"y","n")</f>
        <v>n</v>
      </c>
      <c r="CJ3" s="59" t="str">
        <f>IF(CG3=4,"y","n")</f>
        <v>n</v>
      </c>
      <c r="CK3" s="59" t="str">
        <f>IF(CG3&gt;4,"y","n")</f>
        <v>y</v>
      </c>
      <c r="CL3" s="59" t="str">
        <f>IF(S3=0,"y","n")</f>
        <v>n</v>
      </c>
      <c r="CM3" s="59" t="str">
        <f>IF(S3=2,"y","n")</f>
        <v>n</v>
      </c>
      <c r="CN3" s="59" t="str">
        <f>IF(S3=3,"y","n")</f>
        <v>y</v>
      </c>
      <c r="CO3" s="59" t="str">
        <f>IF(S3&gt;=4,"y","n")</f>
        <v>n</v>
      </c>
      <c r="CP3" s="59" t="str">
        <f>IF(AT3=0,"y","n")</f>
        <v>n</v>
      </c>
      <c r="CQ3" s="59" t="str">
        <f>IF(AT3=1,"y","n")</f>
        <v>y</v>
      </c>
      <c r="CR3" s="59" t="str">
        <f>IF(AT3=2,"y","n")</f>
        <v>n</v>
      </c>
      <c r="CS3" s="59" t="str">
        <f>IF(AT3&gt;=3,"y","n")</f>
        <v>n</v>
      </c>
      <c r="CT3" s="69" t="str">
        <f>CHAR(34)&amp;A3&amp;CHAR(34)</f>
        <v>"[LBR] Maryland County"</v>
      </c>
      <c r="CU3" s="70" t="str">
        <f>CHAR(34)&amp;"rgn_"&amp;R3&amp;CHAR(34)</f>
        <v>"rgn_Africa"</v>
      </c>
      <c r="CV3" s="48" t="str">
        <f>CHAR(34)&amp;D3&amp;CHAR(34)</f>
        <v>"https://upload.wikimedia.org/wikipedia/commons/thumb/5/59/Flag_of_Maryland_County.svg/800px-Flag_of_Maryland_County.svg.png"</v>
      </c>
      <c r="CW3" s="48" t="str">
        <f>IF(CH3="y",CHAR(34)&amp;CH$1&amp;CHAR(34)&amp;",","")</f>
        <v/>
      </c>
      <c r="CX3" s="48" t="str">
        <f>IF(CI3="y",CHAR(34)&amp;CI$1&amp;CHAR(34)&amp;",","")</f>
        <v/>
      </c>
      <c r="CY3" s="48" t="str">
        <f>IF(CJ3="y",CHAR(34)&amp;CJ$1&amp;CHAR(34)&amp;",","")</f>
        <v/>
      </c>
      <c r="CZ3" s="48" t="str">
        <f>IF(CK3="y",CHAR(34)&amp;CK$1&amp;CHAR(34)&amp;",","")</f>
        <v>"5+Colo",</v>
      </c>
      <c r="DA3" s="48" t="str">
        <f>IF(Q3&gt;1,CHAR(34)&amp;"words2"&amp;CHAR(34)&amp;",","")</f>
        <v>"words2",</v>
      </c>
      <c r="DB3" s="48" t="str">
        <f>IF(Q3&gt;2,CHAR(34)&amp;"words3"&amp;CHAR(34)&amp;",","")</f>
        <v/>
      </c>
      <c r="DC3" s="48" t="str">
        <f>IF(Q3=2,CHAR(34)&amp;"exact2"&amp;CHAR(34)&amp;",","")</f>
        <v>"exact2",</v>
      </c>
      <c r="DD3" s="48" t="str">
        <f>IF(LEN(CHAR(34)&amp;"lets"&amp;LEN(SUBSTITUTE(SUBSTITUTE(IFERROR(TRIM(SUBSTITUTE(SUBSTITUTE(SUBSTITUTE(IFERROR(TRIM(SUBSTITUTE(A3,MID(A3,FIND("(",A3),FIND(")",A3)-FIND("(",A3)+1),"")),A3),"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",""),"-",""))&amp;CHAR(34)&amp;",")=9,CHAR(34)&amp;"lets"&amp;LEN(SUBSTITUTE(SUBSTITUTE(IFERROR(TRIM(SUBSTITUTE(SUBSTITUTE(SUBSTITUTE(IFERROR(TRIM(SUBSTITUTE(A3,MID(A3,FIND("(",A3),FIND(")",A3)-FIND("(",A3)+1),"")),A3),"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",""),"-",""))&amp;CHAR(34)&amp;",",CHAR(34)&amp;"lets0"&amp;LEN(SUBSTITUTE(SUBSTITUTE(IFERROR(TRIM(SUBSTITUTE(SUBSTITUTE(SUBSTITUTE(IFERROR(TRIM(SUBSTITUTE(A3,MID(A3,FIND("(",A3),FIND(")",A3)-FIND("(",A3)+1),"")),A3),"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f>
        <v>"lets14",</v>
      </c>
      <c r="DE3" s="48" t="str">
        <f>IFERROR(CHAR(34)&amp;"start"&amp;LEFT(TRIM(SUBSTITUTE(SUBSTITUTE(TRIM(SUBSTITUTE(SUBSTITUTE(A3, MID(A3, FIND("[", A3), FIND("]", A3) - FIND("[", A3) + 1), ""), "  ", " ")), MID(TRIM(SUBSTITUTE(SUBSTITUTE(A3, MID(A3, FIND("[", A3), FIND("]", A3) - FIND("[", A3) + 1), ""), "  ", " ")), FIND("[", TRIM(SUBSTITUTE(SUBSTITUTE(A3, MID(A3, FIND("[", A3), FIND("]", A3) - FIND("[", A3) + 1), ""), "  ", " "))), FIND("]", TRIM(SUBSTITUTE(SUBSTITUTE(A3, MID(A3, FIND("[", A3), FIND("]", A3) - FIND("[", A3) + 1), ""), "  ", " "))) - FIND("[", TRIM(SUBSTITUTE(SUBSTITUTE(A3, MID(A3, FIND("[", A3), FIND("]", A3) - FIND("[", A3) + 1), ""), "  ", " "))) + 1), ""), "  ", " ")),1)&amp;CHAR(34)&amp;",",CHAR(34)&amp;"start"&amp;IFERROR(LEFT(SUBSTITUTE(A3,"["&amp;MID(A3,FIND("[",A3)+1,FIND("]",A3)-FIND("[",A3)-1)&amp;"] ",""),1),LEFT(A3,1))&amp;CHAR(34)&amp;",")</f>
        <v>"startM",</v>
      </c>
      <c r="DF3" s="48" t="str">
        <f>IFERROR(IF(SEARCH("tan",A3)&gt;0,CHAR(34)&amp;"withtn"&amp;CHAR(34)&amp;",",""),"")</f>
        <v/>
      </c>
      <c r="DG3" s="48" t="str">
        <f>IFERROR(IF(SEARCH("q",A3)&gt;0,CHAR(34)&amp;"with_q"&amp;CHAR(34)&amp;",",""),"")</f>
        <v/>
      </c>
      <c r="DH3" s="48" t="str">
        <f>IFERROR(IF(SEARCH("v",A3)&gt;0,CHAR(34)&amp;"with_v"&amp;CHAR(34)&amp;",",""),"")</f>
        <v/>
      </c>
      <c r="DI3" s="48" t="str">
        <f>IFERROR(IF(SEARCH("w",A3)&gt;0,CHAR(34)&amp;"with_w"&amp;CHAR(34)&amp;",",""),"")</f>
        <v/>
      </c>
      <c r="DJ3" s="48" t="str">
        <f>IFERROR(IF(SEARCH("y",A3)&gt;0,CHAR(34)&amp;"with_y"&amp;CHAR(34)&amp;",",""),"")</f>
        <v>"with_y",</v>
      </c>
      <c r="DK3" s="48" t="str">
        <f>IFERROR(IF(SEARCH("z",A3)&gt;0,CHAR(34)&amp;"with_z"&amp;CHAR(34)&amp;",",""),"")</f>
        <v/>
      </c>
      <c r="DL3" s="48" t="str">
        <f>IF(CG3=2, CHAR(34) &amp; _xlfn.TEXTJOIN("", TRUE, _xlfn._xlws.SORT(HP3:HX3)) &amp; CHAR(34) &amp; ",", "")</f>
        <v/>
      </c>
      <c r="DM3" s="48" t="str" cm="1">
        <f t="array" ref="DM3">IF(CG3=3,CHAR(34) &amp; _xlfn.TEXTJOIN("", TRUE, RIGHT(HP3:HX3, 2)) &amp; CHAR(34) &amp; ",", "")</f>
        <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"year19",</v>
      </c>
      <c r="DP3" s="6" t="str">
        <f>IF(AND(ISNUMBER(SEARCH("20", O3)), ISERROR(SEARCH("1920", O3))), CHAR(34)&amp;"year00"&amp;CHAR(34)&amp;",", "")</f>
        <v/>
      </c>
      <c r="DQ3" s="6" t="str">
        <f>IF(CC3="y",CHAR(34)&amp;"soviet"&amp;CHAR(34)&amp;",","")</f>
        <v/>
      </c>
      <c r="DR3" s="6" t="str">
        <f>IF(BY3="y",CHAR(34)&amp;"dgband"&amp;CHAR(34)&amp;",","")</f>
        <v/>
      </c>
      <c r="DS3" s="6" t="str">
        <f>IF(W3="y",IF(AND(V3="n",BY3&lt;&gt;"y"),CHAR(34)&amp;"allver"&amp;CHAR(34)&amp;",",""),"")</f>
        <v/>
      </c>
      <c r="DT3" s="6" t="str">
        <f>IF(V3="y",IF(AND(W3="n",BY3&lt;&gt;"y"),CHAR(34)&amp;"allhor"&amp;CHAR(34)&amp;",",""),"")</f>
        <v>"allhor",</v>
      </c>
      <c r="DU3" s="6" t="str">
        <f>IF(BY3="y",IF(AND(W3="n",V3="n"),CHAR(34)&amp;"alldia"&amp;CHAR(34)&amp;",",""),"")</f>
        <v/>
      </c>
      <c r="DV3" s="48" t="str">
        <f>IF(IA3&lt;&gt;"",(IF(IA3="y",CHAR(34)&amp;"largec"&amp;CHAR(34)&amp;",",CHAR(34)&amp;"smallc"&amp;CHAR(34)&amp;",")),"")</f>
        <v/>
      </c>
      <c r="DW3" s="48" t="str">
        <f>IF(CL3="y",CHAR(34)&amp;CL$1&amp;CHAR(34)&amp;",","")</f>
        <v/>
      </c>
      <c r="DX3" s="48" t="str">
        <f>IF(CM3="y",CHAR(34)&amp;CM$1&amp;CHAR(34)&amp;",","")</f>
        <v/>
      </c>
      <c r="DY3" s="48" t="str">
        <f>IF(CN3="y",CHAR(34)&amp;CN$1&amp;CHAR(34)&amp;",","")</f>
        <v>"3Bands",</v>
      </c>
      <c r="DZ3" s="48" t="str">
        <f>IF(CO3="y",CHAR(34)&amp;CO$1&amp;CHAR(34)&amp;",","")</f>
        <v/>
      </c>
      <c r="EA3" s="48" t="str">
        <f>IF(T3="y",CHAR(34)&amp;T$1&amp;CHAR(34)&amp;",","")</f>
        <v/>
      </c>
      <c r="EB3" s="48" t="str">
        <f>IF(U3="y",CHAR(34)&amp;U$1&amp;CHAR(34)&amp;",","")</f>
        <v/>
      </c>
      <c r="EC3" s="48" t="str">
        <f>IF(V3="y",CHAR(34)&amp;V$1&amp;CHAR(34)&amp;",","")</f>
        <v>"Horizo",</v>
      </c>
      <c r="ED3" s="48" t="str">
        <f>IF(W3="y",CHAR(34)&amp;W$1&amp;CHAR(34)&amp;",","")</f>
        <v/>
      </c>
      <c r="EE3" s="48" t="str">
        <f>IF(X3="y",CHAR(34)&amp;X$1&amp;CHAR(34)&amp;",","")</f>
        <v/>
      </c>
      <c r="EF3" s="48" t="str">
        <f>IF(AND(Y3&lt;&gt;"n",Y3&lt;&gt;""),CHAR(34)&amp;Y$1&amp;CHAR(34)&amp;",","")</f>
        <v/>
      </c>
      <c r="EG3" s="48" t="str">
        <f>IF(Z3="y",CHAR(34)&amp;Z$1&amp;CHAR(34)&amp;",","")</f>
        <v/>
      </c>
      <c r="EH3" s="48" t="str">
        <f>IF(AA3="y",CHAR(34)&amp;AA$1&amp;CHAR(34)&amp;",","")</f>
        <v>"Plants",</v>
      </c>
      <c r="EI3" s="48" t="str">
        <f>IF(AB3="y",CHAR(34)&amp;AB$1&amp;CHAR(34)&amp;",","")</f>
        <v/>
      </c>
      <c r="EJ3" s="48" t="str">
        <f>IF(AC3="y",CHAR(34)&amp;AC$1&amp;CHAR(34)&amp;",","")</f>
        <v/>
      </c>
      <c r="EK3" s="48" t="str">
        <f>IF(AD3="y",CHAR(34)&amp;AD$1&amp;CHAR(34)&amp;",","")</f>
        <v/>
      </c>
      <c r="EL3" s="48" t="str">
        <f>IF(AE3="y",CHAR(34)&amp;AE$1&amp;CHAR(34)&amp;",","")</f>
        <v/>
      </c>
      <c r="EM3" s="48" t="str">
        <f>IF(AF3="y",CHAR(34)&amp;AF$1&amp;CHAR(34)&amp;",","")</f>
        <v/>
      </c>
      <c r="EN3" s="48" t="str">
        <f>IF(AG3="y",CHAR(34)&amp;AG$1&amp;CHAR(34)&amp;",","")</f>
        <v>"Unequa",</v>
      </c>
      <c r="EO3" s="48" t="str">
        <f>IF(AH3="y",CHAR(34)&amp;AH$1&amp;CHAR(34)&amp;",","")</f>
        <v/>
      </c>
      <c r="EP3" s="48" t="str">
        <f>IF(AI3="y",CHAR(34)&amp;AI$1&amp;CHAR(34)&amp;",","")</f>
        <v>"Canton",</v>
      </c>
      <c r="EQ3" s="48" t="str">
        <f>IF(AJ3="y",CHAR(34)&amp;AJ$1&amp;CHAR(34)&amp;",","")</f>
        <v/>
      </c>
      <c r="ER3" s="48" t="str">
        <f>IF(AK3="y",CHAR(34)&amp;AK$1&amp;CHAR(34)&amp;",","")</f>
        <v/>
      </c>
      <c r="ES3" s="48" t="str">
        <f>IF(AL3="y",CHAR(34)&amp;AL$1&amp;CHAR(34)&amp;",","")</f>
        <v/>
      </c>
      <c r="ET3" s="48" t="str">
        <f>IF(AM3="y",CHAR(34)&amp;AM$1&amp;CHAR(34)&amp;",","")</f>
        <v>"Geogrh",</v>
      </c>
      <c r="EU3" s="48" t="str">
        <f>IF(AN3="y",CHAR(34)&amp;AN$1&amp;CHAR(34)&amp;",","")</f>
        <v/>
      </c>
      <c r="EV3" s="48" t="str">
        <f>IF(AO3="y",CHAR(34)&amp;AO$1&amp;CHAR(34)&amp;",","")</f>
        <v>"Builds",</v>
      </c>
      <c r="EW3" s="48" t="str">
        <f>IF(AP3="y",CHAR(34)&amp;AP$1&amp;CHAR(34)&amp;",","")</f>
        <v/>
      </c>
      <c r="EX3" s="48" t="str">
        <f>IF(AQ3="y",CHAR(34)&amp;AQ$1&amp;CHAR(34)&amp;",","")</f>
        <v/>
      </c>
      <c r="EY3" s="48" t="str">
        <f>IF(AR3="y",CHAR(34)&amp;AR$1&amp;CHAR(34)&amp;",","")</f>
        <v/>
      </c>
      <c r="EZ3" s="48" t="str">
        <f>IF(AS3="y",CHAR(34)&amp;AS$1&amp;CHAR(34)&amp;",","")</f>
        <v/>
      </c>
      <c r="FA3" s="48" t="str">
        <f>IF(AT3&gt;0,CHAR(34)&amp;"sta"&amp;AZ3&amp;CHAR(34)&amp;",","")</f>
        <v>"staWHI",</v>
      </c>
      <c r="FB3" s="48" t="str">
        <f>IF(AND(AT3&gt;0,BA3&lt;&gt;""),CHAR(34)&amp;"sta"&amp;BA3&amp;CHAR(34)&amp;",","")</f>
        <v/>
      </c>
      <c r="FC3" s="48" t="str">
        <f>IF(AND(AT3&gt;0,BB3&lt;&gt;""),CHAR(34)&amp;"sta"&amp;BB3&amp;CHAR(34)&amp;",","")</f>
        <v/>
      </c>
      <c r="FD3" s="48" t="str">
        <f>IF(BV3="n",CHAR(34)&amp;"tcWHYE"&amp;CHAR(34)&amp;",",IF(BV3="y",CHAR(34)&amp;FD$1&amp;CHAR(34)&amp;",",""))</f>
        <v/>
      </c>
      <c r="FE3" s="48" t="str">
        <f>IF(COUNTIF(BL3:BT3,"BLU")=0,CHAR(34)&amp;"NO_BLU"&amp;CHAR(34)&amp;",", "")</f>
        <v/>
      </c>
      <c r="FF3" s="48" t="str">
        <f>IF(COUNTIF(BL3:BT3,"WHI")=0,CHAR(34)&amp;"NO_WHI"&amp;CHAR(34)&amp;",", "")</f>
        <v/>
      </c>
      <c r="FG3" s="48" t="str">
        <f>IF(COUNTIF(BL3:BT3,"RED")=0,CHAR(34)&amp;"NO_RED"&amp;CHAR(34)&amp;",", "")</f>
        <v/>
      </c>
      <c r="FH3" s="48" t="str">
        <f>IF(COUNTIF(BL3:BS3,"GRE")=0,CHAR(34)&amp;"NO_GRE"&amp;CHAR(34)&amp;",", "")</f>
        <v/>
      </c>
      <c r="FI3" s="48" t="str">
        <f>IF(COUNTIF(BL3:BT3,"YEL")=0,CHAR(34)&amp;"NO_YEL"&amp;CHAR(34)&amp;",", "")</f>
        <v/>
      </c>
      <c r="FJ3" s="48" t="str">
        <f>IF(COUNTIF(BL3:BT3,"BLA")=0,CHAR(34)&amp;"NO_BLA"&amp;CHAR(34)&amp;",", "")</f>
        <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
      </c>
      <c r="FQ3" s="48" t="str">
        <f>IF(LEN(BF3)=3,CHAR(34)&amp;"001"&amp;BF3&amp;CHAR(34)&amp;",","")</f>
        <v>"001YEL",</v>
      </c>
      <c r="FR3" s="48" t="str">
        <f>IF(LEN(BG3)=3,CHAR(34)&amp;"002"&amp;BG3&amp;CHAR(34)&amp;",","")</f>
        <v>"002BLU",</v>
      </c>
      <c r="FS3" s="48" t="str">
        <f>IF(LEN(BH3)=3,CHAR(34)&amp;"003"&amp;BH3&amp;CHAR(34)&amp;",","")</f>
        <v>"003YEL",</v>
      </c>
      <c r="FT3" s="48" t="str">
        <f>CHAR(34)&amp;"myr"&amp;BD3&amp;CHAR(34)&amp;","</f>
        <v>"myrYEL",</v>
      </c>
      <c r="FU3" s="48" t="str">
        <f>IF(AY3="y",CHAR(34)&amp;"island"&amp;CHAR(34)&amp;",","")</f>
        <v/>
      </c>
      <c r="FV3" s="48" t="str">
        <f>IF(BZ3="y",CHAR(34)&amp;"landlo"&amp;CHAR(34)&amp;",","")</f>
        <v/>
      </c>
      <c r="FW3" s="48" t="str">
        <f>IF(CA3="y",CHAR(34)&amp;"eunion"&amp;CHAR(34)&amp;",","")</f>
        <v/>
      </c>
      <c r="FX3" s="48" t="str">
        <f>SUBSTITUTE(IFERROR(SEARCH("[",A3),IFERROR(IF(AND(CA3&lt;&gt;"y",SEARCH("Europe",R3)&gt;0),CHAR(34)&amp;"noeuni"&amp;CHAR(34)&amp;",",""),"")),"1","")</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C3" s="48" t="str">
        <f>IFERROR(IF(SEARCH("Portuguese",CB3)&gt;0,CHAR(34)&amp;"portug"&amp;CHAR(34)&amp;",",""),"")</f>
        <v/>
      </c>
      <c r="GD3" s="48" t="str">
        <f>IFERROR(IF(SEARCH("German",CB3)&gt;0,CHAR(34)&amp;"german"&amp;CHAR(34)&amp;",",""),"")</f>
        <v/>
      </c>
      <c r="GE3" s="48" t="str">
        <f>IFERROR(IF(SEARCH("Dutch",CB3)&gt;0,CHAR(34)&amp;"dutchs"&amp;CHAR(34)&amp;",",""),"")</f>
        <v/>
      </c>
      <c r="GF3" s="48" t="str">
        <f>IFERROR(IF(SEARCH("Historical",AU3)&gt;0,CHAR(34)&amp;"histor"&amp;CHAR(34)&amp;",",""),"")</f>
        <v/>
      </c>
      <c r="GG3" s="48" t="str">
        <f>IF(BU3="y",CHAR(34)&amp;"unjack"&amp;CHAR(34)&amp;",","")</f>
        <v/>
      </c>
      <c r="GH3" s="48" t="str">
        <f>IF(CD3=1,CHAR(34)&amp;"southc"&amp;CHAR(34)&amp;",","")</f>
        <v/>
      </c>
      <c r="GI3" s="48" t="str">
        <f>IF(CE3=1,CHAR(34)&amp;"hasmap"&amp;CHAR(34)&amp;",","")</f>
        <v/>
      </c>
      <c r="GJ3" s="48" t="str">
        <f>IF(CP3="y",CHAR(34)&amp;CP$1&amp;CHAR(34)&amp;",","")</f>
        <v/>
      </c>
      <c r="GK3" s="48" t="str">
        <f>IF(GJ3="",CHAR(34)&amp;"HasSta"&amp;CHAR(34)&amp;",","")</f>
        <v>"HasSta",</v>
      </c>
      <c r="GL3" s="48" t="str">
        <f>IF(CQ3="y",CHAR(34)&amp;CQ$1&amp;CHAR(34)&amp;",","")</f>
        <v>"1Stars",</v>
      </c>
      <c r="GM3" s="48" t="str">
        <f>IF(CR3="y",CHAR(34)&amp;CR$1&amp;CHAR(34)&amp;",","")</f>
        <v/>
      </c>
      <c r="GN3" s="48" t="str">
        <f>IF(CS3="y",CHAR(34)&amp;CS$1&amp;CHAR(34)&amp;",","")</f>
        <v/>
      </c>
      <c r="GP3" s="48" t="str">
        <f>CHAR(34)&amp;AU3&amp;CHAR(34)</f>
        <v>"County"</v>
      </c>
      <c r="GS3" s="48" t="str">
        <f>SUBSTITUTE("["&amp;_xlfn.CONCAT(CW3:GN3)&amp;"]",",]","]")</f>
        <v>["5+Colo","words2","exact2","lets14","startM","with_y","year19","allhor","3Bands","Horizo","Plants","Unequa","Canton","Geogrh","Builds","staWHI","001YEL","002BLU","003YEL","myrYEL","HasSta","1Stars"]</v>
      </c>
      <c r="GT3" s="48" t="str">
        <f>IF(BL3&lt;&gt;"",CHAR(34)&amp;"cl_"&amp;BL3&amp;CHAR(34)&amp;",","")</f>
        <v>"cl_BLA",</v>
      </c>
      <c r="GU3" s="48" t="str">
        <f>IF(BM3&lt;&gt;"",CHAR(34)&amp;"cl_"&amp;BM3&amp;CHAR(34)&amp;",","")</f>
        <v>"cl_BLU",</v>
      </c>
      <c r="GV3" s="48" t="str">
        <f>IF(BN3&lt;&gt;"",CHAR(34)&amp;"cl_"&amp;BN3&amp;CHAR(34)&amp;",","")</f>
        <v>"cl_GRE",</v>
      </c>
      <c r="GW3" s="48" t="str">
        <f>IF(BO3&lt;&gt;"",CHAR(34)&amp;"cl_"&amp;BO3&amp;CHAR(34)&amp;",","")</f>
        <v>"cl_RED",</v>
      </c>
      <c r="GX3" s="48" t="str">
        <f>IF(BP3&lt;&gt;"",CHAR(34)&amp;"cl_"&amp;BP3&amp;CHAR(34)&amp;",","")</f>
        <v>"cl_YEL",</v>
      </c>
      <c r="GY3" s="48" t="str">
        <f>IF(BQ3&lt;&gt;"",CHAR(34)&amp;"cl_"&amp;BQ3&amp;CHAR(34)&amp;",","")</f>
        <v/>
      </c>
      <c r="GZ3" s="48" t="str">
        <f>IF(BR3&lt;&gt;"",CHAR(34)&amp;"cl_"&amp;BR3&amp;CHAR(34)&amp;",","")</f>
        <v>"cl_BRO",</v>
      </c>
      <c r="HA3" s="48" t="str">
        <f>IF(BS3&lt;&gt;"",CHAR(34)&amp;"cl_"&amp;BS3&amp;CHAR(34)&amp;",","")</f>
        <v/>
      </c>
      <c r="HB3" s="48" t="str">
        <f>IF(BT3&lt;&gt;"",CHAR(34)&amp;"cl_"&amp;BT3&amp;CHAR(34)&amp;",","")</f>
        <v>"cl_WHI",</v>
      </c>
      <c r="HC3" s="48" t="str">
        <f>SUBSTITUTE("["&amp;_xlfn.CONCAT(GT3:HB3)&amp;"]",",]","]")</f>
        <v>["cl_BLA","cl_BLU","cl_GRE","cl_RED","cl_YEL","cl_BRO","cl_WHI"]</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{couname:"[LBR] Maryland County",year:"1965",region:"rgn_Africa",Colors:["cl_BLA","cl_BLU","cl_GRE","cl_RED","cl_YEL","cl_BRO","cl_WHI"],Items:["5+Colo","words2","exact2","lets14","startM","with_y","year19","allhor","3Bands","Horizo","Plants","Unequa","Canton","Geogrh","Builds","staWHI","001YEL","002BLU","003YEL","myrYEL","HasSta","1Stars"],Flag:"https://upload.wikimedia.org/wikipedia/commons/thumb/5/59/Flag_of_Maryland_County.svg/800px-Flag_of_Maryland_County.svg.png",HDFlag:"https://upload.wikimedia.org/wikipedia/commons/thumb/5/59/Flag_of_Maryland_County.svg/2560px-Flag_of_Maryland_County.svg.png",type:"County", describe: "\nThe flag of Maryland County consists of a drawing of a tree and a lighthouse on a cliff with a small Liberian flag in the upper left corner.", isnew:".", links: "https://en.m.wikipedia.org/wiki/Maryland_County"},</v>
      </c>
      <c r="HG3" s="73" t="str">
        <f>"{couname:"&amp;CT3&amp;(IF(HK3&lt;&gt;"",",subtype:"&amp;CHAR(34)&amp;HK3&amp;CHAR(34),""))&amp;",year:"&amp;HJ3&amp;",region:"&amp;CU3&amp;",Colors:"&amp;HC3&amp;",Items:"&amp;GS3&amp;",Flag:"&amp;CV3&amp;",HDFlag:"&amp;CHAR(34)&amp;E3&amp;CHAR(34)&amp;",type:"&amp;GP3&amp;", describe: "&amp;HI3&amp;", links: "&amp;HL3&amp;"},"</f>
        <v>{couname:"[LBR] Maryland County",year:"1965",region:"rgn_Africa",Colors:["cl_BLA","cl_BLU","cl_GRE","cl_RED","cl_YEL","cl_BRO","cl_WHI"],Items:["5+Colo","words2","exact2","lets14","startM","with_y","year19","allhor","3Bands","Horizo","Plants","Unequa","Canton","Geogrh","Builds","staWHI","001YEL","002BLU","003YEL","myrYEL","HasSta","1Stars"],Flag:"https://upload.wikimedia.org/wikipedia/commons/thumb/5/59/Flag_of_Maryland_County.svg/800px-Flag_of_Maryland_County.svg.png",HDFlag:"https://upload.wikimedia.org/wikipedia/commons/thumb/5/59/Flag_of_Maryland_County.svg/2560px-Flag_of_Maryland_County.svg.png",type:"County", describe: "\nThe flag of Maryland County consists of a drawing of a tree and a lighthouse on a cliff with a small Liberian flag in the upper left corner.", links: "https://en.m.wikipedia.org/wiki/Maryland_County"},</v>
      </c>
      <c r="HH3" s="48" t="str">
        <f>IF(P3&lt;&gt;"",CHAR(34)&amp;"\n"&amp;P3&amp;CHAR(34),CHAR(34)&amp;CHAR(34))</f>
        <v>"\nThe flag of Maryland County consists of a drawing of a tree and a lighthouse on a cliff with a small Liberian flag in the upper left corner."</v>
      </c>
      <c r="HI3" s="48" t="str">
        <f>IF(J3=0,CHAR(34)&amp;CHAR(34),HH3)</f>
        <v>"\nThe flag of Maryland County consists of a drawing of a tree and a lighthouse on a cliff with a small Liberian flag in the upper left corner."</v>
      </c>
      <c r="HJ3" s="48" t="str">
        <f>CHAR(34)&amp;O3&amp;CHAR(34)</f>
        <v>"1965"</v>
      </c>
      <c r="HL3" s="48" t="str">
        <f>CHAR(34)&amp;I3&amp;CHAR(34)</f>
        <v>"https://en.m.wikipedia.org/wiki/Maryland_County"</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{"couname":"[LBR] Maryland County","year":"1965","region":"rgn_Africa","Colors":["cl_BLA","cl_BLU","cl_GRE","cl_RED","cl_YEL","cl_BRO","cl_WHI"],"Items":["5+Colo","words2","exact2","lets14","startM","with_y","year19","allhor","3Bands","Horizo","Plants","Unequa","Canton","Geogrh","Builds","staWHI","001YEL","002BLU","003YEL","myrYEL","HasSta","1Stars"],"Flag":"https://upload.wikimedia.org/wikipedia/commons/thumb/5/59/Flag_of_Maryland_County.svg/800px-Flag_of_Maryland_County.svg.png","HDFlag":"https://upload.wikimedia.org/wikipedia/commons/thumb/5/59/Flag_of_Maryland_County.svg/2560px-Flag_of_Maryland_County.svg.png","type":"County", "describe": "\nThe flag of Maryland County consists of a drawing of a tree and a lighthouse on a cliff with a small Liberian flag in the upper left corner.", "isnew": ".", "links": "https://en.m.wikipedia.org/wiki/Maryland_County"},</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{"couname":"[LBR] Maryland County","year":"1965","region":"rgn_Africa","Colors":["cl_BLA","cl_BLU","cl_GRE","cl_RED","cl_YEL","cl_BRO","cl_WHI"],"Items":["5+Colo","words2","exact2","lets14","startM","with_y","year19","allhor","3Bands","Horizo","Plants","Unequa","Canton","Geogrh","Builds","staWHI","001YEL","002BLU","003YEL","myrYEL","HasSta","1Stars"],"Flag":"https://upload.wikimedia.org/wikipedia/commons/thumb/5/59/Flag_of_Maryland_County.svg/800px-Flag_of_Maryland_County.svg.png","HDFlag":"https://upload.wikimedia.org/wikipedia/commons/thumb/5/59/Flag_of_Maryland_County.svg/2560px-Flag_of_Maryland_County.svg.png","type":"County", "describe": "\nThe flag of Maryland County consists of a drawing of a tree and a lighthouse on a cliff with a small Liberian flag in the upper left corner.", "isnew": ".", "links": "https://en.m.wikipedia.org/wiki/Maryland_County"},</v>
      </c>
      <c r="HO3" s="75"/>
      <c r="HP3" s="48" t="str" cm="1">
        <f t="array" ref="HP3">IF(_xlfn.TEXTJOIN(", ", TRUE, IF(ISNUMBER(SEARCH("BLA", BL3:BT3)), COLUMN(BL3:BT3) - COLUMN(BL3) + 1, ""))&lt;&gt;"","BLA","")</f>
        <v>BLA</v>
      </c>
      <c r="HQ3" s="48" t="str" cm="1">
        <f t="array" ref="HQ3">IF(_xlfn.TEXTJOIN(", ", TRUE, IF(ISNUMBER(SEARCH("BLU", BL3:BT3)), COLUMN(BL3:BT3) - COLUMN(BL3) + 1, ""))&lt;&gt;"","BLU","")</f>
        <v>BLU</v>
      </c>
      <c r="HR3" s="48" t="str" cm="1">
        <f t="array" ref="HR3">IF(_xlfn.TEXTJOIN(", ", TRUE, IF(ISNUMBER(SEARCH("GRE", BL3:BT3)), COLUMN(BL3:BT3) - COLUMN(BL3) + 1, ""))&lt;&gt;"","GRE","")</f>
        <v>GRE</v>
      </c>
      <c r="HS3" s="48" t="str" cm="1">
        <f t="array" ref="HS3">IF(_xlfn.TEXTJOIN(", ", TRUE, IF(ISNUMBER(SEARCH("RED", BL3:BT3)), COLUMN(BL3:BT3) - COLUMN(BL3) + 1, ""))&lt;&gt;"","RED","")</f>
        <v>RED</v>
      </c>
      <c r="HT3" s="48" t="str" cm="1">
        <f t="array" ref="HT3">IF(_xlfn.TEXTJOIN(", ", TRUE, IF(ISNUMBER(SEARCH("YEL", BL3:BT3)), COLUMN(BL3:BT3) - COLUMN(BL3) + 1, ""))&lt;&gt;"","YEL","")</f>
        <v>YEL</v>
      </c>
      <c r="HU3" s="48" t="str" cm="1">
        <f t="array" ref="HU3">IF(_xlfn.TEXTJOIN(", ", TRUE, IF(ISNUMBER(SEARCH("ORA", BL3:BT3)), COLUMN(BL3:BT3) - COLUMN(BL3) + 1, ""))&lt;&gt;"","ORA","")</f>
        <v/>
      </c>
      <c r="HV3" s="48" t="str" cm="1">
        <f t="array" ref="HV3">IF(_xlfn.TEXTJOIN(", ", TRUE, IF(ISNUMBER(SEARCH("BRO", BL3:BT3)), COLUMN(BL3:BT3) - COLUMN(BL3) + 1, ""))&lt;&gt;"","BRO","")</f>
        <v>BRO</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L3" s="48">
        <f>SUM(IC3:IK3)</f>
        <v>0</v>
      </c>
      <c r="IM3" s="45">
        <f>COUNTIF(IC3:IK3,"&gt;0")-CG3</f>
        <v>-7</v>
      </c>
      <c r="IN3" s="78" t="str">
        <f>"http://mkweb.bcgsc.ca/color-summarizer/?url="&amp;D3&amp;"&amp;precision=low&amp;num_clusters="&amp;CG3&amp;"&amp;text=1"</f>
        <v>http://mkweb.bcgsc.ca/color-summarizer/?url=https://upload.wikimedia.org/wikipedia/commons/thumb/5/59/Flag_of_Maryland_County.svg/800px-Flag_of_Maryland_County.svg.png&amp;precision=low&amp;num_clusters=7&amp;text=1</v>
      </c>
      <c r="IO3" s="48" t="str">
        <f>IF(HP3&lt;&gt;"",CHAR(34)&amp;"black"&amp;CHAR(34),"")</f>
        <v>"black"</v>
      </c>
      <c r="IP3" s="48" t="str">
        <f>IF(HQ3&lt;&gt;"",CHAR(34)&amp;"blue"&amp;CHAR(34),"")</f>
        <v>"blue"</v>
      </c>
      <c r="IQ3" s="48" t="str">
        <f>IF(HR3&lt;&gt;"",CHAR(34)&amp;"green"&amp;CHAR(34),"")</f>
        <v>"green"</v>
      </c>
      <c r="IR3" s="48" t="str">
        <f>IF(HS3&lt;&gt;"",CHAR(34)&amp;"red"&amp;CHAR(34),"")</f>
        <v>"red"</v>
      </c>
      <c r="IS3" s="48" t="str">
        <f>IF(HT3&lt;&gt;"",CHAR(34)&amp;"yellow"&amp;CHAR(34),"")</f>
        <v>"yellow"</v>
      </c>
      <c r="IT3" s="48" t="str">
        <f>IF(HU3&lt;&gt;"",CHAR(34)&amp;"orange"&amp;CHAR(34),"")</f>
        <v/>
      </c>
      <c r="IU3" s="48" t="str">
        <f>IF(HV3&lt;&gt;"",CHAR(34)&amp;"brown"&amp;CHAR(34),"")</f>
        <v>"brown"</v>
      </c>
      <c r="IV3" s="48" t="str">
        <f>IF(HW3&lt;&gt;"",CHAR(34)&amp;"purple"&amp;CHAR(34),"")</f>
        <v/>
      </c>
      <c r="IW3" s="48" t="str">
        <f>IF(HX3&lt;&gt;"",CHAR(34)&amp;"white"&amp;CHAR(34),"")</f>
        <v>"white"</v>
      </c>
      <c r="IX3" s="48" t="str">
        <f>"{"&amp;CHAR(34)&amp;"url"&amp;CHAR(34)&amp;":"&amp;CHAR(34)&amp;IN3&amp;CHAR(34)&amp;","&amp;CHAR(34)&amp;"name"&amp;CHAR(34)&amp;":"&amp;CHAR(34)&amp;A3&amp;CHAR(34)&amp;"},"</f>
        <v>{"url":"http://mkweb.bcgsc.ca/color-summarizer/?url=https://upload.wikimedia.org/wikipedia/commons/thumb/5/59/Flag_of_Maryland_County.svg/800px-Flag_of_Maryland_County.svg.png&amp;precision=low&amp;num_clusters=7&amp;text=1","name":"[LBR] Maryland County"},</v>
      </c>
      <c r="IY3" s="48">
        <v>601</v>
      </c>
    </row>
    <row r="4" spans="1:259" ht="38.4" customHeight="1" x14ac:dyDescent="0.3">
      <c r="F4" s="82"/>
      <c r="G4" s="82"/>
      <c r="H4" s="82"/>
      <c r="I4" s="82"/>
      <c r="J4" s="82"/>
      <c r="K4" s="82"/>
    </row>
    <row r="5" spans="1:259" ht="38.4" customHeight="1" x14ac:dyDescent="0.3">
      <c r="F5" s="82"/>
      <c r="G5" s="82"/>
      <c r="H5" s="82"/>
      <c r="I5" s="82"/>
      <c r="J5" s="82"/>
      <c r="K5" s="82"/>
    </row>
    <row r="6" spans="1:259" ht="38.4" customHeight="1" x14ac:dyDescent="0.3">
      <c r="D6" s="81"/>
      <c r="E6" s="81"/>
      <c r="F6" s="81"/>
      <c r="J6" s="82"/>
      <c r="K6" s="82"/>
    </row>
    <row r="7" spans="1:259" ht="38.4" customHeight="1" x14ac:dyDescent="0.3">
      <c r="D7" s="81"/>
      <c r="E7" s="81"/>
      <c r="F7" s="81"/>
    </row>
    <row r="8" spans="1:259" ht="38.4" customHeight="1" x14ac:dyDescent="0.3">
      <c r="D8" s="81"/>
      <c r="E8" s="81"/>
      <c r="F8" s="81"/>
    </row>
  </sheetData>
  <autoFilter ref="A1:IY1" xr:uid="{A1051193-A95B-4CFB-A73C-F0184620C81F}">
    <sortState xmlns:xlrd2="http://schemas.microsoft.com/office/spreadsheetml/2017/richdata2" ref="A2:IY5">
      <sortCondition ref="AW1"/>
    </sortState>
  </autoFilter>
  <conditionalFormatting sqref="H1 CW1:GS1 IA1:IB1">
    <cfRule type="cellIs" dxfId="3794" priority="118" operator="greaterThan">
      <formula>0</formula>
    </cfRule>
  </conditionalFormatting>
  <conditionalFormatting sqref="H1 H7:H1048576">
    <cfRule type="cellIs" dxfId="3793" priority="84" stopIfTrue="1" operator="notEqual">
      <formula>""</formula>
    </cfRule>
  </conditionalFormatting>
  <conditionalFormatting sqref="T1:BK1">
    <cfRule type="cellIs" dxfId="3792" priority="121" operator="greaterThan">
      <formula>0</formula>
    </cfRule>
  </conditionalFormatting>
  <conditionalFormatting sqref="BV1:BW1 BV4:BW1048576">
    <cfRule type="cellIs" dxfId="3791" priority="120" operator="equal">
      <formula>"nc"</formula>
    </cfRule>
  </conditionalFormatting>
  <conditionalFormatting sqref="HF1:HG1">
    <cfRule type="cellIs" dxfId="3790" priority="122" operator="greaterThan">
      <formula>0</formula>
    </cfRule>
  </conditionalFormatting>
  <conditionalFormatting sqref="HK1">
    <cfRule type="cellIs" dxfId="3789" priority="119" operator="greaterThan">
      <formula>0</formula>
    </cfRule>
  </conditionalFormatting>
  <conditionalFormatting sqref="HP1:HX1">
    <cfRule type="cellIs" dxfId="3788" priority="96" operator="equal">
      <formula>"PIN"</formula>
    </cfRule>
    <cfRule type="cellIs" dxfId="3787" priority="97" operator="equal">
      <formula>"ORA"</formula>
    </cfRule>
    <cfRule type="cellIs" dxfId="3786" priority="98" operator="equal">
      <formula>"GRA"</formula>
    </cfRule>
    <cfRule type="cellIs" dxfId="3785" priority="99" operator="equal">
      <formula>"PUR"</formula>
    </cfRule>
    <cfRule type="cellIs" dxfId="3784" priority="100" operator="equal">
      <formula>"BRO"</formula>
    </cfRule>
    <cfRule type="cellIs" dxfId="3783" priority="101" operator="equal">
      <formula>"YEL"</formula>
    </cfRule>
    <cfRule type="cellIs" dxfId="3782" priority="102" operator="equal">
      <formula>"BLU"</formula>
    </cfRule>
    <cfRule type="cellIs" dxfId="3781" priority="103" operator="equal">
      <formula>"WHI"</formula>
    </cfRule>
    <cfRule type="cellIs" dxfId="3780" priority="104" operator="equal">
      <formula>"GRE"</formula>
    </cfRule>
    <cfRule type="cellIs" dxfId="3779" priority="105" operator="equal">
      <formula>"RED"</formula>
    </cfRule>
    <cfRule type="cellIs" dxfId="3778" priority="106" operator="equal">
      <formula>"BLA"</formula>
    </cfRule>
  </conditionalFormatting>
  <conditionalFormatting sqref="IC1:IK1">
    <cfRule type="cellIs" dxfId="3777" priority="107" operator="equal">
      <formula>"PIN"</formula>
    </cfRule>
    <cfRule type="cellIs" dxfId="3776" priority="108" operator="equal">
      <formula>"ORA"</formula>
    </cfRule>
    <cfRule type="cellIs" dxfId="3775" priority="109" operator="equal">
      <formula>"GRA"</formula>
    </cfRule>
    <cfRule type="cellIs" dxfId="3774" priority="110" operator="equal">
      <formula>"PUR"</formula>
    </cfRule>
    <cfRule type="cellIs" dxfId="3773" priority="111" operator="equal">
      <formula>"BRO"</formula>
    </cfRule>
    <cfRule type="cellIs" dxfId="3772" priority="112" operator="equal">
      <formula>"YEL"</formula>
    </cfRule>
    <cfRule type="cellIs" dxfId="3771" priority="113" operator="equal">
      <formula>"BLU"</formula>
    </cfRule>
    <cfRule type="cellIs" dxfId="3770" priority="114" operator="equal">
      <formula>"WHI"</formula>
    </cfRule>
    <cfRule type="cellIs" dxfId="3769" priority="115" operator="equal">
      <formula>"GRE"</formula>
    </cfRule>
    <cfRule type="cellIs" dxfId="3768" priority="116" operator="equal">
      <formula>"RED"</formula>
    </cfRule>
    <cfRule type="cellIs" dxfId="3767" priority="117" operator="equal">
      <formula>"BLA"</formula>
    </cfRule>
  </conditionalFormatting>
  <conditionalFormatting sqref="IO1:IW1">
    <cfRule type="cellIs" dxfId="3766" priority="85" operator="equal">
      <formula>"PIN"</formula>
    </cfRule>
    <cfRule type="cellIs" dxfId="3765" priority="86" operator="equal">
      <formula>"ORA"</formula>
    </cfRule>
    <cfRule type="cellIs" dxfId="3764" priority="87" operator="equal">
      <formula>"GRA"</formula>
    </cfRule>
    <cfRule type="cellIs" dxfId="3763" priority="88" operator="equal">
      <formula>"PUR"</formula>
    </cfRule>
    <cfRule type="cellIs" dxfId="3762" priority="89" operator="equal">
      <formula>"BRO"</formula>
    </cfRule>
    <cfRule type="cellIs" dxfId="3761" priority="90" operator="equal">
      <formula>"YEL"</formula>
    </cfRule>
    <cfRule type="cellIs" dxfId="3760" priority="91" operator="equal">
      <formula>"BLU"</formula>
    </cfRule>
    <cfRule type="cellIs" dxfId="3759" priority="92" operator="equal">
      <formula>"WHI"</formula>
    </cfRule>
    <cfRule type="cellIs" dxfId="3758" priority="93" operator="equal">
      <formula>"GRE"</formula>
    </cfRule>
    <cfRule type="cellIs" dxfId="3757" priority="94" operator="equal">
      <formula>"RED"</formula>
    </cfRule>
    <cfRule type="cellIs" dxfId="3756" priority="95" operator="equal">
      <formula>"BLA"</formula>
    </cfRule>
  </conditionalFormatting>
  <conditionalFormatting sqref="H3">
    <cfRule type="cellIs" dxfId="3755" priority="76" stopIfTrue="1" operator="notEqual">
      <formula>""</formula>
    </cfRule>
  </conditionalFormatting>
  <conditionalFormatting sqref="R3 CU3">
    <cfRule type="cellIs" dxfId="3754" priority="79" operator="greaterThan">
      <formula>0</formula>
    </cfRule>
  </conditionalFormatting>
  <conditionalFormatting sqref="T3:AS3 CH3:CS3">
    <cfRule type="cellIs" dxfId="3753" priority="73" stopIfTrue="1" operator="equal">
      <formula>"n"</formula>
    </cfRule>
    <cfRule type="cellIs" dxfId="3752" priority="74" stopIfTrue="1" operator="equal">
      <formula>"y"</formula>
    </cfRule>
    <cfRule type="cellIs" dxfId="3751" priority="75" operator="greaterThan">
      <formula>0</formula>
    </cfRule>
  </conditionalFormatting>
  <conditionalFormatting sqref="AZ3:BB3">
    <cfRule type="expression" dxfId="3750" priority="60">
      <formula>$AT3=0</formula>
    </cfRule>
  </conditionalFormatting>
  <conditionalFormatting sqref="CD3:CF3 BX3:CA3 AZ3:BU3">
    <cfRule type="cellIs" dxfId="3749" priority="61" operator="equal">
      <formula>"PIN"</formula>
    </cfRule>
    <cfRule type="cellIs" dxfId="3748" priority="62" operator="equal">
      <formula>"ORA"</formula>
    </cfRule>
    <cfRule type="cellIs" dxfId="3747" priority="63" operator="equal">
      <formula>"GRA"</formula>
    </cfRule>
    <cfRule type="cellIs" dxfId="3746" priority="64" operator="equal">
      <formula>"PUR"</formula>
    </cfRule>
    <cfRule type="cellIs" dxfId="3745" priority="65" operator="equal">
      <formula>"BRO"</formula>
    </cfRule>
    <cfRule type="cellIs" dxfId="3744" priority="66" operator="equal">
      <formula>"YEL"</formula>
    </cfRule>
    <cfRule type="cellIs" dxfId="3743" priority="67" operator="equal">
      <formula>"BLU"</formula>
    </cfRule>
    <cfRule type="cellIs" dxfId="3742" priority="68" operator="equal">
      <formula>"WHI"</formula>
    </cfRule>
    <cfRule type="cellIs" dxfId="3741" priority="69" operator="equal">
      <formula>"GRE"</formula>
    </cfRule>
    <cfRule type="cellIs" dxfId="3740" priority="70" operator="equal">
      <formula>"RED"</formula>
    </cfRule>
    <cfRule type="cellIs" dxfId="3739" priority="71" operator="equal">
      <formula>"BLA"</formula>
    </cfRule>
  </conditionalFormatting>
  <conditionalFormatting sqref="BV3">
    <cfRule type="cellIs" dxfId="3738" priority="78" operator="equal">
      <formula>"nc"</formula>
    </cfRule>
  </conditionalFormatting>
  <conditionalFormatting sqref="CD3:CF3 BX3:CA3">
    <cfRule type="cellIs" dxfId="3737" priority="77" operator="equal">
      <formula>"y"</formula>
    </cfRule>
  </conditionalFormatting>
  <conditionalFormatting sqref="CD3:CF3 BZ3:CA3">
    <cfRule type="cellIs" dxfId="3736" priority="72" operator="greaterThan">
      <formula>0</formula>
    </cfRule>
  </conditionalFormatting>
  <conditionalFormatting sqref="IC3:IK3">
    <cfRule type="expression" dxfId="3735" priority="59">
      <formula>$IL3&gt;0</formula>
    </cfRule>
  </conditionalFormatting>
  <conditionalFormatting sqref="IC3">
    <cfRule type="cellIs" dxfId="3734" priority="53" stopIfTrue="1" operator="greaterThan">
      <formula>0</formula>
    </cfRule>
  </conditionalFormatting>
  <conditionalFormatting sqref="ID3">
    <cfRule type="cellIs" dxfId="3733" priority="51" stopIfTrue="1" operator="greaterThan">
      <formula>0</formula>
    </cfRule>
  </conditionalFormatting>
  <conditionalFormatting sqref="II3 IE3:IF3">
    <cfRule type="cellIs" dxfId="3732" priority="58" operator="greaterThan">
      <formula>0</formula>
    </cfRule>
  </conditionalFormatting>
  <conditionalFormatting sqref="II3 IF3">
    <cfRule type="cellIs" dxfId="3731" priority="52" stopIfTrue="1" operator="greaterThan">
      <formula>0</formula>
    </cfRule>
  </conditionalFormatting>
  <conditionalFormatting sqref="IG3">
    <cfRule type="cellIs" dxfId="3730" priority="57" operator="greaterThan">
      <formula>0</formula>
    </cfRule>
  </conditionalFormatting>
  <conditionalFormatting sqref="IH3:II3">
    <cfRule type="cellIs" dxfId="3729" priority="56" operator="greaterThan">
      <formula>0</formula>
    </cfRule>
  </conditionalFormatting>
  <conditionalFormatting sqref="IJ3">
    <cfRule type="cellIs" dxfId="3728" priority="55" operator="greaterThan">
      <formula>0</formula>
    </cfRule>
  </conditionalFormatting>
  <conditionalFormatting sqref="IK3">
    <cfRule type="cellIs" dxfId="3727" priority="54" operator="greaterThan">
      <formula>0</formula>
    </cfRule>
  </conditionalFormatting>
  <conditionalFormatting sqref="IF3">
    <cfRule type="cellIs" dxfId="3726" priority="50" stopIfTrue="1" operator="greaterThan">
      <formula>0</formula>
    </cfRule>
  </conditionalFormatting>
  <conditionalFormatting sqref="IM3">
    <cfRule type="cellIs" dxfId="3725" priority="49" operator="equal">
      <formula>0</formula>
    </cfRule>
  </conditionalFormatting>
  <conditionalFormatting sqref="BX3:CA3 CD3:CF3">
    <cfRule type="cellIs" dxfId="3724" priority="37" operator="equal">
      <formula>"y"</formula>
    </cfRule>
    <cfRule type="cellIs" dxfId="3723" priority="38" operator="equal">
      <formula>"PIN"</formula>
    </cfRule>
    <cfRule type="cellIs" dxfId="3722" priority="39" operator="equal">
      <formula>"ORA"</formula>
    </cfRule>
    <cfRule type="cellIs" dxfId="3721" priority="40" operator="equal">
      <formula>"GRA"</formula>
    </cfRule>
    <cfRule type="cellIs" dxfId="3720" priority="41" operator="equal">
      <formula>"PUR"</formula>
    </cfRule>
    <cfRule type="cellIs" dxfId="3719" priority="42" operator="equal">
      <formula>"BRO"</formula>
    </cfRule>
    <cfRule type="cellIs" dxfId="3718" priority="43" operator="equal">
      <formula>"YEL"</formula>
    </cfRule>
    <cfRule type="cellIs" dxfId="3717" priority="44" operator="equal">
      <formula>"BLU"</formula>
    </cfRule>
    <cfRule type="cellIs" dxfId="3716" priority="45" operator="equal">
      <formula>"WHI"</formula>
    </cfRule>
    <cfRule type="cellIs" dxfId="3715" priority="46" operator="equal">
      <formula>"GRE"</formula>
    </cfRule>
    <cfRule type="cellIs" dxfId="3714" priority="47" operator="equal">
      <formula>"RED"</formula>
    </cfRule>
    <cfRule type="cellIs" dxfId="3713" priority="48" operator="equal">
      <formula>"BLA"</formula>
    </cfRule>
  </conditionalFormatting>
  <conditionalFormatting sqref="AT3">
    <cfRule type="colorScale" priority="80">
      <colorScale>
        <cfvo type="min"/>
        <cfvo type="max"/>
        <color rgb="FFFCFCFF"/>
        <color theme="8" tint="0.39997558519241921"/>
      </colorScale>
    </cfRule>
  </conditionalFormatting>
  <conditionalFormatting sqref="S3">
    <cfRule type="colorScale" priority="81">
      <colorScale>
        <cfvo type="min"/>
        <cfvo type="max"/>
        <color rgb="FFFCFCFF"/>
        <color rgb="FF754BFB"/>
      </colorScale>
    </cfRule>
  </conditionalFormatting>
  <conditionalFormatting sqref="J3">
    <cfRule type="colorScale" priority="82">
      <colorScale>
        <cfvo type="min"/>
        <cfvo type="percentile" val="50"/>
        <cfvo type="max"/>
        <color rgb="FFF8696B"/>
        <color rgb="FFFFEB84"/>
        <color rgb="FF63BE7B"/>
      </colorScale>
    </cfRule>
  </conditionalFormatting>
  <conditionalFormatting sqref="CG3">
    <cfRule type="colorScale" priority="83">
      <colorScale>
        <cfvo type="min"/>
        <cfvo type="max"/>
        <color rgb="FFFCFCFF"/>
        <color rgb="FF63BE7B"/>
      </colorScale>
    </cfRule>
  </conditionalFormatting>
  <conditionalFormatting sqref="H2">
    <cfRule type="cellIs" dxfId="3712" priority="30" stopIfTrue="1" operator="notEqual">
      <formula>""</formula>
    </cfRule>
  </conditionalFormatting>
  <conditionalFormatting sqref="R2 CU2">
    <cfRule type="cellIs" dxfId="3711" priority="32" operator="greaterThan">
      <formula>0</formula>
    </cfRule>
  </conditionalFormatting>
  <conditionalFormatting sqref="T2:AS2 CH2:CS2">
    <cfRule type="cellIs" dxfId="3710" priority="27" stopIfTrue="1" operator="equal">
      <formula>"n"</formula>
    </cfRule>
    <cfRule type="cellIs" dxfId="3709" priority="28" stopIfTrue="1" operator="equal">
      <formula>"y"</formula>
    </cfRule>
    <cfRule type="cellIs" dxfId="3708" priority="29" operator="greaterThan">
      <formula>0</formula>
    </cfRule>
  </conditionalFormatting>
  <conditionalFormatting sqref="AZ2:BB2">
    <cfRule type="expression" dxfId="3707" priority="14">
      <formula>$AT2=0</formula>
    </cfRule>
  </conditionalFormatting>
  <conditionalFormatting sqref="AZ2:BU2">
    <cfRule type="cellIs" dxfId="3706" priority="15" operator="equal">
      <formula>"PIN"</formula>
    </cfRule>
    <cfRule type="cellIs" dxfId="3705" priority="16" operator="equal">
      <formula>"ORA"</formula>
    </cfRule>
    <cfRule type="cellIs" dxfId="3704" priority="17" operator="equal">
      <formula>"GRA"</formula>
    </cfRule>
    <cfRule type="cellIs" dxfId="3703" priority="18" operator="equal">
      <formula>"PUR"</formula>
    </cfRule>
    <cfRule type="cellIs" dxfId="3702" priority="19" operator="equal">
      <formula>"BRO"</formula>
    </cfRule>
    <cfRule type="cellIs" dxfId="3701" priority="20" operator="equal">
      <formula>"YEL"</formula>
    </cfRule>
    <cfRule type="cellIs" dxfId="3700" priority="21" operator="equal">
      <formula>"BLU"</formula>
    </cfRule>
    <cfRule type="cellIs" dxfId="3699" priority="22" operator="equal">
      <formula>"WHI"</formula>
    </cfRule>
    <cfRule type="cellIs" dxfId="3698" priority="23" operator="equal">
      <formula>"GRE"</formula>
    </cfRule>
    <cfRule type="cellIs" dxfId="3697" priority="24" operator="equal">
      <formula>"RED"</formula>
    </cfRule>
    <cfRule type="cellIs" dxfId="3696" priority="25" operator="equal">
      <formula>"BLA"</formula>
    </cfRule>
  </conditionalFormatting>
  <conditionalFormatting sqref="BV2">
    <cfRule type="cellIs" dxfId="3695" priority="31" operator="equal">
      <formula>"nc"</formula>
    </cfRule>
  </conditionalFormatting>
  <conditionalFormatting sqref="CD2:CF2 BZ2:CA2">
    <cfRule type="cellIs" dxfId="3694" priority="26" operator="greaterThan">
      <formula>0</formula>
    </cfRule>
  </conditionalFormatting>
  <conditionalFormatting sqref="IC2:IK2">
    <cfRule type="expression" dxfId="3693" priority="13">
      <formula>$IL2&gt;0</formula>
    </cfRule>
  </conditionalFormatting>
  <conditionalFormatting sqref="BX2:CA2 CD2:CF2">
    <cfRule type="cellIs" dxfId="3692" priority="1" operator="equal">
      <formula>"y"</formula>
    </cfRule>
    <cfRule type="cellIs" dxfId="3691" priority="2" operator="equal">
      <formula>"PIN"</formula>
    </cfRule>
    <cfRule type="cellIs" dxfId="3690" priority="3" operator="equal">
      <formula>"ORA"</formula>
    </cfRule>
    <cfRule type="cellIs" dxfId="3689" priority="4" operator="equal">
      <formula>"GRA"</formula>
    </cfRule>
    <cfRule type="cellIs" dxfId="3688" priority="5" operator="equal">
      <formula>"PUR"</formula>
    </cfRule>
    <cfRule type="cellIs" dxfId="3687" priority="6" operator="equal">
      <formula>"BRO"</formula>
    </cfRule>
    <cfRule type="cellIs" dxfId="3686" priority="7" operator="equal">
      <formula>"YEL"</formula>
    </cfRule>
    <cfRule type="cellIs" dxfId="3685" priority="8" operator="equal">
      <formula>"BLU"</formula>
    </cfRule>
    <cfRule type="cellIs" dxfId="3684" priority="9" operator="equal">
      <formula>"WHI"</formula>
    </cfRule>
    <cfRule type="cellIs" dxfId="3683" priority="10" operator="equal">
      <formula>"GRE"</formula>
    </cfRule>
    <cfRule type="cellIs" dxfId="3682" priority="11" operator="equal">
      <formula>"RED"</formula>
    </cfRule>
    <cfRule type="cellIs" dxfId="3681" priority="12" operator="equal">
      <formula>"BLA"</formula>
    </cfRule>
  </conditionalFormatting>
  <conditionalFormatting sqref="J2">
    <cfRule type="colorScale" priority="33">
      <colorScale>
        <cfvo type="min"/>
        <cfvo type="percentile" val="50"/>
        <cfvo type="max"/>
        <color rgb="FFF8696B"/>
        <color rgb="FFFFEB84"/>
        <color rgb="FF63BE7B"/>
      </colorScale>
    </cfRule>
  </conditionalFormatting>
  <conditionalFormatting sqref="S2">
    <cfRule type="colorScale" priority="34">
      <colorScale>
        <cfvo type="min"/>
        <cfvo type="max"/>
        <color rgb="FFFCFCFF"/>
        <color rgb="FF754BFB"/>
      </colorScale>
    </cfRule>
  </conditionalFormatting>
  <conditionalFormatting sqref="AT2">
    <cfRule type="colorScale" priority="35">
      <colorScale>
        <cfvo type="min"/>
        <cfvo type="max"/>
        <color rgb="FFFCFCFF"/>
        <color theme="8" tint="0.39997558519241921"/>
      </colorScale>
    </cfRule>
  </conditionalFormatting>
  <conditionalFormatting sqref="CG2">
    <cfRule type="colorScale" priority="36">
      <colorScale>
        <cfvo type="min"/>
        <cfvo type="max"/>
        <color rgb="FFFCFCFF"/>
        <color rgb="FF63BE7B"/>
      </colorScale>
    </cfRule>
  </conditionalFormatting>
  <hyperlinks>
    <hyperlink ref="A2" r:id="rId1" display="https://fbref.com/en/country/LBR/Liberia-Football" xr:uid="{9B04EF6A-2435-4B50-8F17-BD91A43AF43C}"/>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48129" r:id="rId5"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48130" r:id="rId6"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48131" r:id="rId7"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1C3CE4-3C30-4EF6-820A-E2412F65493C}">
  <sheetPr codeName="Sheet59"/>
  <dimension ref="A1:IY10"/>
  <sheetViews>
    <sheetView zoomScale="70" zoomScaleNormal="70" workbookViewId="0">
      <pane xSplit="5" ySplit="1" topLeftCell="F2" activePane="bottomRight" state="frozen"/>
      <selection pane="topRight" activeCell="F1" sqref="F1"/>
      <selection pane="bottomLeft" activeCell="A2" sqref="A2"/>
      <selection pane="bottomRight" activeCell="M3" sqref="M3"/>
    </sheetView>
  </sheetViews>
  <sheetFormatPr defaultRowHeight="38.4" customHeight="1" x14ac:dyDescent="0.3"/>
  <cols>
    <col min="1" max="1" width="52.44140625" style="81" bestFit="1" customWidth="1"/>
    <col min="2" max="2" width="10.109375" style="81" customWidth="1"/>
    <col min="3" max="3" width="7.44140625" style="82" customWidth="1"/>
    <col min="4" max="4" width="4.77734375" style="83" customWidth="1"/>
    <col min="5" max="5" width="4.5546875" style="83" customWidth="1"/>
    <col min="6" max="6" width="5.77734375" style="83" customWidth="1"/>
    <col min="7" max="7" width="7.44140625" style="81" customWidth="1"/>
    <col min="8" max="8" width="11.44140625" style="81" customWidth="1"/>
    <col min="9" max="9" width="10" style="81" customWidth="1"/>
    <col min="10" max="10" width="4.21875" style="81" customWidth="1"/>
    <col min="11" max="11" width="5.6640625" style="83" customWidth="1"/>
    <col min="12" max="12" width="2.88671875" style="83" customWidth="1"/>
    <col min="13" max="13" width="6.44140625" style="83" customWidth="1"/>
    <col min="14" max="14" width="4.5546875" style="83" customWidth="1"/>
    <col min="15" max="15" width="10.5546875" style="84" customWidth="1"/>
    <col min="16" max="16" width="6.88671875" style="83" customWidth="1"/>
    <col min="17" max="17" width="4.77734375" style="83" customWidth="1"/>
    <col min="18" max="18" width="13.109375" style="82" customWidth="1"/>
    <col min="19" max="19" width="6.77734375" style="82" customWidth="1"/>
    <col min="20" max="46" width="8.44140625" style="81" customWidth="1"/>
    <col min="47" max="47" width="24.5546875" style="81" customWidth="1"/>
    <col min="48" max="51" width="16.6640625" style="81" customWidth="1"/>
    <col min="52" max="52" width="6.5546875" style="81" customWidth="1"/>
    <col min="53" max="54" width="5.88671875" style="81" customWidth="1"/>
    <col min="55" max="55" width="1.33203125" style="81" customWidth="1"/>
    <col min="56" max="56" width="7.44140625" style="81" customWidth="1"/>
    <col min="57" max="57" width="2.33203125" style="81" customWidth="1"/>
    <col min="58" max="62" width="6.109375" style="81" customWidth="1"/>
    <col min="63" max="63" width="2.33203125" style="81" customWidth="1"/>
    <col min="64" max="64" width="7" style="81" bestFit="1" customWidth="1"/>
    <col min="65" max="65" width="6.44140625" style="81" bestFit="1" customWidth="1"/>
    <col min="66" max="66" width="7.109375" style="81" bestFit="1" customWidth="1"/>
    <col min="67" max="71" width="6.44140625" style="81" bestFit="1" customWidth="1"/>
    <col min="72" max="73" width="6.44140625" style="81" customWidth="1"/>
    <col min="74" max="75" width="13.44140625" style="81" customWidth="1"/>
    <col min="76" max="84" width="14.6640625" style="81" customWidth="1"/>
    <col min="85" max="85" width="6.44140625" style="81" customWidth="1"/>
    <col min="86" max="87" width="11.6640625" style="81" bestFit="1" customWidth="1"/>
    <col min="88" max="88" width="11.6640625" style="81" customWidth="1"/>
    <col min="89" max="89" width="12.77734375" style="81" bestFit="1" customWidth="1"/>
    <col min="90" max="90" width="16.44140625" style="82" bestFit="1" customWidth="1"/>
    <col min="91" max="92" width="14.88671875" style="82" bestFit="1" customWidth="1"/>
    <col min="93" max="93" width="16" style="82" bestFit="1" customWidth="1"/>
    <col min="94" max="97" width="7.77734375" style="81" customWidth="1"/>
    <col min="98" max="98" width="33.21875" style="81" customWidth="1"/>
    <col min="99" max="99" width="18" style="81" customWidth="1"/>
    <col min="100" max="100" width="75.6640625" style="81" customWidth="1"/>
    <col min="101" max="125" width="33" style="81" customWidth="1"/>
    <col min="126" max="126" width="8.88671875" style="81"/>
    <col min="127" max="128" width="9.44140625" style="81" bestFit="1" customWidth="1"/>
    <col min="129" max="129" width="10.77734375" style="81" bestFit="1" customWidth="1"/>
    <col min="130" max="134" width="10.77734375" style="81" customWidth="1"/>
    <col min="135" max="135" width="10.109375" style="81" bestFit="1" customWidth="1"/>
    <col min="136" max="136" width="7.77734375" style="81" bestFit="1" customWidth="1"/>
    <col min="137" max="137" width="7.77734375" style="81" customWidth="1"/>
    <col min="138" max="138" width="9" style="81" bestFit="1" customWidth="1"/>
    <col min="139" max="139" width="11.33203125" style="81" bestFit="1" customWidth="1"/>
    <col min="140" max="140" width="9.109375" style="81" bestFit="1" customWidth="1"/>
    <col min="141" max="141" width="9" style="81" bestFit="1" customWidth="1"/>
    <col min="142" max="142" width="12" style="81" bestFit="1" customWidth="1"/>
    <col min="143" max="166" width="12" style="81" customWidth="1"/>
    <col min="167" max="167" width="17.21875" style="81" customWidth="1"/>
    <col min="168" max="191" width="12" style="81" customWidth="1"/>
    <col min="192" max="192" width="8.5546875" style="81" bestFit="1" customWidth="1"/>
    <col min="193" max="193" width="8.5546875" style="81" customWidth="1"/>
    <col min="194" max="194" width="7.109375" style="81" bestFit="1" customWidth="1"/>
    <col min="195" max="195" width="7.5546875" style="81" bestFit="1" customWidth="1"/>
    <col min="196" max="196" width="8.5546875" style="81" bestFit="1" customWidth="1"/>
    <col min="197" max="200" width="8.5546875" style="81" customWidth="1"/>
    <col min="201" max="201" width="188.88671875" style="81" customWidth="1"/>
    <col min="202" max="202" width="9.5546875" style="81" bestFit="1" customWidth="1"/>
    <col min="203" max="203" width="10.44140625" style="81" bestFit="1" customWidth="1"/>
    <col min="204" max="204" width="11.109375" style="81" bestFit="1" customWidth="1"/>
    <col min="205" max="205" width="10.44140625" style="81" bestFit="1" customWidth="1"/>
    <col min="206" max="210" width="10.44140625" style="81" customWidth="1"/>
    <col min="211" max="211" width="45.44140625" style="81" customWidth="1"/>
    <col min="212" max="212" width="47.5546875" style="81" bestFit="1" customWidth="1"/>
    <col min="213" max="213" width="9.33203125" style="85" customWidth="1"/>
    <col min="214" max="214" width="119.5546875" style="81" customWidth="1"/>
    <col min="215" max="215" width="69.6640625" style="81" customWidth="1"/>
    <col min="216" max="218" width="8.88671875" style="81"/>
    <col min="219" max="219" width="37.109375" style="81" customWidth="1"/>
    <col min="220" max="220" width="16.33203125" style="81" customWidth="1"/>
    <col min="221" max="222" width="8.88671875" style="81"/>
    <col min="223" max="223" width="10.109375" style="81" bestFit="1" customWidth="1"/>
    <col min="224" max="232" width="10.88671875" style="81" customWidth="1"/>
    <col min="233" max="234" width="30.77734375" style="81" customWidth="1"/>
    <col min="235" max="235" width="5.109375" style="81" customWidth="1"/>
    <col min="236" max="236" width="3" style="81" customWidth="1"/>
    <col min="237" max="245" width="6.77734375" style="86" customWidth="1"/>
    <col min="246" max="247" width="8.88671875" style="81"/>
    <col min="248" max="248" width="61.5546875" style="81" customWidth="1"/>
    <col min="249" max="253" width="8.88671875" style="81"/>
    <col min="254" max="254" width="9" style="81" customWidth="1"/>
    <col min="255" max="16384" width="8.88671875" style="8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897</v>
      </c>
      <c r="B2" s="40" t="e" vm="60">
        <v>#VALUE!</v>
      </c>
      <c r="C2" s="41">
        <v>1</v>
      </c>
      <c r="D2" s="42" t="s">
        <v>898</v>
      </c>
      <c r="E2" s="43" t="s">
        <v>899</v>
      </c>
      <c r="F2" s="44" t="s">
        <v>163</v>
      </c>
      <c r="G2" s="45">
        <f>COUNTIF($A$1:$A$8347,A2)</f>
        <v>1</v>
      </c>
      <c r="H2" s="46"/>
      <c r="I2" s="47" t="s">
        <v>900</v>
      </c>
      <c r="J2" s="48" t="str">
        <f>""</f>
        <v/>
      </c>
      <c r="K2" s="49">
        <v>6888000</v>
      </c>
      <c r="L2" s="50">
        <v>760000</v>
      </c>
      <c r="M2" s="50" t="s">
        <v>1113</v>
      </c>
      <c r="N2" s="51" t="s">
        <v>180</v>
      </c>
      <c r="O2" s="52" t="s">
        <v>901</v>
      </c>
      <c r="P2" s="53" t="s">
        <v>902</v>
      </c>
      <c r="Q2" s="54">
        <v>1</v>
      </c>
      <c r="R2" s="55" t="s">
        <v>180</v>
      </c>
      <c r="S2" s="56">
        <v>3</v>
      </c>
      <c r="T2" s="57" t="s">
        <v>164</v>
      </c>
      <c r="U2" s="58" t="s">
        <v>164</v>
      </c>
      <c r="V2" s="58" t="s">
        <v>167</v>
      </c>
      <c r="W2" s="58" t="s">
        <v>164</v>
      </c>
      <c r="X2" s="58" t="s">
        <v>164</v>
      </c>
      <c r="Y2" s="58" t="s">
        <v>164</v>
      </c>
      <c r="Z2" s="58" t="s">
        <v>164</v>
      </c>
      <c r="AA2" s="58" t="s">
        <v>164</v>
      </c>
      <c r="AB2" s="58" t="s">
        <v>164</v>
      </c>
      <c r="AC2" s="58" t="s">
        <v>164</v>
      </c>
      <c r="AD2" s="58" t="s">
        <v>164</v>
      </c>
      <c r="AE2" s="58" t="s">
        <v>167</v>
      </c>
      <c r="AF2" s="59" t="s">
        <v>164</v>
      </c>
      <c r="AG2" s="59" t="s">
        <v>167</v>
      </c>
      <c r="AH2" s="59" t="s">
        <v>167</v>
      </c>
      <c r="AI2" s="59" t="s">
        <v>164</v>
      </c>
      <c r="AJ2" s="59" t="s">
        <v>164</v>
      </c>
      <c r="AK2" s="59" t="s">
        <v>164</v>
      </c>
      <c r="AL2" s="59" t="s">
        <v>164</v>
      </c>
      <c r="AM2" s="59" t="s">
        <v>164</v>
      </c>
      <c r="AN2" s="59" t="s">
        <v>164</v>
      </c>
      <c r="AO2" s="59" t="s">
        <v>164</v>
      </c>
      <c r="AP2" s="59" t="s">
        <v>164</v>
      </c>
      <c r="AQ2" s="59" t="s">
        <v>164</v>
      </c>
      <c r="AR2" s="59" t="s">
        <v>164</v>
      </c>
      <c r="AS2" s="59" t="s">
        <v>164</v>
      </c>
      <c r="AT2" s="60">
        <v>1</v>
      </c>
      <c r="AU2" s="59"/>
      <c r="AV2" s="59" t="str">
        <f>IF(LEFT(A2,1)="[",LEFT(A2,5)&amp;AU2&amp;A2,"")</f>
        <v/>
      </c>
      <c r="AW2" s="59" t="str">
        <f>C2&amp;H2&amp;A2</f>
        <v>1Libya</v>
      </c>
      <c r="AX2" s="61" t="str">
        <f>_xlfn.TEXTJOIN(";",TRUE,AU2:AW2)</f>
        <v>1Libya</v>
      </c>
      <c r="AY2" s="61"/>
      <c r="AZ2" s="62" t="s">
        <v>159</v>
      </c>
      <c r="BA2" s="62"/>
      <c r="BB2" s="62"/>
      <c r="BC2" s="63"/>
      <c r="BD2" s="64" t="s">
        <v>151</v>
      </c>
      <c r="BE2" s="47"/>
      <c r="BF2" s="64" t="s">
        <v>154</v>
      </c>
      <c r="BG2" s="64" t="s">
        <v>151</v>
      </c>
      <c r="BH2" s="64" t="s">
        <v>153</v>
      </c>
      <c r="BI2" s="64"/>
      <c r="BJ2" s="64"/>
      <c r="BK2" s="47"/>
      <c r="BL2" s="64" t="s">
        <v>151</v>
      </c>
      <c r="BM2" s="64" t="s">
        <v>154</v>
      </c>
      <c r="BN2" s="64" t="s">
        <v>153</v>
      </c>
      <c r="BO2" s="64" t="s">
        <v>159</v>
      </c>
      <c r="BP2" s="64"/>
      <c r="BQ2" s="64"/>
      <c r="BR2" s="64"/>
      <c r="BS2" s="64"/>
      <c r="BT2" s="64"/>
      <c r="BU2" s="65"/>
      <c r="BV2" s="66" t="s">
        <v>165</v>
      </c>
      <c r="BW2" s="66" t="s">
        <v>903</v>
      </c>
      <c r="BX2" s="47"/>
      <c r="CB2" s="6" t="s">
        <v>135</v>
      </c>
      <c r="CC2" s="6"/>
      <c r="CD2" s="67">
        <v>0</v>
      </c>
      <c r="CE2" s="67">
        <v>0</v>
      </c>
      <c r="CF2" s="67" t="e">
        <v>#REF!</v>
      </c>
      <c r="CG2" s="68" cm="1">
        <f t="array" ref="CG2">SUMPRODUCT(--(LEN(TRIM(BL2:BT2))&gt;0))</f>
        <v>4</v>
      </c>
      <c r="CH2" s="59" t="str">
        <f>IF(CG2=2,"y","n")</f>
        <v>n</v>
      </c>
      <c r="CI2" s="59" t="str">
        <f>IF(CG2=3,"y","n")</f>
        <v>n</v>
      </c>
      <c r="CJ2" s="59" t="str">
        <f>IF(CG2=4,"y","n")</f>
        <v>y</v>
      </c>
      <c r="CK2" s="59" t="str">
        <f>IF(CG2&gt;4,"y","n")</f>
        <v>n</v>
      </c>
      <c r="CL2" s="59" t="str">
        <f>IF(S2=0,"y","n")</f>
        <v>n</v>
      </c>
      <c r="CM2" s="59" t="str">
        <f>IF(S2=2,"y","n")</f>
        <v>n</v>
      </c>
      <c r="CN2" s="59" t="str">
        <f>IF(S2=3,"y","n")</f>
        <v>y</v>
      </c>
      <c r="CO2" s="59" t="str">
        <f>IF(S2&gt;=4,"y","n")</f>
        <v>n</v>
      </c>
      <c r="CP2" s="59" t="str">
        <f>IF(AT2=0,"y","n")</f>
        <v>n</v>
      </c>
      <c r="CQ2" s="59" t="str">
        <f>IF(AT2=1,"y","n")</f>
        <v>y</v>
      </c>
      <c r="CR2" s="59" t="str">
        <f>IF(AT2=2,"y","n")</f>
        <v>n</v>
      </c>
      <c r="CS2" s="59" t="str">
        <f>IF(AT2&gt;=3,"y","n")</f>
        <v>n</v>
      </c>
      <c r="CT2" s="69" t="str">
        <f>CHAR(34)&amp;A2&amp;CHAR(34)</f>
        <v>"Libya"</v>
      </c>
      <c r="CU2" s="70" t="str">
        <f>CHAR(34)&amp;"rgn_"&amp;R2&amp;CHAR(34)</f>
        <v>"rgn_Africa"</v>
      </c>
      <c r="CV2" s="48" t="str">
        <f>CHAR(34)&amp;D2&amp;CHAR(34)</f>
        <v>"https://i.ibb.co/FKNdrfC/Libya-Flag.png"</v>
      </c>
      <c r="CW2" s="48" t="str">
        <f>IF(CH2="y",CHAR(34)&amp;CH$1&amp;CHAR(34)&amp;",","")</f>
        <v/>
      </c>
      <c r="CX2" s="48" t="str">
        <f>IF(CI2="y",CHAR(34)&amp;CI$1&amp;CHAR(34)&amp;",","")</f>
        <v/>
      </c>
      <c r="CY2" s="48" t="str">
        <f>IF(CJ2="y",CHAR(34)&amp;CJ$1&amp;CHAR(34)&amp;",","")</f>
        <v>"4Color",</v>
      </c>
      <c r="CZ2" s="48" t="str">
        <f>IF(CK2="y",CHAR(34)&amp;CK$1&amp;CHAR(34)&amp;",","")</f>
        <v/>
      </c>
      <c r="DA2" s="48" t="str">
        <f>IF(Q2&gt;1,CHAR(34)&amp;"words2"&amp;CHAR(34)&amp;",","")</f>
        <v/>
      </c>
      <c r="DB2" s="48" t="str">
        <f>IF(Q2&gt;2,CHAR(34)&amp;"words3"&amp;CHAR(34)&amp;",","")</f>
        <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"lets05",</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"startL",</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"with_y",</v>
      </c>
      <c r="DK2" s="48" t="str">
        <f>IFERROR(IF(SEARCH("z",A2)&gt;0,CHAR(34)&amp;"with_z"&amp;CHAR(34)&amp;",",""),"")</f>
        <v/>
      </c>
      <c r="DL2" s="48" t="str">
        <f>IF(CG2=2, CHAR(34) &amp; _xlfn.TEXTJOIN("", TRUE, _xlfn._xlws.SORT(HP2:HX2)) &amp; CHAR(34) &amp; ",", "")</f>
        <v/>
      </c>
      <c r="DM2" s="48" t="str" cm="1">
        <f t="array" ref="DM2">IF(CG2=3,CHAR(34) &amp; _xlfn.TEXTJOIN("", TRUE, RIGHT(HP2:HX2, 2)) &amp; CHAR(34) &amp; ",", "")</f>
        <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"year00",</v>
      </c>
      <c r="DQ2" s="6" t="str">
        <f>IF(CC2="y",CHAR(34)&amp;"soviet"&amp;CHAR(34)&amp;",","")</f>
        <v/>
      </c>
      <c r="DR2" s="6" t="str">
        <f>IF(BY2="y",CHAR(34)&amp;"dgband"&amp;CHAR(34)&amp;",","")</f>
        <v/>
      </c>
      <c r="DS2" s="6" t="str">
        <f>IF(W2="y",IF(AND(V2="n",BY2&lt;&gt;"y"),CHAR(34)&amp;"allver"&amp;CHAR(34)&amp;",",""),"")</f>
        <v/>
      </c>
      <c r="DT2" s="6" t="str">
        <f>IF(V2="y",IF(AND(W2="n",BY2&lt;&gt;"y"),CHAR(34)&amp;"allhor"&amp;CHAR(34)&amp;",",""),"")</f>
        <v>"allhor",</v>
      </c>
      <c r="DU2" s="6" t="str">
        <f>IF(BY2="y",IF(AND(W2="n",V2="n"),CHAR(34)&amp;"alldia"&amp;CHAR(34)&amp;",",""),"")</f>
        <v/>
      </c>
      <c r="DV2" s="48" t="str">
        <f>IF(IA2&lt;&gt;"",(IF(IA2="y",CHAR(34)&amp;"largec"&amp;CHAR(34)&amp;",",CHAR(34)&amp;"smallc"&amp;CHAR(34)&amp;",")),"")</f>
        <v/>
      </c>
      <c r="DW2" s="48" t="str">
        <f>IF(CL2="y",CHAR(34)&amp;CL$1&amp;CHAR(34)&amp;",","")</f>
        <v/>
      </c>
      <c r="DX2" s="48" t="str">
        <f>IF(CM2="y",CHAR(34)&amp;CM$1&amp;CHAR(34)&amp;",","")</f>
        <v/>
      </c>
      <c r="DY2" s="48" t="str">
        <f>IF(CN2="y",CHAR(34)&amp;CN$1&amp;CHAR(34)&amp;",","")</f>
        <v>"3Bands",</v>
      </c>
      <c r="DZ2" s="48" t="str">
        <f>IF(CO2="y",CHAR(34)&amp;CO$1&amp;CHAR(34)&amp;",","")</f>
        <v/>
      </c>
      <c r="EA2" s="48" t="str">
        <f>IF(T2="y",CHAR(34)&amp;T$1&amp;CHAR(34)&amp;",","")</f>
        <v/>
      </c>
      <c r="EB2" s="48" t="str">
        <f>IF(U2="y",CHAR(34)&amp;U$1&amp;CHAR(34)&amp;",","")</f>
        <v/>
      </c>
      <c r="EC2" s="48" t="str">
        <f>IF(V2="y",CHAR(34)&amp;V$1&amp;CHAR(34)&amp;",","")</f>
        <v>"Horizo",</v>
      </c>
      <c r="ED2" s="48" t="str">
        <f>IF(W2="y",CHAR(34)&amp;W$1&amp;CHAR(34)&amp;",","")</f>
        <v/>
      </c>
      <c r="EE2" s="48" t="str">
        <f>IF(X2="y",CHAR(34)&amp;X$1&amp;CHAR(34)&amp;",","")</f>
        <v/>
      </c>
      <c r="EF2" s="48" t="str">
        <f>IF(AND(Y2&lt;&gt;"n",Y2&lt;&gt;""),CHAR(34)&amp;Y$1&amp;CHAR(34)&amp;",","")</f>
        <v/>
      </c>
      <c r="EG2" s="48" t="str">
        <f>IF(Z2="y",CHAR(34)&amp;Z$1&amp;CHAR(34)&amp;",","")</f>
        <v/>
      </c>
      <c r="EH2" s="48" t="str">
        <f>IF(AA2="y",CHAR(34)&amp;AA$1&amp;CHAR(34)&amp;",","")</f>
        <v/>
      </c>
      <c r="EI2" s="48" t="str">
        <f>IF(AB2="y",CHAR(34)&amp;AB$1&amp;CHAR(34)&amp;",","")</f>
        <v/>
      </c>
      <c r="EJ2" s="48" t="str">
        <f>IF(AC2="y",CHAR(34)&amp;AC$1&amp;CHAR(34)&amp;",","")</f>
        <v/>
      </c>
      <c r="EK2" s="48" t="str">
        <f>IF(AD2="y",CHAR(34)&amp;AD$1&amp;CHAR(34)&amp;",","")</f>
        <v/>
      </c>
      <c r="EL2" s="48" t="str">
        <f>IF(AE2="y",CHAR(34)&amp;AE$1&amp;CHAR(34)&amp;",","")</f>
        <v>"IsMoon",</v>
      </c>
      <c r="EM2" s="48" t="str">
        <f>IF(AF2="y",CHAR(34)&amp;AF$1&amp;CHAR(34)&amp;",","")</f>
        <v/>
      </c>
      <c r="EN2" s="48" t="str">
        <f>IF(AG2="y",CHAR(34)&amp;AG$1&amp;CHAR(34)&amp;",","")</f>
        <v>"Unequa",</v>
      </c>
      <c r="EO2" s="48" t="str">
        <f>IF(AH2="y",CHAR(34)&amp;AH$1&amp;CHAR(34)&amp;",","")</f>
        <v>"Center",</v>
      </c>
      <c r="EP2" s="48" t="str">
        <f>IF(AI2="y",CHAR(34)&amp;AI$1&amp;CHAR(34)&amp;",","")</f>
        <v/>
      </c>
      <c r="EQ2" s="48" t="str">
        <f>IF(AJ2="y",CHAR(34)&amp;AJ$1&amp;CHAR(34)&amp;",","")</f>
        <v/>
      </c>
      <c r="ER2" s="48" t="str">
        <f>IF(AK2="y",CHAR(34)&amp;AK$1&amp;CHAR(34)&amp;",","")</f>
        <v/>
      </c>
      <c r="ES2" s="48" t="str">
        <f>IF(AL2="y",CHAR(34)&amp;AL$1&amp;CHAR(34)&amp;",","")</f>
        <v/>
      </c>
      <c r="ET2" s="48" t="str">
        <f>IF(AM2="y",CHAR(34)&amp;AM$1&amp;CHAR(34)&amp;",","")</f>
        <v/>
      </c>
      <c r="EU2" s="48" t="str">
        <f>IF(AN2="y",CHAR(34)&amp;AN$1&amp;CHAR(34)&amp;",","")</f>
        <v/>
      </c>
      <c r="EV2" s="48" t="str">
        <f>IF(AO2="y",CHAR(34)&amp;AO$1&amp;CHAR(34)&amp;",","")</f>
        <v/>
      </c>
      <c r="EW2" s="48" t="str">
        <f>IF(AP2="y",CHAR(34)&amp;AP$1&amp;CHAR(34)&amp;",","")</f>
        <v/>
      </c>
      <c r="EX2" s="48" t="str">
        <f>IF(AQ2="y",CHAR(34)&amp;AQ$1&amp;CHAR(34)&amp;",","")</f>
        <v/>
      </c>
      <c r="EY2" s="48" t="str">
        <f>IF(AR2="y",CHAR(34)&amp;AR$1&amp;CHAR(34)&amp;",","")</f>
        <v/>
      </c>
      <c r="EZ2" s="48" t="str">
        <f>IF(AS2="y",CHAR(34)&amp;AS$1&amp;CHAR(34)&amp;",","")</f>
        <v/>
      </c>
      <c r="FA2" s="48" t="str">
        <f>IF(AT2&gt;0,CHAR(34)&amp;"sta"&amp;AZ2&amp;CHAR(34)&amp;",","")</f>
        <v>"staWHI",</v>
      </c>
      <c r="FB2" s="48" t="str">
        <f>IF(AND(AT2&gt;0,BA2&lt;&gt;""),CHAR(34)&amp;"sta"&amp;BA2&amp;CHAR(34)&amp;",","")</f>
        <v/>
      </c>
      <c r="FC2" s="48" t="str">
        <f>IF(AND(AT2&gt;0,BB2&lt;&gt;""),CHAR(34)&amp;"sta"&amp;BB2&amp;CHAR(34)&amp;",","")</f>
        <v/>
      </c>
      <c r="FD2" s="48" t="str">
        <f>IF(BV2="n",CHAR(34)&amp;"tcWHYE"&amp;CHAR(34)&amp;",",IF(BV2="y",CHAR(34)&amp;FD$1&amp;CHAR(34)&amp;",",""))</f>
        <v/>
      </c>
      <c r="FE2" s="48" t="str">
        <f>IF(COUNTIF(BL2:BT2,"BLU")=0,CHAR(34)&amp;"NO_BLU"&amp;CHAR(34)&amp;",", "")</f>
        <v>"NO_BLU",</v>
      </c>
      <c r="FF2" s="48" t="str">
        <f>IF(COUNTIF(BL2:BT2,"WHI")=0,CHAR(34)&amp;"NO_WHI"&amp;CHAR(34)&amp;",", "")</f>
        <v/>
      </c>
      <c r="FG2" s="48" t="str">
        <f>IF(COUNTIF(BL2:BT2,"RED")=0,CHAR(34)&amp;"NO_RED"&amp;CHAR(34)&amp;",", "")</f>
        <v/>
      </c>
      <c r="FH2" s="48" t="str">
        <f>IF(COUNTIF(BL2:BS2,"GRE")=0,CHAR(34)&amp;"NO_GRE"&amp;CHAR(34)&amp;",", "")</f>
        <v/>
      </c>
      <c r="FI2" s="48" t="str">
        <f>IF(COUNTIF(BL2:BT2,"YEL")=0,CHAR(34)&amp;"NO_YEL"&amp;CHAR(34)&amp;",", "")</f>
        <v>"NO_YEL",</v>
      </c>
      <c r="FJ2" s="48" t="str">
        <f>IF(COUNTIF(BL2:BT2,"BLA")=0,CHAR(34)&amp;"NO_BLA"&amp;CHAR(34)&amp;",", "")</f>
        <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
      </c>
      <c r="FP2" s="48" t="str">
        <f>IF(AND(FF2&lt;&gt;"",FF2&lt;&gt;""),CHAR(34)&amp;"WHRENO"&amp;CHAR(34)&amp;",","")</f>
        <v/>
      </c>
      <c r="FQ2" s="48" t="str">
        <f>IF(LEN(BF2)=3,CHAR(34)&amp;"001"&amp;BF2&amp;CHAR(34)&amp;",","")</f>
        <v>"001RED",</v>
      </c>
      <c r="FR2" s="48" t="str">
        <f>IF(LEN(BG2)=3,CHAR(34)&amp;"002"&amp;BG2&amp;CHAR(34)&amp;",","")</f>
        <v>"002BLA",</v>
      </c>
      <c r="FS2" s="48" t="str">
        <f>IF(LEN(BH2)=3,CHAR(34)&amp;"003"&amp;BH2&amp;CHAR(34)&amp;",","")</f>
        <v>"003GRE",</v>
      </c>
      <c r="FT2" s="48" t="str">
        <f>CHAR(34)&amp;"myr"&amp;BD2&amp;CHAR(34)&amp;","</f>
        <v>"myrBLA",</v>
      </c>
      <c r="FU2" s="48" t="str">
        <f>IF(AY2="y",CHAR(34)&amp;"island"&amp;CHAR(34)&amp;",","")</f>
        <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"arabic",</v>
      </c>
      <c r="FZ2" s="48" t="str">
        <f>IFERROR(IF(SEARCH("English",CB2)&gt;0,CHAR(34)&amp;"englis"&amp;CHAR(34)&amp;",",""),"")</f>
        <v/>
      </c>
      <c r="GA2" s="48" t="str">
        <f>IFERROR(IF(SEARCH("French",CB2)&gt;0,CHAR(34)&amp;"french"&amp;CHAR(34)&amp;",",""),"")</f>
        <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
      </c>
      <c r="GK2" s="48" t="str">
        <f>IF(GJ2="",CHAR(34)&amp;"HasSta"&amp;CHAR(34)&amp;",","")</f>
        <v>"HasSta",</v>
      </c>
      <c r="GL2" s="48" t="str">
        <f>IF(CQ2="y",CHAR(34)&amp;CQ$1&amp;CHAR(34)&amp;",","")</f>
        <v>"1Stars",</v>
      </c>
      <c r="GM2" s="48" t="str">
        <f>IF(CR2="y",CHAR(34)&amp;CR$1&amp;CHAR(34)&amp;",","")</f>
        <v/>
      </c>
      <c r="GN2" s="48" t="str">
        <f>IF(CS2="y",CHAR(34)&amp;CS$1&amp;CHAR(34)&amp;",","")</f>
        <v/>
      </c>
      <c r="GP2" s="48" t="str">
        <f>CHAR(34)&amp;AU2&amp;CHAR(34)</f>
        <v>""</v>
      </c>
      <c r="GS2" s="48" t="str">
        <f>SUBSTITUTE("["&amp;_xlfn.CONCAT(CW2:GN2)&amp;"]",",]","]")</f>
        <v>["4Color","lets05","startL","with_y","year19","year00","allhor","3Bands","Horizo","IsMoon","Unequa","Center","staWHI","NO_BLU","NO_YEL","001RED","002BLA","003GRE","myrBLA","arabic","HasSta","1Stars"]</v>
      </c>
      <c r="GT2" s="48" t="str">
        <f>IF(BL2&lt;&gt;"",CHAR(34)&amp;"cl_"&amp;BL2&amp;CHAR(34)&amp;",","")</f>
        <v>"cl_BLA",</v>
      </c>
      <c r="GU2" s="48" t="str">
        <f>IF(BM2&lt;&gt;"",CHAR(34)&amp;"cl_"&amp;BM2&amp;CHAR(34)&amp;",","")</f>
        <v>"cl_RED",</v>
      </c>
      <c r="GV2" s="48" t="str">
        <f>IF(BN2&lt;&gt;"",CHAR(34)&amp;"cl_"&amp;BN2&amp;CHAR(34)&amp;",","")</f>
        <v>"cl_GRE",</v>
      </c>
      <c r="GW2" s="48" t="str">
        <f>IF(BO2&lt;&gt;"",CHAR(34)&amp;"cl_"&amp;BO2&amp;CHAR(34)&amp;",","")</f>
        <v>"cl_WHI",</v>
      </c>
      <c r="GX2" s="48" t="str">
        <f>IF(BP2&lt;&gt;"",CHAR(34)&amp;"cl_"&amp;BP2&amp;CHAR(34)&amp;",","")</f>
        <v/>
      </c>
      <c r="GY2" s="48" t="str">
        <f>IF(BQ2&lt;&gt;"",CHAR(34)&amp;"cl_"&amp;BQ2&amp;CHAR(34)&amp;",","")</f>
        <v/>
      </c>
      <c r="GZ2" s="48" t="str">
        <f>IF(BR2&lt;&gt;"",CHAR(34)&amp;"cl_"&amp;BR2&amp;CHAR(34)&amp;",","")</f>
        <v/>
      </c>
      <c r="HA2" s="48" t="str">
        <f>IF(BS2&lt;&gt;"",CHAR(34)&amp;"cl_"&amp;BS2&amp;CHAR(34)&amp;",","")</f>
        <v/>
      </c>
      <c r="HB2" s="48" t="str">
        <f>IF(BT2&lt;&gt;"",CHAR(34)&amp;"cl_"&amp;BT2&amp;CHAR(34)&amp;",","")</f>
        <v/>
      </c>
      <c r="HC2" s="48" t="str">
        <f>SUBSTITUTE("["&amp;_xlfn.CONCAT(GT2:HB2)&amp;"]",",]","]")</f>
        <v>["cl_BLA","cl_RED","cl_GRE","cl_WHI"]</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{couname:"Libya",year:"1951, 2011 ",region:"rgn_Africa",Colors:["cl_BLA","cl_RED","cl_GRE","cl_WHI"],Items:["4Color","lets05","startL","with_y","year19","year00","allhor","3Bands","Horizo","IsMoon","Unequa","Center","staWHI","NO_BLU","NO_YEL","001RED","002BLA","003GRE","myrBLA","arabic","HasSta","1Stars"],Flag:"https://i.ibb.co/FKNdrfC/Libya-Flag.png",HDFlag:"https://upload.wikimedia.org/wikipedia/commons/thumb/0/05/Flag_of_Libya.svg/2560px-Flag_of_Libya.svg.png",type:"", describe: "\nThe colors, red, black, and green, represent the regions of Libya, Fezzan, Cyrenaica, and Tripolitania, respectively. The star and crescent symbolize Islam", isnew:".", links: "https://en.wikipedia.org/wiki/Flag_of_Libya"},</v>
      </c>
      <c r="HG2" s="73" t="str">
        <f>"{couname:"&amp;CT2&amp;(IF(HK2&lt;&gt;"",",subtype:"&amp;CHAR(34)&amp;HK2&amp;CHAR(34),""))&amp;",year:"&amp;HJ2&amp;",region:"&amp;CU2&amp;",Colors:"&amp;HC2&amp;",Items:"&amp;GS2&amp;",Flag:"&amp;CV2&amp;",HDFlag:"&amp;CHAR(34)&amp;E2&amp;CHAR(34)&amp;",type:"&amp;GP2&amp;", describe: "&amp;HI2&amp;", links: "&amp;HL2&amp;"},"</f>
        <v>{couname:"Libya",year:"1951, 2011 ",region:"rgn_Africa",Colors:["cl_BLA","cl_RED","cl_GRE","cl_WHI"],Items:["4Color","lets05","startL","with_y","year19","year00","allhor","3Bands","Horizo","IsMoon","Unequa","Center","staWHI","NO_BLU","NO_YEL","001RED","002BLA","003GRE","myrBLA","arabic","HasSta","1Stars"],Flag:"https://i.ibb.co/FKNdrfC/Libya-Flag.png",HDFlag:"https://upload.wikimedia.org/wikipedia/commons/thumb/0/05/Flag_of_Libya.svg/2560px-Flag_of_Libya.svg.png",type:"", describe: "\nThe colors, red, black, and green, represent the regions of Libya, Fezzan, Cyrenaica, and Tripolitania, respectively. The star and crescent symbolize Islam", links: "https://en.wikipedia.org/wiki/Flag_of_Libya"},</v>
      </c>
      <c r="HH2" s="48" t="str">
        <f>IF(P2&lt;&gt;"",CHAR(34)&amp;"\n"&amp;P2&amp;CHAR(34),CHAR(34)&amp;CHAR(34))</f>
        <v>"\nThe colors, red, black, and green, represent the regions of Libya, Fezzan, Cyrenaica, and Tripolitania, respectively. The star and crescent symbolize Islam"</v>
      </c>
      <c r="HI2" s="48" t="str">
        <f>IF(J2=0,CHAR(34)&amp;CHAR(34),HH2)</f>
        <v>"\nThe colors, red, black, and green, represent the regions of Libya, Fezzan, Cyrenaica, and Tripolitania, respectively. The star and crescent symbolize Islam"</v>
      </c>
      <c r="HJ2" s="48" t="str">
        <f>CHAR(34)&amp;O2&amp;CHAR(34)</f>
        <v>"1951, 2011 "</v>
      </c>
      <c r="HL2" s="48" t="str">
        <f>CHAR(34)&amp;I2&amp;CHAR(34)</f>
        <v>"https://en.wikipedia.org/wiki/Flag_of_Libya"</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{"couname":"Libya","year":"1951, 2011 ","region":"rgn_Africa","Colors":["cl_BLA","cl_RED","cl_GRE","cl_WHI"],"Items":["4Color","lets05","startL","with_y","year19","year00","allhor","3Bands","Horizo","IsMoon","Unequa","Center","staWHI","NO_BLU","NO_YEL","001RED","002BLA","003GRE","myrBLA","arabic","HasSta","1Stars"],"Flag":"https://i.ibb.co/FKNdrfC/Libya-Flag.png","HDFlag":"https://upload.wikimedia.org/wikipedia/commons/thumb/0/05/Flag_of_Libya.svg/2560px-Flag_of_Libya.svg.png","type":"", "describe": "\nThe colors, red, black, and green, represent the regions of Libya, Fezzan, Cyrenaica, and Tripolitania, respectively. The star and crescent symbolize Islam", "isnew": ".", "links": "https://en.wikipedia.org/wiki/Flag_of_Libya"},</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{"couname":"Libya","year":"1951, 2011 ","region":"rgn_Africa","Colors":["cl_BLA","cl_RED","cl_GRE","cl_WHI"],"Items":["4Color","lets05","startL","with_y","year19","year00","allhor","3Bands","Horizo","IsMoon","Unequa","Center","staWHI","NO_BLU","NO_YEL","001RED","002BLA","003GRE","myrBLA","arabic","HasSta","1Stars"],"Flag":"https://i.ibb.co/FKNdrfC/Libya-Flag.png","HDFlag":"https://upload.wikimedia.org/wikipedia/commons/thumb/0/05/Flag_of_Libya.svg/2560px-Flag_of_Libya.svg.png","type":"", "describe": "\nThe colors, red, black, and green, represent the regions of Libya, Fezzan, Cyrenaica, and Tripolitania, respectively. The star and crescent symbolize Islam", "isnew": ".", "links": "https://en.wikipedia.org/wiki/Flag_of_Libya"},</v>
      </c>
      <c r="HO2" s="75"/>
      <c r="HP2" s="48" t="str" cm="1">
        <f t="array" ref="HP2">IF(_xlfn.TEXTJOIN(", ", TRUE, IF(ISNUMBER(SEARCH("BLA", BL2:BT2)), COLUMN(BL2:BT2) - COLUMN(BL2) + 1, ""))&lt;&gt;"","BLA","")</f>
        <v>BLA</v>
      </c>
      <c r="HQ2" s="48" t="str" cm="1">
        <f t="array" ref="HQ2">IF(_xlfn.TEXTJOIN(", ", TRUE, IF(ISNUMBER(SEARCH("BLU", BL2:BT2)), COLUMN(BL2:BT2) - COLUMN(BL2) + 1, ""))&lt;&gt;"","BLU","")</f>
        <v/>
      </c>
      <c r="HR2" s="48" t="str" cm="1">
        <f t="array" ref="HR2">IF(_xlfn.TEXTJOIN(", ", TRUE, IF(ISNUMBER(SEARCH("GRE", BL2:BT2)), COLUMN(BL2:BT2) - COLUMN(BL2) + 1, ""))&lt;&gt;"","GRE","")</f>
        <v>GRE</v>
      </c>
      <c r="HS2" s="48" t="str" cm="1">
        <f t="array" ref="HS2">IF(_xlfn.TEXTJOIN(", ", TRUE, IF(ISNUMBER(SEARCH("RED", BL2:BT2)), COLUMN(BL2:BT2) - COLUMN(BL2) + 1, ""))&lt;&gt;"","RED","")</f>
        <v>RED</v>
      </c>
      <c r="HT2" s="48" t="str" cm="1">
        <f t="array" ref="HT2">IF(_xlfn.TEXTJOIN(", ", TRUE, IF(ISNUMBER(SEARCH("YEL", BL2:BT2)), COLUMN(BL2:BT2) - COLUMN(BL2) + 1, ""))&lt;&gt;"","YEL","")</f>
        <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c r="IB2" s="6"/>
      <c r="IC2" s="77"/>
      <c r="ID2" s="77"/>
      <c r="IE2" s="77"/>
      <c r="IF2" s="77"/>
      <c r="IG2" s="77"/>
      <c r="IH2" s="77"/>
      <c r="II2" s="77"/>
      <c r="IJ2" s="77"/>
      <c r="IK2" s="77"/>
      <c r="IL2" s="48">
        <f>SUM(IC2:IK2)</f>
        <v>0</v>
      </c>
      <c r="IM2" s="45">
        <f>COUNTIF(IC2:IK2,"&gt;0")-CG2</f>
        <v>-4</v>
      </c>
      <c r="IN2" s="78" t="str">
        <f>"http://mkweb.bcgsc.ca/color-summarizer/?url="&amp;D2&amp;"&amp;precision=low&amp;num_clusters="&amp;CG2&amp;"&amp;text=1"</f>
        <v>http://mkweb.bcgsc.ca/color-summarizer/?url=https://i.ibb.co/FKNdrfC/Libya-Flag.png&amp;precision=low&amp;num_clusters=4&amp;text=1</v>
      </c>
      <c r="IO2" s="48" t="str">
        <f>IF(HP2&lt;&gt;"",CHAR(34)&amp;"black"&amp;CHAR(34),"")</f>
        <v>"black"</v>
      </c>
      <c r="IP2" s="48" t="str">
        <f>IF(HQ2&lt;&gt;"",CHAR(34)&amp;"blue"&amp;CHAR(34),"")</f>
        <v/>
      </c>
      <c r="IQ2" s="48" t="str">
        <f>IF(HR2&lt;&gt;"",CHAR(34)&amp;"green"&amp;CHAR(34),"")</f>
        <v>"green"</v>
      </c>
      <c r="IR2" s="48" t="str">
        <f>IF(HS2&lt;&gt;"",CHAR(34)&amp;"red"&amp;CHAR(34),"")</f>
        <v>"red"</v>
      </c>
      <c r="IS2" s="48" t="str">
        <f>IF(HT2&lt;&gt;"",CHAR(34)&amp;"yellow"&amp;CHAR(34),"")</f>
        <v/>
      </c>
      <c r="IT2" s="48" t="str">
        <f>IF(HU2&lt;&gt;"",CHAR(34)&amp;"orange"&amp;CHAR(34),"")</f>
        <v/>
      </c>
      <c r="IU2" s="48" t="str">
        <f>IF(HV2&lt;&gt;"",CHAR(34)&amp;"brown"&amp;CHAR(34),"")</f>
        <v/>
      </c>
      <c r="IV2" s="48" t="str">
        <f>IF(HW2&lt;&gt;"",CHAR(34)&amp;"purple"&amp;CHAR(34),"")</f>
        <v/>
      </c>
      <c r="IW2" s="48" t="str">
        <f>IF(HX2&lt;&gt;"",CHAR(34)&amp;"white"&amp;CHAR(34),"")</f>
        <v>"white"</v>
      </c>
      <c r="IX2" s="48" t="str">
        <f>"{"&amp;CHAR(34)&amp;"url"&amp;CHAR(34)&amp;":"&amp;CHAR(34)&amp;IN2&amp;CHAR(34)&amp;","&amp;CHAR(34)&amp;"name"&amp;CHAR(34)&amp;":"&amp;CHAR(34)&amp;A2&amp;CHAR(34)&amp;"},"</f>
        <v>{"url":"http://mkweb.bcgsc.ca/color-summarizer/?url=https://i.ibb.co/FKNdrfC/Libya-Flag.png&amp;precision=low&amp;num_clusters=4&amp;text=1","name":"Libya"},</v>
      </c>
      <c r="IY2" s="48">
        <v>123</v>
      </c>
    </row>
    <row r="3" spans="1:259" s="48" customFormat="1" ht="38.4" customHeight="1" thickBot="1" x14ac:dyDescent="0.35">
      <c r="A3" s="79" t="s">
        <v>891</v>
      </c>
      <c r="B3" s="40" t="e" vm="61">
        <v>#VALUE!</v>
      </c>
      <c r="C3" s="41">
        <v>2</v>
      </c>
      <c r="D3" s="42" t="s">
        <v>892</v>
      </c>
      <c r="E3" s="43" t="s">
        <v>893</v>
      </c>
      <c r="F3" s="44" t="s">
        <v>163</v>
      </c>
      <c r="G3" s="45">
        <f>COUNTIF($A$1:$A$8350,A3)</f>
        <v>1</v>
      </c>
      <c r="H3" s="46"/>
      <c r="I3" s="47" t="s">
        <v>894</v>
      </c>
      <c r="J3" s="48" t="str">
        <f>""</f>
        <v/>
      </c>
      <c r="K3" s="49"/>
      <c r="L3" s="50"/>
      <c r="M3" s="50"/>
      <c r="N3" s="51" t="s">
        <v>180</v>
      </c>
      <c r="O3" s="52" t="s">
        <v>895</v>
      </c>
      <c r="P3" s="53" t="s">
        <v>896</v>
      </c>
      <c r="Q3" s="54">
        <v>1</v>
      </c>
      <c r="R3" s="55" t="s">
        <v>180</v>
      </c>
      <c r="S3" s="56">
        <v>0</v>
      </c>
      <c r="T3" s="57" t="s">
        <v>164</v>
      </c>
      <c r="U3" s="58" t="s">
        <v>164</v>
      </c>
      <c r="V3" s="58" t="s">
        <v>164</v>
      </c>
      <c r="W3" s="58" t="s">
        <v>164</v>
      </c>
      <c r="X3" s="58" t="s">
        <v>167</v>
      </c>
      <c r="Y3" s="58" t="s">
        <v>164</v>
      </c>
      <c r="Z3" s="58" t="s">
        <v>164</v>
      </c>
      <c r="AA3" s="58" t="s">
        <v>167</v>
      </c>
      <c r="AB3" s="58" t="s">
        <v>167</v>
      </c>
      <c r="AC3" s="58" t="s">
        <v>164</v>
      </c>
      <c r="AD3" s="58" t="s">
        <v>164</v>
      </c>
      <c r="AE3" s="58" t="s">
        <v>164</v>
      </c>
      <c r="AF3" s="59" t="s">
        <v>164</v>
      </c>
      <c r="AG3" s="59" t="s">
        <v>164</v>
      </c>
      <c r="AH3" s="59" t="s">
        <v>167</v>
      </c>
      <c r="AI3" s="59" t="s">
        <v>164</v>
      </c>
      <c r="AJ3" s="59" t="s">
        <v>164</v>
      </c>
      <c r="AK3" s="59" t="s">
        <v>164</v>
      </c>
      <c r="AL3" s="59" t="s">
        <v>164</v>
      </c>
      <c r="AM3" s="59" t="s">
        <v>164</v>
      </c>
      <c r="AN3" s="59" t="s">
        <v>164</v>
      </c>
      <c r="AO3" s="59" t="s">
        <v>164</v>
      </c>
      <c r="AP3" s="59" t="s">
        <v>167</v>
      </c>
      <c r="AQ3" s="59" t="s">
        <v>164</v>
      </c>
      <c r="AR3" s="59" t="s">
        <v>164</v>
      </c>
      <c r="AS3" s="59" t="s">
        <v>164</v>
      </c>
      <c r="AT3" s="60">
        <v>0</v>
      </c>
      <c r="AU3" s="59" t="s">
        <v>171</v>
      </c>
      <c r="AV3" s="59" t="str">
        <f>IF(LEFT(A3,1)="[",LEFT(A3,5)&amp;AU3&amp;A3,"")</f>
        <v>[LIB]Capital City[LIB] Tripoli</v>
      </c>
      <c r="AW3" s="59" t="str">
        <f>C3&amp;H3&amp;A3</f>
        <v>2[LIB] Tripoli</v>
      </c>
      <c r="AX3" s="61"/>
      <c r="AY3" s="61"/>
      <c r="AZ3" s="62"/>
      <c r="BA3" s="62"/>
      <c r="BB3" s="62"/>
      <c r="BC3" s="63"/>
      <c r="BD3" s="64" t="s">
        <v>159</v>
      </c>
      <c r="BE3" s="47"/>
      <c r="BF3" s="64"/>
      <c r="BG3" s="64"/>
      <c r="BH3" s="64"/>
      <c r="BI3" s="64"/>
      <c r="BJ3" s="64"/>
      <c r="BK3" s="47"/>
      <c r="BL3" s="64" t="s">
        <v>159</v>
      </c>
      <c r="BM3" s="64" t="s">
        <v>155</v>
      </c>
      <c r="BN3" s="64" t="s">
        <v>151</v>
      </c>
      <c r="BO3" s="64"/>
      <c r="BP3" s="64"/>
      <c r="BQ3" s="64"/>
      <c r="BR3" s="64"/>
      <c r="BS3" s="64"/>
      <c r="BT3" s="64"/>
      <c r="BU3" s="65"/>
      <c r="BV3" s="66"/>
      <c r="BW3" s="66">
        <v>0</v>
      </c>
      <c r="BX3" s="47"/>
      <c r="CB3" s="6"/>
      <c r="CC3" s="6"/>
      <c r="CD3" s="67">
        <v>0</v>
      </c>
      <c r="CE3" s="67">
        <v>0</v>
      </c>
      <c r="CF3" s="67" t="e">
        <v>#REF!</v>
      </c>
      <c r="CG3" s="68" cm="1">
        <f t="array" ref="CG3">SUMPRODUCT(--(LEN(TRIM(BL3:BT3))&gt;0))</f>
        <v>3</v>
      </c>
      <c r="CH3" s="59" t="str">
        <f>IF(CG3=2,"y","n")</f>
        <v>n</v>
      </c>
      <c r="CI3" s="59" t="str">
        <f>IF(CG3=3,"y","n")</f>
        <v>y</v>
      </c>
      <c r="CJ3" s="59" t="str">
        <f>IF(CG3=4,"y","n")</f>
        <v>n</v>
      </c>
      <c r="CK3" s="59" t="str">
        <f>IF(CG3&gt;4,"y","n")</f>
        <v>n</v>
      </c>
      <c r="CL3" s="59" t="str">
        <f>IF(S3=0,"y","n")</f>
        <v>y</v>
      </c>
      <c r="CM3" s="59" t="str">
        <f>IF(S3=2,"y","n")</f>
        <v>n</v>
      </c>
      <c r="CN3" s="59" t="str">
        <f>IF(S3=3,"y","n")</f>
        <v>n</v>
      </c>
      <c r="CO3" s="59" t="str">
        <f>IF(S3&gt;=4,"y","n")</f>
        <v>n</v>
      </c>
      <c r="CP3" s="59" t="str">
        <f>IF(AT3=0,"y","n")</f>
        <v>y</v>
      </c>
      <c r="CQ3" s="59" t="str">
        <f>IF(AT3=1,"y","n")</f>
        <v>n</v>
      </c>
      <c r="CR3" s="59" t="str">
        <f>IF(AT3=2,"y","n")</f>
        <v>n</v>
      </c>
      <c r="CS3" s="59" t="str">
        <f>IF(AT3&gt;=3,"y","n")</f>
        <v>n</v>
      </c>
      <c r="CT3" s="69" t="str">
        <f>CHAR(34)&amp;A3&amp;CHAR(34)</f>
        <v>"[LIB] Tripoli"</v>
      </c>
      <c r="CU3" s="70" t="str">
        <f>CHAR(34)&amp;"rgn_"&amp;R3&amp;CHAR(34)</f>
        <v>"rgn_Africa"</v>
      </c>
      <c r="CV3" s="48" t="str">
        <f>CHAR(34)&amp;D3&amp;CHAR(34)</f>
        <v>"https://upload.wikimedia.org/wikipedia/commons/thumb/3/32/Flag_of_Tripoli%2C_Libya.svg/640px-Flag_of_Tripoli%2C_Libya.svg.png"</v>
      </c>
      <c r="CW3" s="48" t="str">
        <f>IF(CH3="y",CHAR(34)&amp;CH$1&amp;CHAR(34)&amp;",","")</f>
        <v/>
      </c>
      <c r="CX3" s="48" t="str">
        <f>IF(CI3="y",CHAR(34)&amp;CI$1&amp;CHAR(34)&amp;",","")</f>
        <v>"3Color",</v>
      </c>
      <c r="CY3" s="48" t="str">
        <f>IF(CJ3="y",CHAR(34)&amp;CJ$1&amp;CHAR(34)&amp;",","")</f>
        <v/>
      </c>
      <c r="CZ3" s="48" t="str">
        <f>IF(CK3="y",CHAR(34)&amp;CK$1&amp;CHAR(34)&amp;",","")</f>
        <v/>
      </c>
      <c r="DA3" s="48" t="str">
        <f>IF(Q3&gt;1,CHAR(34)&amp;"words2"&amp;CHAR(34)&amp;",","")</f>
        <v/>
      </c>
      <c r="DB3" s="48" t="str">
        <f>IF(Q3&gt;2,CHAR(34)&amp;"words3"&amp;CHAR(34)&amp;",","")</f>
        <v/>
      </c>
      <c r="DC3" s="48" t="str">
        <f>IF(Q3=2,CHAR(34)&amp;"exact2"&amp;CHAR(34)&amp;",","")</f>
        <v/>
      </c>
      <c r="DD3" s="48" t="str">
        <f>IF(LEN(CHAR(34)&amp;"lets"&amp;LEN(SUBSTITUTE(SUBSTITUTE(IFERROR(TRIM(SUBSTITUTE(SUBSTITUTE(SUBSTITUTE(IFERROR(TRIM(SUBSTITUTE(A3,MID(A3,FIND("(",A3),FIND(")",A3)-FIND("(",A3)+1),"")),A3),"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",""),"-",""))&amp;CHAR(34)&amp;",")=9,CHAR(34)&amp;"lets"&amp;LEN(SUBSTITUTE(SUBSTITUTE(IFERROR(TRIM(SUBSTITUTE(SUBSTITUTE(SUBSTITUTE(IFERROR(TRIM(SUBSTITUTE(A3,MID(A3,FIND("(",A3),FIND(")",A3)-FIND("(",A3)+1),"")),A3),"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",""),"-",""))&amp;CHAR(34)&amp;",",CHAR(34)&amp;"lets0"&amp;LEN(SUBSTITUTE(SUBSTITUTE(IFERROR(TRIM(SUBSTITUTE(SUBSTITUTE(SUBSTITUTE(IFERROR(TRIM(SUBSTITUTE(A3,MID(A3,FIND("(",A3),FIND(")",A3)-FIND("(",A3)+1),"")),A3),"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f>
        <v>"lets07",</v>
      </c>
      <c r="DE3" s="48" t="str">
        <f>IFERROR(CHAR(34)&amp;"start"&amp;LEFT(TRIM(SUBSTITUTE(SUBSTITUTE(TRIM(SUBSTITUTE(SUBSTITUTE(A3, MID(A3, FIND("[", A3), FIND("]", A3) - FIND("[", A3) + 1), ""), "  ", " ")), MID(TRIM(SUBSTITUTE(SUBSTITUTE(A3, MID(A3, FIND("[", A3), FIND("]", A3) - FIND("[", A3) + 1), ""), "  ", " ")), FIND("[", TRIM(SUBSTITUTE(SUBSTITUTE(A3, MID(A3, FIND("[", A3), FIND("]", A3) - FIND("[", A3) + 1), ""), "  ", " "))), FIND("]", TRIM(SUBSTITUTE(SUBSTITUTE(A3, MID(A3, FIND("[", A3), FIND("]", A3) - FIND("[", A3) + 1), ""), "  ", " "))) - FIND("[", TRIM(SUBSTITUTE(SUBSTITUTE(A3, MID(A3, FIND("[", A3), FIND("]", A3) - FIND("[", A3) + 1), ""), "  ", " "))) + 1), ""), "  ", " ")),1)&amp;CHAR(34)&amp;",",CHAR(34)&amp;"start"&amp;IFERROR(LEFT(SUBSTITUTE(A3,"["&amp;MID(A3,FIND("[",A3)+1,FIND("]",A3)-FIND("[",A3)-1)&amp;"] ",""),1),LEFT(A3,1))&amp;CHAR(34)&amp;",")</f>
        <v>"startT",</v>
      </c>
      <c r="DF3" s="48" t="str">
        <f>IFERROR(IF(SEARCH("tan",A3)&gt;0,CHAR(34)&amp;"withtn"&amp;CHAR(34)&amp;",",""),"")</f>
        <v/>
      </c>
      <c r="DG3" s="48" t="str">
        <f>IFERROR(IF(SEARCH("q",A3)&gt;0,CHAR(34)&amp;"with_q"&amp;CHAR(34)&amp;",",""),"")</f>
        <v/>
      </c>
      <c r="DH3" s="48" t="str">
        <f>IFERROR(IF(SEARCH("v",A3)&gt;0,CHAR(34)&amp;"with_v"&amp;CHAR(34)&amp;",",""),"")</f>
        <v/>
      </c>
      <c r="DI3" s="48" t="str">
        <f>IFERROR(IF(SEARCH("w",A3)&gt;0,CHAR(34)&amp;"with_w"&amp;CHAR(34)&amp;",",""),"")</f>
        <v/>
      </c>
      <c r="DJ3" s="48" t="str">
        <f>IFERROR(IF(SEARCH("y",A3)&gt;0,CHAR(34)&amp;"with_y"&amp;CHAR(34)&amp;",",""),"")</f>
        <v/>
      </c>
      <c r="DK3" s="48" t="str">
        <f>IFERROR(IF(SEARCH("z",A3)&gt;0,CHAR(34)&amp;"with_z"&amp;CHAR(34)&amp;",",""),"")</f>
        <v/>
      </c>
      <c r="DL3" s="48" t="str">
        <f>IF(CG3=2, CHAR(34) &amp; _xlfn.TEXTJOIN("", TRUE, _xlfn._xlws.SORT(HP3:HX3)) &amp; CHAR(34) &amp; ",", "")</f>
        <v/>
      </c>
      <c r="DM3" s="48" t="str" cm="1">
        <f t="array" ref="DM3">IF(CG3=3,CHAR(34) &amp; _xlfn.TEXTJOIN("", TRUE, RIGHT(HP3:HX3, 2)) &amp; CHAR(34) &amp; ",", "")</f>
        <v>"LAELHI",</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
      </c>
      <c r="DP3" s="6" t="str">
        <f>IF(AND(ISNUMBER(SEARCH("20", O3)), ISERROR(SEARCH("1920", O3))), CHAR(34)&amp;"year00"&amp;CHAR(34)&amp;",", "")</f>
        <v>"year00",</v>
      </c>
      <c r="DQ3" s="6" t="str">
        <f>IF(CC3="y",CHAR(34)&amp;"soviet"&amp;CHAR(34)&amp;",","")</f>
        <v/>
      </c>
      <c r="DR3" s="6" t="str">
        <f>IF(BY3="y",CHAR(34)&amp;"dgband"&amp;CHAR(34)&amp;",","")</f>
        <v/>
      </c>
      <c r="DS3" s="6" t="str">
        <f>IF(W3="y",IF(AND(V3="n",BY3&lt;&gt;"y"),CHAR(34)&amp;"allver"&amp;CHAR(34)&amp;",",""),"")</f>
        <v/>
      </c>
      <c r="DT3" s="6" t="str">
        <f>IF(V3="y",IF(AND(W3="n",BY3&lt;&gt;"y"),CHAR(34)&amp;"allhor"&amp;CHAR(34)&amp;",",""),"")</f>
        <v/>
      </c>
      <c r="DU3" s="6" t="str">
        <f>IF(BY3="y",IF(AND(W3="n",V3="n"),CHAR(34)&amp;"alldia"&amp;CHAR(34)&amp;",",""),"")</f>
        <v/>
      </c>
      <c r="DV3" s="48" t="str">
        <f>IF(IA3&lt;&gt;"",(IF(IA3="y",CHAR(34)&amp;"largec"&amp;CHAR(34)&amp;",",CHAR(34)&amp;"smallc"&amp;CHAR(34)&amp;",")),"")</f>
        <v/>
      </c>
      <c r="DW3" s="48" t="str">
        <f>IF(CL3="y",CHAR(34)&amp;CL$1&amp;CHAR(34)&amp;",","")</f>
        <v>"NoBand",</v>
      </c>
      <c r="DX3" s="48" t="str">
        <f>IF(CM3="y",CHAR(34)&amp;CM$1&amp;CHAR(34)&amp;",","")</f>
        <v/>
      </c>
      <c r="DY3" s="48" t="str">
        <f>IF(CN3="y",CHAR(34)&amp;CN$1&amp;CHAR(34)&amp;",","")</f>
        <v/>
      </c>
      <c r="DZ3" s="48" t="str">
        <f>IF(CO3="y",CHAR(34)&amp;CO$1&amp;CHAR(34)&amp;",","")</f>
        <v/>
      </c>
      <c r="EA3" s="48" t="str">
        <f>IF(T3="y",CHAR(34)&amp;T$1&amp;CHAR(34)&amp;",","")</f>
        <v/>
      </c>
      <c r="EB3" s="48" t="str">
        <f>IF(U3="y",CHAR(34)&amp;U$1&amp;CHAR(34)&amp;",","")</f>
        <v/>
      </c>
      <c r="EC3" s="48" t="str">
        <f>IF(V3="y",CHAR(34)&amp;V$1&amp;CHAR(34)&amp;",","")</f>
        <v/>
      </c>
      <c r="ED3" s="48" t="str">
        <f>IF(W3="y",CHAR(34)&amp;W$1&amp;CHAR(34)&amp;",","")</f>
        <v/>
      </c>
      <c r="EE3" s="48" t="str">
        <f>IF(X3="y",CHAR(34)&amp;X$1&amp;CHAR(34)&amp;",","")</f>
        <v>"Circle",</v>
      </c>
      <c r="EF3" s="48" t="str">
        <f>IF(AND(Y3&lt;&gt;"n",Y3&lt;&gt;""),CHAR(34)&amp;Y$1&amp;CHAR(34)&amp;",","")</f>
        <v/>
      </c>
      <c r="EG3" s="48" t="str">
        <f>IF(Z3="y",CHAR(34)&amp;Z$1&amp;CHAR(34)&amp;",","")</f>
        <v/>
      </c>
      <c r="EH3" s="48" t="str">
        <f>IF(AA3="y",CHAR(34)&amp;AA$1&amp;CHAR(34)&amp;",","")</f>
        <v>"Plants",</v>
      </c>
      <c r="EI3" s="48" t="str">
        <f>IF(AB3="y",CHAR(34)&amp;AB$1&amp;CHAR(34)&amp;",","")</f>
        <v>"Texted",</v>
      </c>
      <c r="EJ3" s="48" t="str">
        <f>IF(AC3="y",CHAR(34)&amp;AC$1&amp;CHAR(34)&amp;",","")</f>
        <v/>
      </c>
      <c r="EK3" s="48" t="str">
        <f>IF(AD3="y",CHAR(34)&amp;AD$1&amp;CHAR(34)&amp;",","")</f>
        <v/>
      </c>
      <c r="EL3" s="48" t="str">
        <f>IF(AE3="y",CHAR(34)&amp;AE$1&amp;CHAR(34)&amp;",","")</f>
        <v/>
      </c>
      <c r="EM3" s="48" t="str">
        <f>IF(AF3="y",CHAR(34)&amp;AF$1&amp;CHAR(34)&amp;",","")</f>
        <v/>
      </c>
      <c r="EN3" s="48" t="str">
        <f>IF(AG3="y",CHAR(34)&amp;AG$1&amp;CHAR(34)&amp;",","")</f>
        <v/>
      </c>
      <c r="EO3" s="48" t="str">
        <f>IF(AH3="y",CHAR(34)&amp;AH$1&amp;CHAR(34)&amp;",","")</f>
        <v>"Center",</v>
      </c>
      <c r="EP3" s="48" t="str">
        <f>IF(AI3="y",CHAR(34)&amp;AI$1&amp;CHAR(34)&amp;",","")</f>
        <v/>
      </c>
      <c r="EQ3" s="48" t="str">
        <f>IF(AJ3="y",CHAR(34)&amp;AJ$1&amp;CHAR(34)&amp;",","")</f>
        <v/>
      </c>
      <c r="ER3" s="48" t="str">
        <f>IF(AK3="y",CHAR(34)&amp;AK$1&amp;CHAR(34)&amp;",","")</f>
        <v/>
      </c>
      <c r="ES3" s="48" t="str">
        <f>IF(AL3="y",CHAR(34)&amp;AL$1&amp;CHAR(34)&amp;",","")</f>
        <v/>
      </c>
      <c r="ET3" s="48" t="str">
        <f>IF(AM3="y",CHAR(34)&amp;AM$1&amp;CHAR(34)&amp;",","")</f>
        <v/>
      </c>
      <c r="EU3" s="48" t="str">
        <f>IF(AN3="y",CHAR(34)&amp;AN$1&amp;CHAR(34)&amp;",","")</f>
        <v/>
      </c>
      <c r="EV3" s="48" t="str">
        <f>IF(AO3="y",CHAR(34)&amp;AO$1&amp;CHAR(34)&amp;",","")</f>
        <v/>
      </c>
      <c r="EW3" s="48" t="str">
        <f>IF(AP3="y",CHAR(34)&amp;AP$1&amp;CHAR(34)&amp;",","")</f>
        <v>"Ships!",</v>
      </c>
      <c r="EX3" s="48" t="str">
        <f>IF(AQ3="y",CHAR(34)&amp;AQ$1&amp;CHAR(34)&amp;",","")</f>
        <v/>
      </c>
      <c r="EY3" s="48" t="str">
        <f>IF(AR3="y",CHAR(34)&amp;AR$1&amp;CHAR(34)&amp;",","")</f>
        <v/>
      </c>
      <c r="EZ3" s="48" t="str">
        <f>IF(AS3="y",CHAR(34)&amp;AS$1&amp;CHAR(34)&amp;",","")</f>
        <v/>
      </c>
      <c r="FA3" s="48" t="str">
        <f>IF(AT3&gt;0,CHAR(34)&amp;"sta"&amp;AZ3&amp;CHAR(34)&amp;",","")</f>
        <v/>
      </c>
      <c r="FB3" s="48" t="str">
        <f>IF(AND(AT3&gt;0,BA3&lt;&gt;""),CHAR(34)&amp;"sta"&amp;BA3&amp;CHAR(34)&amp;",","")</f>
        <v/>
      </c>
      <c r="FC3" s="48" t="str">
        <f>IF(AND(AT3&gt;0,BB3&lt;&gt;""),CHAR(34)&amp;"sta"&amp;BB3&amp;CHAR(34)&amp;",","")</f>
        <v/>
      </c>
      <c r="FD3" s="48" t="str">
        <f>IF(BV3="n",CHAR(34)&amp;"tcWHYE"&amp;CHAR(34)&amp;",",IF(BV3="y",CHAR(34)&amp;FD$1&amp;CHAR(34)&amp;",",""))</f>
        <v/>
      </c>
      <c r="FE3" s="48" t="str">
        <f>IF(COUNTIF(BL3:BT3,"BLU")=0,CHAR(34)&amp;"NO_BLU"&amp;CHAR(34)&amp;",", "")</f>
        <v>"NO_BLU",</v>
      </c>
      <c r="FF3" s="48" t="str">
        <f>IF(COUNTIF(BL3:BT3,"WHI")=0,CHAR(34)&amp;"NO_WHI"&amp;CHAR(34)&amp;",", "")</f>
        <v/>
      </c>
      <c r="FG3" s="48" t="str">
        <f>IF(COUNTIF(BL3:BT3,"RED")=0,CHAR(34)&amp;"NO_RED"&amp;CHAR(34)&amp;",", "")</f>
        <v>"NO_RED",</v>
      </c>
      <c r="FH3" s="48" t="str">
        <f>IF(COUNTIF(BL3:BS3,"GRE")=0,CHAR(34)&amp;"NO_GRE"&amp;CHAR(34)&amp;",", "")</f>
        <v>"NO_GRE",</v>
      </c>
      <c r="FI3" s="48" t="str">
        <f>IF(COUNTIF(BL3:BT3,"YEL")=0,CHAR(34)&amp;"NO_YEL"&amp;CHAR(34)&amp;",", "")</f>
        <v/>
      </c>
      <c r="FJ3" s="48" t="str">
        <f>IF(COUNTIF(BL3:BT3,"BLA")=0,CHAR(34)&amp;"NO_BLA"&amp;CHAR(34)&amp;",", "")</f>
        <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"BLRENO",</v>
      </c>
      <c r="FP3" s="48" t="str">
        <f>IF(AND(FF3&lt;&gt;"",FF3&lt;&gt;""),CHAR(34)&amp;"WHRENO"&amp;CHAR(34)&amp;",","")</f>
        <v/>
      </c>
      <c r="FQ3" s="48" t="str">
        <f>IF(LEN(BF3)=3,CHAR(34)&amp;"001"&amp;BF3&amp;CHAR(34)&amp;",","")</f>
        <v/>
      </c>
      <c r="FR3" s="48" t="str">
        <f>IF(LEN(BG3)=3,CHAR(34)&amp;"002"&amp;BG3&amp;CHAR(34)&amp;",","")</f>
        <v/>
      </c>
      <c r="FS3" s="48" t="str">
        <f>IF(LEN(BH3)=3,CHAR(34)&amp;"003"&amp;BH3&amp;CHAR(34)&amp;",","")</f>
        <v/>
      </c>
      <c r="FT3" s="48" t="str">
        <f>CHAR(34)&amp;"myr"&amp;BD3&amp;CHAR(34)&amp;","</f>
        <v>"myrWHI",</v>
      </c>
      <c r="FU3" s="48" t="str">
        <f>IF(AY3="y",CHAR(34)&amp;"island"&amp;CHAR(34)&amp;",","")</f>
        <v/>
      </c>
      <c r="FV3" s="48" t="str">
        <f>IF(BZ3="y",CHAR(34)&amp;"landlo"&amp;CHAR(34)&amp;",","")</f>
        <v/>
      </c>
      <c r="FW3" s="48" t="str">
        <f>IF(CA3="y",CHAR(34)&amp;"eunion"&amp;CHAR(34)&amp;",","")</f>
        <v/>
      </c>
      <c r="FX3" s="48" t="str">
        <f>SUBSTITUTE(IFERROR(SEARCH("[",A3),IFERROR(IF(AND(CA3&lt;&gt;"y",SEARCH("Europe",R3)&gt;0),CHAR(34)&amp;"noeuni"&amp;CHAR(34)&amp;",",""),"")),"1","")</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C3" s="48" t="str">
        <f>IFERROR(IF(SEARCH("Portuguese",CB3)&gt;0,CHAR(34)&amp;"portug"&amp;CHAR(34)&amp;",",""),"")</f>
        <v/>
      </c>
      <c r="GD3" s="48" t="str">
        <f>IFERROR(IF(SEARCH("German",CB3)&gt;0,CHAR(34)&amp;"german"&amp;CHAR(34)&amp;",",""),"")</f>
        <v/>
      </c>
      <c r="GE3" s="48" t="str">
        <f>IFERROR(IF(SEARCH("Dutch",CB3)&gt;0,CHAR(34)&amp;"dutchs"&amp;CHAR(34)&amp;",",""),"")</f>
        <v/>
      </c>
      <c r="GF3" s="48" t="str">
        <f>IFERROR(IF(SEARCH("Historical",AU3)&gt;0,CHAR(34)&amp;"histor"&amp;CHAR(34)&amp;",",""),"")</f>
        <v/>
      </c>
      <c r="GG3" s="48" t="str">
        <f>IF(BU3="y",CHAR(34)&amp;"unjack"&amp;CHAR(34)&amp;",","")</f>
        <v/>
      </c>
      <c r="GH3" s="48" t="str">
        <f>IF(CD3=1,CHAR(34)&amp;"southc"&amp;CHAR(34)&amp;",","")</f>
        <v/>
      </c>
      <c r="GI3" s="48" t="str">
        <f>IF(CE3=1,CHAR(34)&amp;"hasmap"&amp;CHAR(34)&amp;",","")</f>
        <v/>
      </c>
      <c r="GJ3" s="48" t="str">
        <f>IF(CP3="y",CHAR(34)&amp;CP$1&amp;CHAR(34)&amp;",","")</f>
        <v>"NoStar",</v>
      </c>
      <c r="GK3" s="48" t="str">
        <f>IF(GJ3="",CHAR(34)&amp;"HasSta"&amp;CHAR(34)&amp;",","")</f>
        <v/>
      </c>
      <c r="GL3" s="48" t="str">
        <f>IF(CQ3="y",CHAR(34)&amp;CQ$1&amp;CHAR(34)&amp;",","")</f>
        <v/>
      </c>
      <c r="GM3" s="48" t="str">
        <f>IF(CR3="y",CHAR(34)&amp;CR$1&amp;CHAR(34)&amp;",","")</f>
        <v/>
      </c>
      <c r="GN3" s="48" t="str">
        <f>IF(CS3="y",CHAR(34)&amp;CS$1&amp;CHAR(34)&amp;",","")</f>
        <v/>
      </c>
      <c r="GP3" s="48" t="str">
        <f>CHAR(34)&amp;AU3&amp;CHAR(34)</f>
        <v>"Capital City"</v>
      </c>
      <c r="GS3" s="48" t="str">
        <f>SUBSTITUTE("["&amp;_xlfn.CONCAT(CW3:GN3)&amp;"]",",]","]")</f>
        <v>["3Color","lets07","startT","LAELHI","year00","NoBand","Circle","Plants","Texted","Center","Ships!","NO_BLU","NO_RED","NO_GRE","BLRENO","myrWHI","NoStar"]</v>
      </c>
      <c r="GT3" s="48" t="str">
        <f>IF(BL3&lt;&gt;"",CHAR(34)&amp;"cl_"&amp;BL3&amp;CHAR(34)&amp;",","")</f>
        <v>"cl_WHI",</v>
      </c>
      <c r="GU3" s="48" t="str">
        <f>IF(BM3&lt;&gt;"",CHAR(34)&amp;"cl_"&amp;BM3&amp;CHAR(34)&amp;",","")</f>
        <v>"cl_YEL",</v>
      </c>
      <c r="GV3" s="48" t="str">
        <f>IF(BN3&lt;&gt;"",CHAR(34)&amp;"cl_"&amp;BN3&amp;CHAR(34)&amp;",","")</f>
        <v>"cl_BLA",</v>
      </c>
      <c r="GW3" s="48" t="str">
        <f>IF(BO3&lt;&gt;"",CHAR(34)&amp;"cl_"&amp;BO3&amp;CHAR(34)&amp;",","")</f>
        <v/>
      </c>
      <c r="GX3" s="48" t="str">
        <f>IF(BP3&lt;&gt;"",CHAR(34)&amp;"cl_"&amp;BP3&amp;CHAR(34)&amp;",","")</f>
        <v/>
      </c>
      <c r="GY3" s="48" t="str">
        <f>IF(BQ3&lt;&gt;"",CHAR(34)&amp;"cl_"&amp;BQ3&amp;CHAR(34)&amp;",","")</f>
        <v/>
      </c>
      <c r="GZ3" s="48" t="str">
        <f>IF(BR3&lt;&gt;"",CHAR(34)&amp;"cl_"&amp;BR3&amp;CHAR(34)&amp;",","")</f>
        <v/>
      </c>
      <c r="HA3" s="48" t="str">
        <f>IF(BS3&lt;&gt;"",CHAR(34)&amp;"cl_"&amp;BS3&amp;CHAR(34)&amp;",","")</f>
        <v/>
      </c>
      <c r="HB3" s="48" t="str">
        <f>IF(BT3&lt;&gt;"",CHAR(34)&amp;"cl_"&amp;BT3&amp;CHAR(34)&amp;",","")</f>
        <v/>
      </c>
      <c r="HC3" s="48" t="str">
        <f>SUBSTITUTE("["&amp;_xlfn.CONCAT(GT3:HB3)&amp;"]",",]","]")</f>
        <v>["cl_WHI","cl_YEL","cl_BLA"]</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{couname:"[LIB] Tripoli",year:"2011 ",region:"rgn_Africa",Colors:["cl_WHI","cl_YEL","cl_BLA"],Items:["3Color","lets07","startT","LAELHI","year00","NoBand","Circle","Plants","Texted","Center","Ships!","NO_BLU","NO_RED","NO_GRE","BLRENO","myrWHI","NoStar"],Flag:"https://upload.wikimedia.org/wikipedia/commons/thumb/3/32/Flag_of_Tripoli%2C_Libya.svg/640px-Flag_of_Tripoli%2C_Libya.svg.png",HDFlag:"https://upload.wikimedia.org/wikipedia/commons/thumb/3/32/Flag_of_Tripoli%2C_Libya.svg/2560px-Flag_of_Tripoli%2C_Libya.svg.png",type:"Capital City", describe: "\nThe seal's design consist of a golden ship which represent the importance of the city as a port.", isnew:".", links: "https://en.wikipedia.org/wiki/Seal_of_Tripoli"},</v>
      </c>
      <c r="HG3" s="73" t="str">
        <f>"{couname:"&amp;CT3&amp;(IF(HK3&lt;&gt;"",",subtype:"&amp;CHAR(34)&amp;HK3&amp;CHAR(34),""))&amp;",year:"&amp;HJ3&amp;",region:"&amp;CU3&amp;",Colors:"&amp;HC3&amp;",Items:"&amp;GS3&amp;",Flag:"&amp;CV3&amp;",HDFlag:"&amp;CHAR(34)&amp;E3&amp;CHAR(34)&amp;",type:"&amp;GP3&amp;", describe: "&amp;HI3&amp;", links: "&amp;HL3&amp;"},"</f>
        <v>{couname:"[LIB] Tripoli",year:"2011 ",region:"rgn_Africa",Colors:["cl_WHI","cl_YEL","cl_BLA"],Items:["3Color","lets07","startT","LAELHI","year00","NoBand","Circle","Plants","Texted","Center","Ships!","NO_BLU","NO_RED","NO_GRE","BLRENO","myrWHI","NoStar"],Flag:"https://upload.wikimedia.org/wikipedia/commons/thumb/3/32/Flag_of_Tripoli%2C_Libya.svg/640px-Flag_of_Tripoli%2C_Libya.svg.png",HDFlag:"https://upload.wikimedia.org/wikipedia/commons/thumb/3/32/Flag_of_Tripoli%2C_Libya.svg/2560px-Flag_of_Tripoli%2C_Libya.svg.png",type:"Capital City", describe: "\nThe seal's design consist of a golden ship which represent the importance of the city as a port.", links: "https://en.wikipedia.org/wiki/Seal_of_Tripoli"},</v>
      </c>
      <c r="HH3" s="48" t="str">
        <f>IF(P3&lt;&gt;"",CHAR(34)&amp;"\n"&amp;P3&amp;CHAR(34),CHAR(34)&amp;CHAR(34))</f>
        <v>"\nThe seal's design consist of a golden ship which represent the importance of the city as a port."</v>
      </c>
      <c r="HI3" s="48" t="str">
        <f>IF(J3=0,CHAR(34)&amp;CHAR(34),HH3)</f>
        <v>"\nThe seal's design consist of a golden ship which represent the importance of the city as a port."</v>
      </c>
      <c r="HJ3" s="48" t="str">
        <f>CHAR(34)&amp;O3&amp;CHAR(34)</f>
        <v>"2011 "</v>
      </c>
      <c r="HL3" s="48" t="str">
        <f>CHAR(34)&amp;I3&amp;CHAR(34)</f>
        <v>"https://en.wikipedia.org/wiki/Seal_of_Tripoli"</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{"couname":"[LIB] Tripoli","year":"2011 ","region":"rgn_Africa","Colors":["cl_WHI","cl_YEL","cl_BLA"],"Items":["3Color","lets07","startT","LAELHI","year00","NoBand","Circle","Plants","Texted","Center","Ships!","NO_BLU","NO_RED","NO_GRE","BLRENO","myrWHI","NoStar"],"Flag":"https://upload.wikimedia.org/wikipedia/commons/thumb/3/32/Flag_of_Tripoli%2C_Libya.svg/640px-Flag_of_Tripoli%2C_Libya.svg.png","HDFlag":"https://upload.wikimedia.org/wikipedia/commons/thumb/3/32/Flag_of_Tripoli%2C_Libya.svg/2560px-Flag_of_Tripoli%2C_Libya.svg.png","type":"Capital City", "describe": "\nThe seal's design consist of a golden ship which represent the importance of the city as a port.", "isnew": ".", "links": "https://en.wikipedia.org/wiki/Seal_of_Tripoli"},</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{"couname":"[LIB] Tripoli","year":"2011 ","region":"rgn_Africa","Colors":["cl_WHI","cl_YEL","cl_BLA"],"Items":["3Color","lets07","startT","LAELHI","year00","NoBand","Circle","Plants","Texted","Center","Ships!","NO_BLU","NO_RED","NO_GRE","BLRENO","myrWHI","NoStar"],"Flag":"https://upload.wikimedia.org/wikipedia/commons/thumb/3/32/Flag_of_Tripoli%2C_Libya.svg/640px-Flag_of_Tripoli%2C_Libya.svg.png","HDFlag":"https://upload.wikimedia.org/wikipedia/commons/thumb/3/32/Flag_of_Tripoli%2C_Libya.svg/2560px-Flag_of_Tripoli%2C_Libya.svg.png","type":"Capital City", "describe": "\nThe seal's design consist of a golden ship which represent the importance of the city as a port.", "isnew": ".", "links": "https://en.wikipedia.org/wiki/Seal_of_Tripoli"},</v>
      </c>
      <c r="HO3" s="75"/>
      <c r="HP3" s="48" t="str" cm="1">
        <f t="array" ref="HP3">IF(_xlfn.TEXTJOIN(", ", TRUE, IF(ISNUMBER(SEARCH("BLA", BL3:BT3)), COLUMN(BL3:BT3) - COLUMN(BL3) + 1, ""))&lt;&gt;"","BLA","")</f>
        <v>BLA</v>
      </c>
      <c r="HQ3" s="48" t="str" cm="1">
        <f t="array" ref="HQ3">IF(_xlfn.TEXTJOIN(", ", TRUE, IF(ISNUMBER(SEARCH("BLU", BL3:BT3)), COLUMN(BL3:BT3) - COLUMN(BL3) + 1, ""))&lt;&gt;"","BLU","")</f>
        <v/>
      </c>
      <c r="HR3" s="48" t="str" cm="1">
        <f t="array" ref="HR3">IF(_xlfn.TEXTJOIN(", ", TRUE, IF(ISNUMBER(SEARCH("GRE", BL3:BT3)), COLUMN(BL3:BT3) - COLUMN(BL3) + 1, ""))&lt;&gt;"","GRE","")</f>
        <v/>
      </c>
      <c r="HS3" s="48" t="str" cm="1">
        <f t="array" ref="HS3">IF(_xlfn.TEXTJOIN(", ", TRUE, IF(ISNUMBER(SEARCH("RED", BL3:BT3)), COLUMN(BL3:BT3) - COLUMN(BL3) + 1, ""))&lt;&gt;"","RED","")</f>
        <v/>
      </c>
      <c r="HT3" s="48" t="str" cm="1">
        <f t="array" ref="HT3">IF(_xlfn.TEXTJOIN(", ", TRUE, IF(ISNUMBER(SEARCH("YEL", BL3:BT3)), COLUMN(BL3:BT3) - COLUMN(BL3) + 1, ""))&lt;&gt;"","YEL","")</f>
        <v>YEL</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L3" s="48">
        <f>SUM(IC3:IK3)</f>
        <v>0</v>
      </c>
      <c r="IM3" s="45">
        <f>COUNTIF(IC3:IK3,"&gt;0")-CG3</f>
        <v>-3</v>
      </c>
      <c r="IN3" s="78" t="str">
        <f>"http://mkweb.bcgsc.ca/color-summarizer/?url="&amp;D3&amp;"&amp;precision=low&amp;num_clusters="&amp;CG3&amp;"&amp;text=1"</f>
        <v>http://mkweb.bcgsc.ca/color-summarizer/?url=https://upload.wikimedia.org/wikipedia/commons/thumb/3/32/Flag_of_Tripoli%2C_Libya.svg/640px-Flag_of_Tripoli%2C_Libya.svg.png&amp;precision=low&amp;num_clusters=3&amp;text=1</v>
      </c>
      <c r="IO3" s="48" t="str">
        <f>IF(HP3&lt;&gt;"",CHAR(34)&amp;"black"&amp;CHAR(34),"")</f>
        <v>"black"</v>
      </c>
      <c r="IP3" s="48" t="str">
        <f>IF(HQ3&lt;&gt;"",CHAR(34)&amp;"blue"&amp;CHAR(34),"")</f>
        <v/>
      </c>
      <c r="IQ3" s="48" t="str">
        <f>IF(HR3&lt;&gt;"",CHAR(34)&amp;"green"&amp;CHAR(34),"")</f>
        <v/>
      </c>
      <c r="IR3" s="48" t="str">
        <f>IF(HS3&lt;&gt;"",CHAR(34)&amp;"red"&amp;CHAR(34),"")</f>
        <v/>
      </c>
      <c r="IS3" s="48" t="str">
        <f>IF(HT3&lt;&gt;"",CHAR(34)&amp;"yellow"&amp;CHAR(34),"")</f>
        <v>"yellow"</v>
      </c>
      <c r="IT3" s="48" t="str">
        <f>IF(HU3&lt;&gt;"",CHAR(34)&amp;"orange"&amp;CHAR(34),"")</f>
        <v/>
      </c>
      <c r="IU3" s="48" t="str">
        <f>IF(HV3&lt;&gt;"",CHAR(34)&amp;"brown"&amp;CHAR(34),"")</f>
        <v/>
      </c>
      <c r="IV3" s="48" t="str">
        <f>IF(HW3&lt;&gt;"",CHAR(34)&amp;"purple"&amp;CHAR(34),"")</f>
        <v/>
      </c>
      <c r="IW3" s="48" t="str">
        <f>IF(HX3&lt;&gt;"",CHAR(34)&amp;"white"&amp;CHAR(34),"")</f>
        <v>"white"</v>
      </c>
      <c r="IX3" s="48" t="str">
        <f>"{"&amp;CHAR(34)&amp;"url"&amp;CHAR(34)&amp;":"&amp;CHAR(34)&amp;IN3&amp;CHAR(34)&amp;","&amp;CHAR(34)&amp;"name"&amp;CHAR(34)&amp;":"&amp;CHAR(34)&amp;A3&amp;CHAR(34)&amp;"},"</f>
        <v>{"url":"http://mkweb.bcgsc.ca/color-summarizer/?url=https://upload.wikimedia.org/wikipedia/commons/thumb/3/32/Flag_of_Tripoli%2C_Libya.svg/640px-Flag_of_Tripoli%2C_Libya.svg.png&amp;precision=low&amp;num_clusters=3&amp;text=1","name":"[LIB] Tripoli"},</v>
      </c>
      <c r="IY3" s="48">
        <v>602</v>
      </c>
    </row>
    <row r="4" spans="1:259" s="48" customFormat="1" ht="38.4" customHeight="1" thickBot="1" x14ac:dyDescent="0.35">
      <c r="A4" s="80" t="s">
        <v>886</v>
      </c>
      <c r="B4" s="40" t="e" vm="62">
        <v>#VALUE!</v>
      </c>
      <c r="C4" s="41" t="s">
        <v>173</v>
      </c>
      <c r="D4" s="42" t="s">
        <v>887</v>
      </c>
      <c r="E4" s="43" t="s">
        <v>888</v>
      </c>
      <c r="F4" s="44" t="s">
        <v>163</v>
      </c>
      <c r="G4" s="45">
        <f>COUNTIF($A$1:$A$8350,A4)</f>
        <v>1</v>
      </c>
      <c r="H4" s="46" t="s">
        <v>904</v>
      </c>
      <c r="I4" s="47" t="s">
        <v>889</v>
      </c>
      <c r="J4" s="48" t="str">
        <f>""</f>
        <v/>
      </c>
      <c r="K4" s="49"/>
      <c r="L4" s="50"/>
      <c r="M4" s="50"/>
      <c r="N4" s="51" t="s">
        <v>180</v>
      </c>
      <c r="O4" s="52" t="s">
        <v>679</v>
      </c>
      <c r="P4" s="53" t="s">
        <v>890</v>
      </c>
      <c r="Q4" s="54">
        <v>1</v>
      </c>
      <c r="R4" s="55" t="s">
        <v>180</v>
      </c>
      <c r="S4" s="56">
        <v>0</v>
      </c>
      <c r="T4" s="57" t="s">
        <v>164</v>
      </c>
      <c r="U4" s="58" t="s">
        <v>164</v>
      </c>
      <c r="V4" s="58" t="s">
        <v>164</v>
      </c>
      <c r="W4" s="58" t="s">
        <v>164</v>
      </c>
      <c r="X4" s="58" t="s">
        <v>164</v>
      </c>
      <c r="Y4" s="58" t="s">
        <v>164</v>
      </c>
      <c r="Z4" s="58" t="s">
        <v>164</v>
      </c>
      <c r="AA4" s="58" t="s">
        <v>164</v>
      </c>
      <c r="AB4" s="58" t="s">
        <v>164</v>
      </c>
      <c r="AC4" s="58" t="s">
        <v>164</v>
      </c>
      <c r="AD4" s="58" t="s">
        <v>164</v>
      </c>
      <c r="AE4" s="58" t="s">
        <v>164</v>
      </c>
      <c r="AF4" s="59" t="s">
        <v>164</v>
      </c>
      <c r="AG4" s="59" t="s">
        <v>164</v>
      </c>
      <c r="AH4" s="59" t="s">
        <v>164</v>
      </c>
      <c r="AI4" s="59" t="s">
        <v>164</v>
      </c>
      <c r="AJ4" s="59" t="s">
        <v>164</v>
      </c>
      <c r="AK4" s="59" t="s">
        <v>164</v>
      </c>
      <c r="AL4" s="59" t="s">
        <v>164</v>
      </c>
      <c r="AM4" s="59" t="s">
        <v>164</v>
      </c>
      <c r="AN4" s="59" t="s">
        <v>164</v>
      </c>
      <c r="AO4" s="59" t="s">
        <v>164</v>
      </c>
      <c r="AP4" s="59" t="s">
        <v>164</v>
      </c>
      <c r="AQ4" s="59" t="s">
        <v>164</v>
      </c>
      <c r="AR4" s="59" t="s">
        <v>167</v>
      </c>
      <c r="AS4" s="59" t="s">
        <v>164</v>
      </c>
      <c r="AT4" s="60">
        <v>0</v>
      </c>
      <c r="AU4" s="59" t="s">
        <v>174</v>
      </c>
      <c r="AV4" s="59" t="str">
        <f>IF(LEFT(A4,1)="[",LEFT(A4,5)&amp;AU4&amp;A4,"")</f>
        <v>[LIB]Historical[LIB] Libya (1977-2011)</v>
      </c>
      <c r="AW4" s="59" t="str">
        <f>C4&amp;H4&amp;A4</f>
        <v>3b[LIB] Other[LIB] Libya (1977-2011)</v>
      </c>
      <c r="AX4" s="61"/>
      <c r="AY4" s="61"/>
      <c r="AZ4" s="62"/>
      <c r="BA4" s="62"/>
      <c r="BB4" s="62"/>
      <c r="BC4" s="63"/>
      <c r="BD4" s="64" t="s">
        <v>153</v>
      </c>
      <c r="BE4" s="47"/>
      <c r="BF4" s="64"/>
      <c r="BG4" s="64"/>
      <c r="BH4" s="64"/>
      <c r="BI4" s="64"/>
      <c r="BJ4" s="64"/>
      <c r="BK4" s="47"/>
      <c r="BL4" s="64" t="s">
        <v>153</v>
      </c>
      <c r="BM4" s="64"/>
      <c r="BN4" s="64"/>
      <c r="BO4" s="64"/>
      <c r="BP4" s="64"/>
      <c r="BQ4" s="64"/>
      <c r="BR4" s="64"/>
      <c r="BS4" s="64"/>
      <c r="BT4" s="64"/>
      <c r="BU4" s="65"/>
      <c r="BV4" s="66"/>
      <c r="BW4" s="66">
        <v>0</v>
      </c>
      <c r="BX4" s="47"/>
      <c r="CB4" s="6"/>
      <c r="CC4" s="6"/>
      <c r="CD4" s="67">
        <v>0</v>
      </c>
      <c r="CE4" s="67">
        <v>0</v>
      </c>
      <c r="CF4" s="67" t="e">
        <v>#REF!</v>
      </c>
      <c r="CG4" s="68" cm="1">
        <f t="array" ref="CG4">SUMPRODUCT(--(LEN(TRIM(BL4:BT4))&gt;0))</f>
        <v>1</v>
      </c>
      <c r="CH4" s="59" t="str">
        <f>IF(CG4=2,"y","n")</f>
        <v>n</v>
      </c>
      <c r="CI4" s="59" t="str">
        <f>IF(CG4=3,"y","n")</f>
        <v>n</v>
      </c>
      <c r="CJ4" s="59" t="str">
        <f>IF(CG4=4,"y","n")</f>
        <v>n</v>
      </c>
      <c r="CK4" s="59" t="str">
        <f>IF(CG4&gt;4,"y","n")</f>
        <v>n</v>
      </c>
      <c r="CL4" s="59" t="str">
        <f>IF(S4=0,"y","n")</f>
        <v>y</v>
      </c>
      <c r="CM4" s="59" t="str">
        <f>IF(S4=2,"y","n")</f>
        <v>n</v>
      </c>
      <c r="CN4" s="59" t="str">
        <f>IF(S4=3,"y","n")</f>
        <v>n</v>
      </c>
      <c r="CO4" s="59" t="str">
        <f>IF(S4&gt;=4,"y","n")</f>
        <v>n</v>
      </c>
      <c r="CP4" s="59" t="str">
        <f>IF(AT4=0,"y","n")</f>
        <v>y</v>
      </c>
      <c r="CQ4" s="59" t="str">
        <f>IF(AT4=1,"y","n")</f>
        <v>n</v>
      </c>
      <c r="CR4" s="59" t="str">
        <f>IF(AT4=2,"y","n")</f>
        <v>n</v>
      </c>
      <c r="CS4" s="59" t="str">
        <f>IF(AT4&gt;=3,"y","n")</f>
        <v>n</v>
      </c>
      <c r="CT4" s="69" t="str">
        <f>CHAR(34)&amp;A4&amp;CHAR(34)</f>
        <v>"[LIB] Libya (1977-2011)"</v>
      </c>
      <c r="CU4" s="70" t="str">
        <f>CHAR(34)&amp;"rgn_"&amp;R4&amp;CHAR(34)</f>
        <v>"rgn_Africa"</v>
      </c>
      <c r="CV4" s="48" t="str">
        <f>CHAR(34)&amp;D4&amp;CHAR(34)</f>
        <v>"https://upload.wikimedia.org/wikipedia/commons/thumb/8/84/Flag_of_Libya_%281977%E2%80%932011%2C_2-3%29.svg/640px-Flag_of_Libya_%281977%E2%80%932011%2C_2-3%29.svg.png"</v>
      </c>
      <c r="CW4" s="48" t="str">
        <f>IF(CH4="y",CHAR(34)&amp;CH$1&amp;CHAR(34)&amp;",","")</f>
        <v/>
      </c>
      <c r="CX4" s="48" t="str">
        <f>IF(CI4="y",CHAR(34)&amp;CI$1&amp;CHAR(34)&amp;",","")</f>
        <v/>
      </c>
      <c r="CY4" s="48" t="str">
        <f>IF(CJ4="y",CHAR(34)&amp;CJ$1&amp;CHAR(34)&amp;",","")</f>
        <v/>
      </c>
      <c r="CZ4" s="48" t="str">
        <f>IF(CK4="y",CHAR(34)&amp;CK$1&amp;CHAR(34)&amp;",","")</f>
        <v/>
      </c>
      <c r="DA4" s="48" t="str">
        <f>IF(Q4&gt;1,CHAR(34)&amp;"words2"&amp;CHAR(34)&amp;",","")</f>
        <v/>
      </c>
      <c r="DC4" s="48" t="str">
        <f>IF(Q4=2,CHAR(34)&amp;"exact2"&amp;CHAR(34)&amp;",","")</f>
        <v/>
      </c>
      <c r="DD4" s="48" t="str">
        <f>IF(LEN(CHAR(34)&amp;"lets"&amp;LEN(SUBSTITUTE(SUBSTITUTE(IFERROR(TRIM(SUBSTITUTE(SUBSTITUTE(SUBSTITUTE(IFERROR(TRIM(SUBSTITUTE(A4,MID(A4,FIND("(",A4),FIND(")",A4)-FIND("(",A4)+1),"")),A4)," ",""),"-",""),MID(SUBSTITUTE(SUBSTITUTE(IFERROR(TRIM(SUBSTITUTE(A4,MID(A4,FIND("(",A4),FIND(")",A4)-FIND("(",A4)+1),"")),A4)," ",""),"-",""),FIND("[",SUBSTITUTE(SUBSTITUTE(IFERROR(TRIM(SUBSTITUTE(A4,MID(A4,FIND("(",A4),FIND(")",A4)-FIND("(",A4)+1),"")),A4)," ",""),"-","")),FIND("]",SUBSTITUTE(SUBSTITUTE(IFERROR(TRIM(SUBSTITUTE(A4,MID(A4,FIND("(",A4),FIND(")",A4)-FIND("(",A4)+1),"")),A4)," ",""),"-",""))-FIND("[",SUBSTITUTE(SUBSTITUTE(IFERROR(TRIM(SUBSTITUTE(A4,MID(A4,FIND("(",A4),FIND(")",A4)-FIND("(",A4)+1),"")),A4)," ",""),"-",""))+1),"")),SUBSTITUTE(SUBSTITUTE(IFERROR(TRIM(SUBSTITUTE(A4,MID(A4,FIND("(",A4),FIND(")",A4)-FIND("(",A4)+1),"")),A4)," ",""),"-",""))," ",""),"-",""))&amp;CHAR(34)&amp;",")=9,CHAR(34)&amp;"lets"&amp;LEN(SUBSTITUTE(SUBSTITUTE(IFERROR(TRIM(SUBSTITUTE(SUBSTITUTE(SUBSTITUTE(IFERROR(TRIM(SUBSTITUTE(A4,MID(A4,FIND("(",A4),FIND(")",A4)-FIND("(",A4)+1),"")),A4)," ",""),"-",""),MID(SUBSTITUTE(SUBSTITUTE(IFERROR(TRIM(SUBSTITUTE(A4,MID(A4,FIND("(",A4),FIND(")",A4)-FIND("(",A4)+1),"")),A4)," ",""),"-",""),FIND("[",SUBSTITUTE(SUBSTITUTE(IFERROR(TRIM(SUBSTITUTE(A4,MID(A4,FIND("(",A4),FIND(")",A4)-FIND("(",A4)+1),"")),A4)," ",""),"-","")),FIND("]",SUBSTITUTE(SUBSTITUTE(IFERROR(TRIM(SUBSTITUTE(A4,MID(A4,FIND("(",A4),FIND(")",A4)-FIND("(",A4)+1),"")),A4)," ",""),"-",""))-FIND("[",SUBSTITUTE(SUBSTITUTE(IFERROR(TRIM(SUBSTITUTE(A4,MID(A4,FIND("(",A4),FIND(")",A4)-FIND("(",A4)+1),"")),A4)," ",""),"-",""))+1),"")),SUBSTITUTE(SUBSTITUTE(IFERROR(TRIM(SUBSTITUTE(A4,MID(A4,FIND("(",A4),FIND(")",A4)-FIND("(",A4)+1),"")),A4)," ",""),"-",""))," ",""),"-",""))&amp;CHAR(34)&amp;",",CHAR(34)&amp;"lets0"&amp;LEN(SUBSTITUTE(SUBSTITUTE(IFERROR(TRIM(SUBSTITUTE(SUBSTITUTE(SUBSTITUTE(IFERROR(TRIM(SUBSTITUTE(A4,MID(A4,FIND("(",A4),FIND(")",A4)-FIND("(",A4)+1),"")),A4)," ",""),"-",""),MID(SUBSTITUTE(SUBSTITUTE(IFERROR(TRIM(SUBSTITUTE(A4,MID(A4,FIND("(",A4),FIND(")",A4)-FIND("(",A4)+1),"")),A4)," ",""),"-",""),FIND("[",SUBSTITUTE(SUBSTITUTE(IFERROR(TRIM(SUBSTITUTE(A4,MID(A4,FIND("(",A4),FIND(")",A4)-FIND("(",A4)+1),"")),A4)," ",""),"-","")),FIND("]",SUBSTITUTE(SUBSTITUTE(IFERROR(TRIM(SUBSTITUTE(A4,MID(A4,FIND("(",A4),FIND(")",A4)-FIND("(",A4)+1),"")),A4)," ",""),"-",""))-FIND("[",SUBSTITUTE(SUBSTITUTE(IFERROR(TRIM(SUBSTITUTE(A4,MID(A4,FIND("(",A4),FIND(")",A4)-FIND("(",A4)+1),"")),A4)," ",""),"-",""))+1),"")),SUBSTITUTE(SUBSTITUTE(IFERROR(TRIM(SUBSTITUTE(A4,MID(A4,FIND("(",A4),FIND(")",A4)-FIND("(",A4)+1),"")),A4)," ",""),"-",""))," ",""),"-",""))&amp;CHAR(34)&amp;",")</f>
        <v>"lets05",</v>
      </c>
      <c r="DE4" s="48" t="str">
        <f>IFERROR(CHAR(34)&amp;"start"&amp;LEFT(TRIM(SUBSTITUTE(SUBSTITUTE(TRIM(SUBSTITUTE(SUBSTITUTE(A4, MID(A4, FIND("[", A4), FIND("]", A4) - FIND("[", A4) + 1), ""), "  ", " ")), MID(TRIM(SUBSTITUTE(SUBSTITUTE(A4, MID(A4, FIND("[", A4), FIND("]", A4) - FIND("[", A4) + 1), ""), "  ", " ")), FIND("[", TRIM(SUBSTITUTE(SUBSTITUTE(A4, MID(A4, FIND("[", A4), FIND("]", A4) - FIND("[", A4) + 1), ""), "  ", " "))), FIND("]", TRIM(SUBSTITUTE(SUBSTITUTE(A4, MID(A4, FIND("[", A4), FIND("]", A4) - FIND("[", A4) + 1), ""), "  ", " "))) - FIND("[", TRIM(SUBSTITUTE(SUBSTITUTE(A4, MID(A4, FIND("[", A4), FIND("]", A4) - FIND("[", A4) + 1), ""), "  ", " "))) + 1), ""), "  ", " ")),1)&amp;CHAR(34)&amp;",",CHAR(34)&amp;"start"&amp;IFERROR(LEFT(SUBSTITUTE(A4,"["&amp;MID(A4,FIND("[",A4)+1,FIND("]",A4)-FIND("[",A4)-1)&amp;"] ",""),1),LEFT(A4,1))&amp;CHAR(34)&amp;",")</f>
        <v>"startL",</v>
      </c>
      <c r="DF4" s="48" t="str">
        <f>IFERROR(IF(SEARCH("tan",A4)&gt;0,CHAR(34)&amp;"withtn"&amp;CHAR(34)&amp;",",""),"")</f>
        <v/>
      </c>
      <c r="DG4" s="48" t="str">
        <f>IFERROR(IF(SEARCH("q",A4)&gt;0,CHAR(34)&amp;"with_q"&amp;CHAR(34)&amp;",",""),"")</f>
        <v/>
      </c>
      <c r="DH4" s="48" t="str">
        <f>IFERROR(IF(SEARCH("v",A4)&gt;0,CHAR(34)&amp;"with_v"&amp;CHAR(34)&amp;",",""),"")</f>
        <v/>
      </c>
      <c r="DI4" s="48" t="str">
        <f>IFERROR(IF(SEARCH("w",A4)&gt;0,CHAR(34)&amp;"with_w"&amp;CHAR(34)&amp;",",""),"")</f>
        <v/>
      </c>
      <c r="DJ4" s="48" t="str">
        <f>IFERROR(IF(SEARCH("y",A4)&gt;0,CHAR(34)&amp;"with_y"&amp;CHAR(34)&amp;",",""),"")</f>
        <v>"with_y",</v>
      </c>
      <c r="DK4" s="48" t="str">
        <f>IFERROR(IF(SEARCH("z",A4)&gt;0,CHAR(34)&amp;"with_z"&amp;CHAR(34)&amp;",",""),"")</f>
        <v/>
      </c>
      <c r="DL4" s="48" t="str">
        <f>IF(CG4=2, CHAR(34) &amp; _xlfn.TEXTJOIN("", TRUE, _xlfn._xlws.SORT(HP4:HX4)) &amp; CHAR(34) &amp; ",", "")</f>
        <v/>
      </c>
      <c r="DM4" s="48" t="str" cm="1">
        <f t="array" ref="DM4">IF(CG4=3,CHAR(34) &amp; _xlfn.TEXTJOIN("", TRUE, RIGHT(HP4:HX4, 2)) &amp; CHAR(34) &amp; ",", "")</f>
        <v/>
      </c>
      <c r="DN4" s="48" t="str">
        <f>IF(AND(ISNUMBER(SEARCH("18", O4)), ISERROR(SEARCH("1918", O4)), ISERROR(SEARCH("2018", O4))), CHAR(34) &amp; "year18" &amp; CHAR(34) &amp; ",", "")</f>
        <v/>
      </c>
      <c r="DO4" s="48" t="str">
        <f>IF(AND(ISNUMBER(SEARCH("19", O4)), ISERROR(SEARCH("1819", O4)),  ISERROR(SEARCH("1219", O4)),ISERROR(SEARCH("1119", O4)),ISERROR(SEARCH("1190", O4)),ISERROR(SEARCH("2019", O4))), CHAR(34) &amp; "year19" &amp; CHAR(34) &amp; ",", "")</f>
        <v>"year19",</v>
      </c>
      <c r="DP4" s="6" t="str">
        <f>IF(AND(ISNUMBER(SEARCH("20", O4)), ISERROR(SEARCH("1920", O4))), CHAR(34)&amp;"year00"&amp;CHAR(34)&amp;",", "")</f>
        <v/>
      </c>
      <c r="DQ4" s="6" t="str">
        <f>IF(CC4="y",CHAR(34)&amp;"soviet"&amp;CHAR(34)&amp;",","")</f>
        <v/>
      </c>
      <c r="DR4" s="6" t="str">
        <f>IF(BY4="y",CHAR(34)&amp;"dgband"&amp;CHAR(34)&amp;",","")</f>
        <v/>
      </c>
      <c r="DS4" s="6" t="str">
        <f>IF(W4="y",IF(AND(V4="n",BY4&lt;&gt;"y"),CHAR(34)&amp;"allver"&amp;CHAR(34)&amp;",",""),"")</f>
        <v/>
      </c>
      <c r="DT4" s="6" t="str">
        <f>IF(V4="y",IF(AND(W4="n",BY4&lt;&gt;"y"),CHAR(34)&amp;"allhor"&amp;CHAR(34)&amp;",",""),"")</f>
        <v/>
      </c>
      <c r="DU4" s="6" t="str">
        <f>IF(BY4="y",IF(AND(W4="n",V4="n"),CHAR(34)&amp;"alldia"&amp;CHAR(34)&amp;",",""),"")</f>
        <v/>
      </c>
      <c r="DV4" s="48" t="str">
        <f>IF(IA4&lt;&gt;"",(IF(IA4="y",CHAR(34)&amp;"largec"&amp;CHAR(34)&amp;",",CHAR(34)&amp;"smallc"&amp;CHAR(34)&amp;",")),"")</f>
        <v/>
      </c>
      <c r="DW4" s="48" t="str">
        <f>IF(CL4="y",CHAR(34)&amp;CL$1&amp;CHAR(34)&amp;",","")</f>
        <v>"NoBand",</v>
      </c>
      <c r="DX4" s="48" t="str">
        <f>IF(CM4="y",CHAR(34)&amp;CM$1&amp;CHAR(34)&amp;",","")</f>
        <v/>
      </c>
      <c r="DY4" s="48" t="str">
        <f>IF(CN4="y",CHAR(34)&amp;CN$1&amp;CHAR(34)&amp;",","")</f>
        <v/>
      </c>
      <c r="DZ4" s="48" t="str">
        <f>IF(CO4="y",CHAR(34)&amp;CO$1&amp;CHAR(34)&amp;",","")</f>
        <v/>
      </c>
      <c r="EA4" s="48" t="str">
        <f>IF(T4="y",CHAR(34)&amp;T$1&amp;CHAR(34)&amp;",","")</f>
        <v/>
      </c>
      <c r="EB4" s="48" t="str">
        <f>IF(U4="y",CHAR(34)&amp;U$1&amp;CHAR(34)&amp;",","")</f>
        <v/>
      </c>
      <c r="EC4" s="48" t="str">
        <f>IF(V4="y",CHAR(34)&amp;V$1&amp;CHAR(34)&amp;",","")</f>
        <v/>
      </c>
      <c r="ED4" s="48" t="str">
        <f>IF(W4="y",CHAR(34)&amp;W$1&amp;CHAR(34)&amp;",","")</f>
        <v/>
      </c>
      <c r="EE4" s="48" t="str">
        <f>IF(X4="y",CHAR(34)&amp;X$1&amp;CHAR(34)&amp;",","")</f>
        <v/>
      </c>
      <c r="EF4" s="48" t="str">
        <f>IF(AND(Y4&lt;&gt;"n",Y4&lt;&gt;""),CHAR(34)&amp;Y$1&amp;CHAR(34)&amp;",","")</f>
        <v/>
      </c>
      <c r="EG4" s="48" t="str">
        <f>IF(Z4="y",CHAR(34)&amp;Z$1&amp;CHAR(34)&amp;",","")</f>
        <v/>
      </c>
      <c r="EH4" s="48" t="str">
        <f>IF(AA4="y",CHAR(34)&amp;AA$1&amp;CHAR(34)&amp;",","")</f>
        <v/>
      </c>
      <c r="EI4" s="48" t="str">
        <f>IF(AB4="y",CHAR(34)&amp;AB$1&amp;CHAR(34)&amp;",","")</f>
        <v/>
      </c>
      <c r="EJ4" s="48" t="str">
        <f>IF(AC4="y",CHAR(34)&amp;AC$1&amp;CHAR(34)&amp;",","")</f>
        <v/>
      </c>
      <c r="EK4" s="48" t="str">
        <f>IF(AD4="y",CHAR(34)&amp;AD$1&amp;CHAR(34)&amp;",","")</f>
        <v/>
      </c>
      <c r="EL4" s="48" t="str">
        <f>IF(AE4="y",CHAR(34)&amp;AE$1&amp;CHAR(34)&amp;",","")</f>
        <v/>
      </c>
      <c r="EM4" s="48" t="str">
        <f>IF(AF4="y",CHAR(34)&amp;AF$1&amp;CHAR(34)&amp;",","")</f>
        <v/>
      </c>
      <c r="EN4" s="48" t="str">
        <f>IF(AG4="y",CHAR(34)&amp;AG$1&amp;CHAR(34)&amp;",","")</f>
        <v/>
      </c>
      <c r="EO4" s="48" t="str">
        <f>IF(AH4="y",CHAR(34)&amp;AH$1&amp;CHAR(34)&amp;",","")</f>
        <v/>
      </c>
      <c r="EP4" s="48" t="str">
        <f>IF(AI4="y",CHAR(34)&amp;AI$1&amp;CHAR(34)&amp;",","")</f>
        <v/>
      </c>
      <c r="EQ4" s="48" t="str">
        <f>IF(AJ4="y",CHAR(34)&amp;AJ$1&amp;CHAR(34)&amp;",","")</f>
        <v/>
      </c>
      <c r="ER4" s="48" t="str">
        <f>IF(AK4="y",CHAR(34)&amp;AK$1&amp;CHAR(34)&amp;",","")</f>
        <v/>
      </c>
      <c r="ES4" s="48" t="str">
        <f>IF(AL4="y",CHAR(34)&amp;AL$1&amp;CHAR(34)&amp;",","")</f>
        <v/>
      </c>
      <c r="ET4" s="48" t="str">
        <f>IF(AM4="y",CHAR(34)&amp;AM$1&amp;CHAR(34)&amp;",","")</f>
        <v/>
      </c>
      <c r="EU4" s="48" t="str">
        <f>IF(AN4="y",CHAR(34)&amp;AN$1&amp;CHAR(34)&amp;",","")</f>
        <v/>
      </c>
      <c r="EV4" s="48" t="str">
        <f>IF(AO4="y",CHAR(34)&amp;AO$1&amp;CHAR(34)&amp;",","")</f>
        <v/>
      </c>
      <c r="EW4" s="48" t="str">
        <f>IF(AP4="y",CHAR(34)&amp;AP$1&amp;CHAR(34)&amp;",","")</f>
        <v/>
      </c>
      <c r="EX4" s="48" t="str">
        <f>IF(AQ4="y",CHAR(34)&amp;AQ$1&amp;CHAR(34)&amp;",","")</f>
        <v/>
      </c>
      <c r="EY4" s="48" t="str">
        <f>IF(AR4="y",CHAR(34)&amp;AR$1&amp;CHAR(34)&amp;",","")</f>
        <v>"Rotate",</v>
      </c>
      <c r="EZ4" s="48" t="str">
        <f>IF(AS4="y",CHAR(34)&amp;AS$1&amp;CHAR(34)&amp;",","")</f>
        <v/>
      </c>
      <c r="FA4" s="48" t="str">
        <f>IF(AT4&gt;0,CHAR(34)&amp;"sta"&amp;AZ4&amp;CHAR(34)&amp;",","")</f>
        <v/>
      </c>
      <c r="FB4" s="48" t="str">
        <f>IF(AND(AT4&gt;0,BA4&lt;&gt;""),CHAR(34)&amp;"sta"&amp;BA4&amp;CHAR(34)&amp;",","")</f>
        <v/>
      </c>
      <c r="FC4" s="48" t="str">
        <f>IF(AND(AT4&gt;0,BB4&lt;&gt;""),CHAR(34)&amp;"sta"&amp;BB4&amp;CHAR(34)&amp;",","")</f>
        <v/>
      </c>
      <c r="FD4" s="48" t="str">
        <f>IF(BV4="n",CHAR(34)&amp;"tcWHYE"&amp;CHAR(34)&amp;",",IF(BV4="y",CHAR(34)&amp;FD$1&amp;CHAR(34)&amp;",",""))</f>
        <v/>
      </c>
      <c r="FE4" s="48" t="str">
        <f>IF(COUNTIF(BL4:BT4,"BLU")=0,CHAR(34)&amp;"NO_BLU"&amp;CHAR(34)&amp;",", "")</f>
        <v>"NO_BLU",</v>
      </c>
      <c r="FF4" s="48" t="str">
        <f>IF(COUNTIF(BL4:BT4,"WHI")=0,CHAR(34)&amp;"NO_WHI"&amp;CHAR(34)&amp;",", "")</f>
        <v>"NO_WHI",</v>
      </c>
      <c r="FG4" s="48" t="str">
        <f>IF(COUNTIF(BL4:BT4,"RED")=0,CHAR(34)&amp;"NO_RED"&amp;CHAR(34)&amp;",", "")</f>
        <v>"NO_RED",</v>
      </c>
      <c r="FH4" s="48" t="str">
        <f>IF(COUNTIF(BL4:BS4,"GRE")=0,CHAR(34)&amp;"NO_GRE"&amp;CHAR(34)&amp;",", "")</f>
        <v/>
      </c>
      <c r="FI4" s="48" t="str">
        <f>IF(COUNTIF(BL4:BT4,"YEL")=0,CHAR(34)&amp;"NO_YEL"&amp;CHAR(34)&amp;",", "")</f>
        <v>"NO_YEL",</v>
      </c>
      <c r="FJ4" s="48" t="str">
        <f>IF(COUNTIF(BL4:BT4,"BLA")=0,CHAR(34)&amp;"NO_BLA"&amp;CHAR(34)&amp;",", "")</f>
        <v>"NO_BLA",</v>
      </c>
      <c r="FK4" s="48" t="str">
        <f>IF(AND(FH4&lt;&gt;"",FF4&lt;&gt;""),CHAR(34)&amp;"WHGRNO"&amp;CHAR(34)&amp;",","")</f>
        <v/>
      </c>
      <c r="FL4" s="48" t="str">
        <f>IF(AND(FI4&lt;&gt;"",FF4&lt;&gt;""),CHAR(34)&amp;"WHYENO"&amp;CHAR(34)&amp;",","")</f>
        <v>"WHYENO",</v>
      </c>
      <c r="FM4" s="48" t="str">
        <f>IF(AND(FJ4&lt;&gt;"",FF4&lt;&gt;""),CHAR(34)&amp;"BAWHNO"&amp;CHAR(34)&amp;",","")</f>
        <v>"BAWHNO",</v>
      </c>
      <c r="FN4" s="48" t="str">
        <f>IF(AND(FE4&lt;&gt;"",FF4&lt;&gt;""),CHAR(34)&amp;"BLWHNO"&amp;CHAR(34)&amp;",","")</f>
        <v>"BLWHNO",</v>
      </c>
      <c r="FO4" s="48" t="str">
        <f>IF(AND(FE4&lt;&gt;"",FG4&lt;&gt;""),CHAR(34)&amp;"BLRENO"&amp;CHAR(34)&amp;",","")</f>
        <v>"BLRENO",</v>
      </c>
      <c r="FP4" s="48" t="str">
        <f>IF(AND(FF4&lt;&gt;"",FF4&lt;&gt;""),CHAR(34)&amp;"WHRENO"&amp;CHAR(34)&amp;",","")</f>
        <v>"WHRENO",</v>
      </c>
      <c r="FQ4" s="48" t="str">
        <f>IF(LEN(BF4)=3,CHAR(34)&amp;"001"&amp;BF4&amp;CHAR(34)&amp;",","")</f>
        <v/>
      </c>
      <c r="FR4" s="48" t="str">
        <f>IF(LEN(BG4)=3,CHAR(34)&amp;"002"&amp;BG4&amp;CHAR(34)&amp;",","")</f>
        <v/>
      </c>
      <c r="FS4" s="48" t="str">
        <f>IF(LEN(BH4)=3,CHAR(34)&amp;"003"&amp;BH4&amp;CHAR(34)&amp;",","")</f>
        <v/>
      </c>
      <c r="FT4" s="48" t="str">
        <f>CHAR(34)&amp;"myr"&amp;BD4&amp;CHAR(34)&amp;","</f>
        <v>"myrGRE",</v>
      </c>
      <c r="FU4" s="48" t="str">
        <f>IF(AY4="y",CHAR(34)&amp;"island"&amp;CHAR(34)&amp;",","")</f>
        <v/>
      </c>
      <c r="FV4" s="48" t="str">
        <f>IF(BZ4="y",CHAR(34)&amp;"landlo"&amp;CHAR(34)&amp;",","")</f>
        <v/>
      </c>
      <c r="FW4" s="48" t="str">
        <f>IF(CA4="y",CHAR(34)&amp;"eunion"&amp;CHAR(34)&amp;",","")</f>
        <v/>
      </c>
      <c r="FX4" s="48" t="str">
        <f>SUBSTITUTE(IFERROR(SEARCH("[",A4),IFERROR(IF(AND(CA4&lt;&gt;"y",SEARCH("Europe",R4)&gt;0),CHAR(34)&amp;"noeuni"&amp;CHAR(34)&amp;",",""),"")),"1","")</f>
        <v/>
      </c>
      <c r="FY4" s="48" t="str">
        <f>IFERROR(IF(SEARCH("Arabic",CB4)&gt;0,CHAR(34)&amp;"arabic"&amp;CHAR(34)&amp;",",""),"")</f>
        <v/>
      </c>
      <c r="FZ4" s="48" t="str">
        <f>IFERROR(IF(SEARCH("English",CB4)&gt;0,CHAR(34)&amp;"englis"&amp;CHAR(34)&amp;",",""),"")</f>
        <v/>
      </c>
      <c r="GA4" s="48" t="str">
        <f>IFERROR(IF(SEARCH("French",CB4)&gt;0,CHAR(34)&amp;"french"&amp;CHAR(34)&amp;",",""),"")</f>
        <v/>
      </c>
      <c r="GB4" s="48" t="str">
        <f>IFERROR(IF(SEARCH("Spanish",CB4)&gt;0,CHAR(34)&amp;"spanis"&amp;CHAR(34)&amp;",",""),"")</f>
        <v/>
      </c>
      <c r="GC4" s="48" t="str">
        <f>IFERROR(IF(SEARCH("Portuguese",CB4)&gt;0,CHAR(34)&amp;"portug"&amp;CHAR(34)&amp;",",""),"")</f>
        <v/>
      </c>
      <c r="GD4" s="48" t="str">
        <f>IFERROR(IF(SEARCH("German",CB4)&gt;0,CHAR(34)&amp;"german"&amp;CHAR(34)&amp;",",""),"")</f>
        <v/>
      </c>
      <c r="GE4" s="48" t="str">
        <f>IFERROR(IF(SEARCH("Dutch",CB4)&gt;0,CHAR(34)&amp;"dutchs"&amp;CHAR(34)&amp;",",""),"")</f>
        <v/>
      </c>
      <c r="GF4" s="48" t="str">
        <f>IFERROR(IF(SEARCH("Historical",AU4)&gt;0,CHAR(34)&amp;"histor"&amp;CHAR(34)&amp;",",""),"")</f>
        <v>"histor",</v>
      </c>
      <c r="GG4" s="48" t="str">
        <f>IF(BU4="y",CHAR(34)&amp;"unjack"&amp;CHAR(34)&amp;",","")</f>
        <v/>
      </c>
      <c r="GH4" s="48" t="str">
        <f>IF(CD4=1,CHAR(34)&amp;"southc"&amp;CHAR(34)&amp;",","")</f>
        <v/>
      </c>
      <c r="GI4" s="48" t="str">
        <f>IF(CE4=1,CHAR(34)&amp;"hasmap"&amp;CHAR(34)&amp;",","")</f>
        <v/>
      </c>
      <c r="GJ4" s="48" t="str">
        <f>IF(CP4="y",CHAR(34)&amp;CP$1&amp;CHAR(34)&amp;",","")</f>
        <v>"NoStar",</v>
      </c>
      <c r="GK4" s="48" t="str">
        <f>IF(GJ4="",CHAR(34)&amp;"HasSta"&amp;CHAR(34)&amp;",","")</f>
        <v/>
      </c>
      <c r="GL4" s="48" t="str">
        <f>IF(CQ4="y",CHAR(34)&amp;CQ$1&amp;CHAR(34)&amp;",","")</f>
        <v/>
      </c>
      <c r="GM4" s="48" t="str">
        <f>IF(CR4="y",CHAR(34)&amp;CR$1&amp;CHAR(34)&amp;",","")</f>
        <v/>
      </c>
      <c r="GN4" s="48" t="str">
        <f>IF(CS4="y",CHAR(34)&amp;CS$1&amp;CHAR(34)&amp;",","")</f>
        <v/>
      </c>
      <c r="GP4" s="48" t="str">
        <f>CHAR(34)&amp;AU4&amp;CHAR(34)</f>
        <v>"Historical"</v>
      </c>
      <c r="GS4" s="48" t="str">
        <f>SUBSTITUTE("["&amp;_xlfn.CONCAT(CW4:GN4)&amp;"]",",]","]")</f>
        <v>["lets05","startL","with_y","year19","NoBand","Rotate","NO_BLU","NO_WHI","NO_RED","NO_YEL","NO_BLA","WHYENO","BAWHNO","BLWHNO","BLRENO","WHRENO","myrGRE","histor","NoStar"]</v>
      </c>
      <c r="GT4" s="48" t="str">
        <f>IF(BL4&lt;&gt;"",CHAR(34)&amp;"cl_"&amp;BL4&amp;CHAR(34)&amp;",","")</f>
        <v>"cl_GRE",</v>
      </c>
      <c r="GU4" s="48" t="str">
        <f>IF(BM4&lt;&gt;"",CHAR(34)&amp;"cl_"&amp;BM4&amp;CHAR(34)&amp;",","")</f>
        <v/>
      </c>
      <c r="GV4" s="48" t="str">
        <f>IF(BN4&lt;&gt;"",CHAR(34)&amp;"cl_"&amp;BN4&amp;CHAR(34)&amp;",","")</f>
        <v/>
      </c>
      <c r="GW4" s="48" t="str">
        <f>IF(BO4&lt;&gt;"",CHAR(34)&amp;"cl_"&amp;BO4&amp;CHAR(34)&amp;",","")</f>
        <v/>
      </c>
      <c r="GX4" s="48" t="str">
        <f>IF(BP4&lt;&gt;"",CHAR(34)&amp;"cl_"&amp;BP4&amp;CHAR(34)&amp;",","")</f>
        <v/>
      </c>
      <c r="GY4" s="48" t="str">
        <f>IF(BQ4&lt;&gt;"",CHAR(34)&amp;"cl_"&amp;BQ4&amp;CHAR(34)&amp;",","")</f>
        <v/>
      </c>
      <c r="GZ4" s="48" t="str">
        <f>IF(BR4&lt;&gt;"",CHAR(34)&amp;"cl_"&amp;BR4&amp;CHAR(34)&amp;",","")</f>
        <v/>
      </c>
      <c r="HA4" s="48" t="str">
        <f>IF(BS4&lt;&gt;"",CHAR(34)&amp;"cl_"&amp;BS4&amp;CHAR(34)&amp;",","")</f>
        <v/>
      </c>
      <c r="HB4" s="48" t="str">
        <f>IF(BT4&lt;&gt;"",CHAR(34)&amp;"cl_"&amp;BT4&amp;CHAR(34)&amp;",","")</f>
        <v/>
      </c>
      <c r="HC4" s="48" t="str">
        <f>SUBSTITUTE("["&amp;_xlfn.CONCAT(GT4:HB4)&amp;"]",",]","]")</f>
        <v>["cl_GRE"]</v>
      </c>
      <c r="HE4" s="71"/>
      <c r="HF4" s="72" t="str">
        <f>"{couname:"&amp;CT4&amp;(IF(HK4&lt;&gt;"",",subtype:"&amp;CHAR(34)&amp;HK4&amp;CHAR(34),""))&amp;",year:"&amp;HJ4&amp;",region:"&amp;CU4&amp;",Colors:"&amp;HC4&amp;",Items:"&amp;GS4&amp;",Flag:"&amp;CV4&amp;",HDFlag:"&amp;CHAR(34)&amp;E4&amp;CHAR(34)&amp;",type:"&amp;GP4&amp;", describe: "&amp;HH4&amp;", isnew:"&amp;CHAR(34)&amp;F4&amp;CHAR(34)&amp;", links: "&amp;HL4&amp;"},"</f>
        <v>{couname:"[LIB] Libya (1977-2011)",year:"1977 ",region:"rgn_Africa",Colors:["cl_GRE"],Items:["lets05","startL","with_y","year19","NoBand","Rotate","NO_BLU","NO_WHI","NO_RED","NO_YEL","NO_BLA","WHYENO","BAWHNO","BLWHNO","BLRENO","WHRENO","myrGRE","histor","NoStar"],Flag:"https://upload.wikimedia.org/wikipedia/commons/thumb/8/84/Flag_of_Libya_%281977%E2%80%932011%2C_2-3%29.svg/640px-Flag_of_Libya_%281977%E2%80%932011%2C_2-3%29.svg.png",HDFlag:"https://upload.wikimedia.org/wikipedia/commons/thumb/8/84/Flag_of_Libya_%281977%E2%80%932011%2C_2-3%29.svg/2560px-Flag_of_Libya_%281977%E2%80%932011%2C_2-3%29.svg.png",type:"Historical", describe: "\nThe flag of the Libyan Arab Jamahiriya was adopted on 19 November 1977 and consisted of a green field. It was the only national flag during that time in the world with only one colour. It was chosen by Libyan leader Muammar Gaddafi to symbolise his political philosophy (after his Green Book).The green colour traditionally symbolises Islam, reflecting the historical green banners of the Fatimid Caliphate. In Libya, green was also a colour traditionally used to represent the Tripolitania region.", isnew:".", links: "https://en.wikipedia.org/wiki/Flag_of_Libya#Historical_flags"},</v>
      </c>
      <c r="HG4" s="73" t="str">
        <f>"{couname:"&amp;CT4&amp;(IF(HK4&lt;&gt;"",",subtype:"&amp;CHAR(34)&amp;HK4&amp;CHAR(34),""))&amp;",year:"&amp;HJ4&amp;",region:"&amp;CU4&amp;",Colors:"&amp;HC4&amp;",Items:"&amp;GS4&amp;",Flag:"&amp;CV4&amp;",HDFlag:"&amp;CHAR(34)&amp;E4&amp;CHAR(34)&amp;",type:"&amp;GP4&amp;", describe: "&amp;HI4&amp;", links: "&amp;HL4&amp;"},"</f>
        <v>{couname:"[LIB] Libya (1977-2011)",year:"1977 ",region:"rgn_Africa",Colors:["cl_GRE"],Items:["lets05","startL","with_y","year19","NoBand","Rotate","NO_BLU","NO_WHI","NO_RED","NO_YEL","NO_BLA","WHYENO","BAWHNO","BLWHNO","BLRENO","WHRENO","myrGRE","histor","NoStar"],Flag:"https://upload.wikimedia.org/wikipedia/commons/thumb/8/84/Flag_of_Libya_%281977%E2%80%932011%2C_2-3%29.svg/640px-Flag_of_Libya_%281977%E2%80%932011%2C_2-3%29.svg.png",HDFlag:"https://upload.wikimedia.org/wikipedia/commons/thumb/8/84/Flag_of_Libya_%281977%E2%80%932011%2C_2-3%29.svg/2560px-Flag_of_Libya_%281977%E2%80%932011%2C_2-3%29.svg.png",type:"Historical", describe: "\nThe flag of the Libyan Arab Jamahiriya was adopted on 19 November 1977 and consisted of a green field. It was the only national flag during that time in the world with only one colour. It was chosen by Libyan leader Muammar Gaddafi to symbolise his political philosophy (after his Green Book).The green colour traditionally symbolises Islam, reflecting the historical green banners of the Fatimid Caliphate. In Libya, green was also a colour traditionally used to represent the Tripolitania region.", links: "https://en.wikipedia.org/wiki/Flag_of_Libya#Historical_flags"},</v>
      </c>
      <c r="HH4" s="48" t="str">
        <f>IF(P4&lt;&gt;"",CHAR(34)&amp;"\n"&amp;P4&amp;CHAR(34),CHAR(34)&amp;CHAR(34))</f>
        <v>"\nThe flag of the Libyan Arab Jamahiriya was adopted on 19 November 1977 and consisted of a green field. It was the only national flag during that time in the world with only one colour. It was chosen by Libyan leader Muammar Gaddafi to symbolise his political philosophy (after his Green Book).The green colour traditionally symbolises Islam, reflecting the historical green banners of the Fatimid Caliphate. In Libya, green was also a colour traditionally used to represent the Tripolitania region."</v>
      </c>
      <c r="HI4" s="48" t="str">
        <f>IF(J4=0,CHAR(34)&amp;CHAR(34),HH4)</f>
        <v>"\nThe flag of the Libyan Arab Jamahiriya was adopted on 19 November 1977 and consisted of a green field. It was the only national flag during that time in the world with only one colour. It was chosen by Libyan leader Muammar Gaddafi to symbolise his political philosophy (after his Green Book).The green colour traditionally symbolises Islam, reflecting the historical green banners of the Fatimid Caliphate. In Libya, green was also a colour traditionally used to represent the Tripolitania region."</v>
      </c>
      <c r="HJ4" s="48" t="str">
        <f>CHAR(34)&amp;O4&amp;CHAR(34)</f>
        <v>"1977 "</v>
      </c>
      <c r="HL4" s="48" t="str">
        <f>CHAR(34)&amp;I4&amp;CHAR(34)</f>
        <v>"https://en.wikipedia.org/wiki/Flag_of_Libya#Historical_flags"</v>
      </c>
      <c r="HM4" s="72"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"&amp;HH4&amp;", "&amp;CHAR(34)&amp;"isnew"&amp;CHAR(34)&amp;": "&amp;CHAR(34)&amp;F4&amp;CHAR(34)&amp;", "&amp;CHAR(34)&amp;"links"&amp;CHAR(34)&amp;": "&amp;HL4&amp;"},"</f>
        <v>{"couname":"[LIB] Libya (1977-2011)","subtype":"[LIB] Other","year":"1977 ","region":"rgn_Africa","Colors":["cl_GRE"],"Items":["lets05","startL","with_y","year19","NoBand","Rotate","NO_BLU","NO_WHI","NO_RED","NO_YEL","NO_BLA","WHYENO","BAWHNO","BLWHNO","BLRENO","WHRENO","myrGRE","histor","NoStar"],"Flag":"https://upload.wikimedia.org/wikipedia/commons/thumb/8/84/Flag_of_Libya_%281977%E2%80%932011%2C_2-3%29.svg/640px-Flag_of_Libya_%281977%E2%80%932011%2C_2-3%29.svg.png","HDFlag":"https://upload.wikimedia.org/wikipedia/commons/thumb/8/84/Flag_of_Libya_%281977%E2%80%932011%2C_2-3%29.svg/2560px-Flag_of_Libya_%281977%E2%80%932011%2C_2-3%29.svg.png","type":"Historical", "describe": "\nThe flag of the Libyan Arab Jamahiriya was adopted on 19 November 1977 and consisted of a green field. It was the only national flag during that time in the world with only one colour. It was chosen by Libyan leader Muammar Gaddafi to symbolise his political philosophy (after his Green Book).The green colour traditionally symbolises Islam, reflecting the historical green banners of the Fatimid Caliphate. In Libya, green was also a colour traditionally used to represent the Tripolitania region.", "isnew": ".", "links": "https://en.wikipedia.org/wiki/Flag_of_Libya#Historical_flags"},</v>
      </c>
      <c r="HN4" s="74"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"&amp;HI4&amp;", "&amp;CHAR(34)&amp;"isnew"&amp;CHAR(34)&amp;": "&amp;CHAR(34)&amp;F4&amp;CHAR(34)&amp;", "&amp;CHAR(34)&amp;"links"&amp;CHAR(34)&amp;": "&amp;HL4&amp;"},"</f>
        <v>{"couname":"[LIB] Libya (1977-2011)","subtype":"[LIB] Other","year":"1977 ","region":"rgn_Africa","Colors":["cl_GRE"],"Items":["lets05","startL","with_y","year19","NoBand","Rotate","NO_BLU","NO_WHI","NO_RED","NO_YEL","NO_BLA","WHYENO","BAWHNO","BLWHNO","BLRENO","WHRENO","myrGRE","histor","NoStar"],"Flag":"https://upload.wikimedia.org/wikipedia/commons/thumb/8/84/Flag_of_Libya_%281977%E2%80%932011%2C_2-3%29.svg/640px-Flag_of_Libya_%281977%E2%80%932011%2C_2-3%29.svg.png","HDFlag":"https://upload.wikimedia.org/wikipedia/commons/thumb/8/84/Flag_of_Libya_%281977%E2%80%932011%2C_2-3%29.svg/2560px-Flag_of_Libya_%281977%E2%80%932011%2C_2-3%29.svg.png","type":"Historical", "describe": "\nThe flag of the Libyan Arab Jamahiriya was adopted on 19 November 1977 and consisted of a green field. It was the only national flag during that time in the world with only one colour. It was chosen by Libyan leader Muammar Gaddafi to symbolise his political philosophy (after his Green Book).The green colour traditionally symbolises Islam, reflecting the historical green banners of the Fatimid Caliphate. In Libya, green was also a colour traditionally used to represent the Tripolitania region.", "isnew": ".", "links": "https://en.wikipedia.org/wiki/Flag_of_Libya#Historical_flags"},</v>
      </c>
      <c r="HO4" s="75"/>
      <c r="HP4" s="48" t="str" cm="1">
        <f t="array" ref="HP4">IF(_xlfn.TEXTJOIN(", ", TRUE, IF(ISNUMBER(SEARCH("BLA", BL4:BT4)), COLUMN(BL4:BT4) - COLUMN(BL4) + 1, ""))&lt;&gt;"","BLA","")</f>
        <v/>
      </c>
      <c r="HQ4" s="48" t="str" cm="1">
        <f t="array" ref="HQ4">IF(_xlfn.TEXTJOIN(", ", TRUE, IF(ISNUMBER(SEARCH("BLU", BL4:BT4)), COLUMN(BL4:BT4) - COLUMN(BL4) + 1, ""))&lt;&gt;"","BLU","")</f>
        <v/>
      </c>
      <c r="HR4" s="48" t="str" cm="1">
        <f t="array" ref="HR4">IF(_xlfn.TEXTJOIN(", ", TRUE, IF(ISNUMBER(SEARCH("GRE", BL4:BT4)), COLUMN(BL4:BT4) - COLUMN(BL4) + 1, ""))&lt;&gt;"","GRE","")</f>
        <v>GRE</v>
      </c>
      <c r="HS4" s="48" t="str" cm="1">
        <f t="array" ref="HS4">IF(_xlfn.TEXTJOIN(", ", TRUE, IF(ISNUMBER(SEARCH("RED", BL4:BT4)), COLUMN(BL4:BT4) - COLUMN(BL4) + 1, ""))&lt;&gt;"","RED","")</f>
        <v/>
      </c>
      <c r="HT4" s="48" t="str" cm="1">
        <f t="array" ref="HT4">IF(_xlfn.TEXTJOIN(", ", TRUE, IF(ISNUMBER(SEARCH("YEL", BL4:BT4)), COLUMN(BL4:BT4) - COLUMN(BL4) + 1, ""))&lt;&gt;"","YEL","")</f>
        <v/>
      </c>
      <c r="HU4" s="48" t="str" cm="1">
        <f t="array" ref="HU4">IF(_xlfn.TEXTJOIN(", ", TRUE, IF(ISNUMBER(SEARCH("ORA", BL4:BT4)), COLUMN(BL4:BT4) - COLUMN(BL4) + 1, ""))&lt;&gt;"","ORA","")</f>
        <v/>
      </c>
      <c r="HV4" s="48" t="str" cm="1">
        <f t="array" ref="HV4">IF(_xlfn.TEXTJOIN(", ", TRUE, IF(ISNUMBER(SEARCH("BRO", BL4:BT4)), COLUMN(BL4:BT4) - COLUMN(BL4) + 1, ""))&lt;&gt;"","BRO","")</f>
        <v/>
      </c>
      <c r="HW4" s="48" t="str" cm="1">
        <f t="array" ref="HW4">IF(_xlfn.TEXTJOIN(", ", TRUE, IF(ISNUMBER(SEARCH("PUR", BL4:BT4)), COLUMN(BL4:BT4) - COLUMN(BL4) + 1, ""))&lt;&gt;"","PUR","")</f>
        <v/>
      </c>
      <c r="HX4" s="48" t="str" cm="1">
        <f t="array" ref="HX4">IF(_xlfn.TEXTJOIN(", ", TRUE, IF(ISNUMBER(SEARCH("WHI", BL4:BT4)), COLUMN(BL4:BT4) - COLUMN(BL4) + 1, ""))&lt;&gt;"","WHI","")</f>
        <v/>
      </c>
      <c r="HY4" s="76"/>
      <c r="HZ4" s="76"/>
      <c r="IA4" s="6"/>
      <c r="IB4" s="6"/>
      <c r="IC4" s="77"/>
      <c r="ID4" s="77"/>
      <c r="IE4" s="77"/>
      <c r="IF4" s="77"/>
      <c r="IG4" s="77"/>
      <c r="IH4" s="77"/>
      <c r="II4" s="77"/>
      <c r="IJ4" s="77"/>
      <c r="IK4" s="77"/>
      <c r="IL4" s="48">
        <f>SUM(IC4:IK4)</f>
        <v>0</v>
      </c>
      <c r="IM4" s="45">
        <f>COUNTIF(IC4:IK4,"&gt;0")-CG4</f>
        <v>-1</v>
      </c>
      <c r="IN4" s="78" t="str">
        <f>"http://mkweb.bcgsc.ca/color-summarizer/?url="&amp;D4&amp;"&amp;precision=low&amp;num_clusters="&amp;CG4&amp;"&amp;text=1"</f>
        <v>http://mkweb.bcgsc.ca/color-summarizer/?url=https://upload.wikimedia.org/wikipedia/commons/thumb/8/84/Flag_of_Libya_%281977%E2%80%932011%2C_2-3%29.svg/640px-Flag_of_Libya_%281977%E2%80%932011%2C_2-3%29.svg.png&amp;precision=low&amp;num_clusters=1&amp;text=1</v>
      </c>
      <c r="IO4" s="48" t="str">
        <f>IF(HP4&lt;&gt;"",CHAR(34)&amp;"black"&amp;CHAR(34),"")</f>
        <v/>
      </c>
      <c r="IP4" s="48" t="str">
        <f>IF(HQ4&lt;&gt;"",CHAR(34)&amp;"blue"&amp;CHAR(34),"")</f>
        <v/>
      </c>
      <c r="IQ4" s="48" t="str">
        <f>IF(HR4&lt;&gt;"",CHAR(34)&amp;"green"&amp;CHAR(34),"")</f>
        <v>"green"</v>
      </c>
      <c r="IR4" s="48" t="str">
        <f>IF(HS4&lt;&gt;"",CHAR(34)&amp;"red"&amp;CHAR(34),"")</f>
        <v/>
      </c>
      <c r="IS4" s="48" t="str">
        <f>IF(HT4&lt;&gt;"",CHAR(34)&amp;"yellow"&amp;CHAR(34),"")</f>
        <v/>
      </c>
      <c r="IT4" s="48" t="str">
        <f>IF(HU4&lt;&gt;"",CHAR(34)&amp;"orange"&amp;CHAR(34),"")</f>
        <v/>
      </c>
      <c r="IU4" s="48" t="str">
        <f>IF(HV4&lt;&gt;"",CHAR(34)&amp;"brown"&amp;CHAR(34),"")</f>
        <v/>
      </c>
      <c r="IV4" s="48" t="str">
        <f>IF(HW4&lt;&gt;"",CHAR(34)&amp;"purple"&amp;CHAR(34),"")</f>
        <v/>
      </c>
      <c r="IW4" s="48" t="str">
        <f>IF(HX4&lt;&gt;"",CHAR(34)&amp;"white"&amp;CHAR(34),"")</f>
        <v/>
      </c>
      <c r="IX4" s="48" t="str">
        <f>"{"&amp;CHAR(34)&amp;"url"&amp;CHAR(34)&amp;":"&amp;CHAR(34)&amp;IN4&amp;CHAR(34)&amp;","&amp;CHAR(34)&amp;"name"&amp;CHAR(34)&amp;":"&amp;CHAR(34)&amp;A4&amp;CHAR(34)&amp;"},"</f>
        <v>{"url":"http://mkweb.bcgsc.ca/color-summarizer/?url=https://upload.wikimedia.org/wikipedia/commons/thumb/8/84/Flag_of_Libya_%281977%E2%80%932011%2C_2-3%29.svg/640px-Flag_of_Libya_%281977%E2%80%932011%2C_2-3%29.svg.png&amp;precision=low&amp;num_clusters=1&amp;text=1","name":"[LIB] Libya (1977-2011)"},</v>
      </c>
      <c r="IY4" s="48">
        <v>603</v>
      </c>
    </row>
    <row r="5" spans="1:259" ht="38.4" customHeight="1" x14ac:dyDescent="0.3">
      <c r="F5" s="82"/>
      <c r="G5" s="82"/>
      <c r="H5" s="82"/>
      <c r="I5" s="82"/>
      <c r="J5" s="82"/>
      <c r="K5" s="82"/>
    </row>
    <row r="6" spans="1:259" ht="38.4" customHeight="1" x14ac:dyDescent="0.3">
      <c r="E6" s="81"/>
      <c r="F6" s="81"/>
      <c r="K6" s="81"/>
      <c r="L6" s="81"/>
      <c r="M6" s="81"/>
      <c r="N6" s="81"/>
      <c r="O6" s="81"/>
      <c r="P6" s="81"/>
    </row>
    <row r="7" spans="1:259" ht="38.4" customHeight="1" x14ac:dyDescent="0.3">
      <c r="E7" s="81"/>
      <c r="F7" s="81"/>
      <c r="K7" s="81"/>
      <c r="L7" s="81"/>
      <c r="M7" s="81"/>
      <c r="N7" s="81"/>
      <c r="O7" s="81"/>
      <c r="P7" s="81"/>
    </row>
    <row r="8" spans="1:259" ht="38.4" customHeight="1" x14ac:dyDescent="0.3">
      <c r="E8" s="81"/>
      <c r="F8" s="81"/>
      <c r="K8" s="81"/>
      <c r="L8" s="81"/>
      <c r="M8" s="81"/>
      <c r="N8" s="81"/>
      <c r="O8" s="81"/>
      <c r="P8" s="81"/>
    </row>
    <row r="9" spans="1:259" ht="38.4" customHeight="1" x14ac:dyDescent="0.3">
      <c r="E9" s="81"/>
      <c r="F9" s="81"/>
      <c r="K9" s="81"/>
      <c r="L9" s="81"/>
      <c r="M9" s="81"/>
      <c r="N9" s="81"/>
      <c r="O9" s="81"/>
      <c r="P9" s="81"/>
    </row>
    <row r="10" spans="1:259" ht="38.4" customHeight="1" x14ac:dyDescent="0.3">
      <c r="E10" s="81"/>
      <c r="F10" s="81"/>
      <c r="K10" s="81"/>
      <c r="L10" s="81"/>
      <c r="M10" s="81"/>
      <c r="N10" s="81"/>
      <c r="O10" s="81"/>
      <c r="P10" s="81"/>
    </row>
  </sheetData>
  <autoFilter ref="A1:IY1" xr:uid="{A1051193-A95B-4CFB-A73C-F0184620C81F}">
    <sortState xmlns:xlrd2="http://schemas.microsoft.com/office/spreadsheetml/2017/richdata2" ref="A2:IY4">
      <sortCondition ref="AW1"/>
    </sortState>
  </autoFilter>
  <conditionalFormatting sqref="H1 CW1:GS1 IA1:IB1">
    <cfRule type="cellIs" dxfId="3680" priority="118" operator="greaterThan">
      <formula>0</formula>
    </cfRule>
  </conditionalFormatting>
  <conditionalFormatting sqref="H1 H7:H1048576 E6:P10">
    <cfRule type="cellIs" dxfId="3679" priority="84" stopIfTrue="1" operator="notEqual">
      <formula>""</formula>
    </cfRule>
  </conditionalFormatting>
  <conditionalFormatting sqref="T1:BK1">
    <cfRule type="cellIs" dxfId="3678" priority="121" operator="greaterThan">
      <formula>0</formula>
    </cfRule>
  </conditionalFormatting>
  <conditionalFormatting sqref="BV1:BW1 BV5:BW1048576">
    <cfRule type="cellIs" dxfId="3677" priority="120" operator="equal">
      <formula>"nc"</formula>
    </cfRule>
  </conditionalFormatting>
  <conditionalFormatting sqref="HF1:HG1">
    <cfRule type="cellIs" dxfId="3676" priority="122" operator="greaterThan">
      <formula>0</formula>
    </cfRule>
  </conditionalFormatting>
  <conditionalFormatting sqref="HK1">
    <cfRule type="cellIs" dxfId="3675" priority="119" operator="greaterThan">
      <formula>0</formula>
    </cfRule>
  </conditionalFormatting>
  <conditionalFormatting sqref="HP1:HX1">
    <cfRule type="cellIs" dxfId="3674" priority="96" operator="equal">
      <formula>"PIN"</formula>
    </cfRule>
    <cfRule type="cellIs" dxfId="3673" priority="97" operator="equal">
      <formula>"ORA"</formula>
    </cfRule>
    <cfRule type="cellIs" dxfId="3672" priority="98" operator="equal">
      <formula>"GRA"</formula>
    </cfRule>
    <cfRule type="cellIs" dxfId="3671" priority="99" operator="equal">
      <formula>"PUR"</formula>
    </cfRule>
    <cfRule type="cellIs" dxfId="3670" priority="100" operator="equal">
      <formula>"BRO"</formula>
    </cfRule>
    <cfRule type="cellIs" dxfId="3669" priority="101" operator="equal">
      <formula>"YEL"</formula>
    </cfRule>
    <cfRule type="cellIs" dxfId="3668" priority="102" operator="equal">
      <formula>"BLU"</formula>
    </cfRule>
    <cfRule type="cellIs" dxfId="3667" priority="103" operator="equal">
      <formula>"WHI"</formula>
    </cfRule>
    <cfRule type="cellIs" dxfId="3666" priority="104" operator="equal">
      <formula>"GRE"</formula>
    </cfRule>
    <cfRule type="cellIs" dxfId="3665" priority="105" operator="equal">
      <formula>"RED"</formula>
    </cfRule>
    <cfRule type="cellIs" dxfId="3664" priority="106" operator="equal">
      <formula>"BLA"</formula>
    </cfRule>
  </conditionalFormatting>
  <conditionalFormatting sqref="IC1:IK1">
    <cfRule type="cellIs" dxfId="3663" priority="107" operator="equal">
      <formula>"PIN"</formula>
    </cfRule>
    <cfRule type="cellIs" dxfId="3662" priority="108" operator="equal">
      <formula>"ORA"</formula>
    </cfRule>
    <cfRule type="cellIs" dxfId="3661" priority="109" operator="equal">
      <formula>"GRA"</formula>
    </cfRule>
    <cfRule type="cellIs" dxfId="3660" priority="110" operator="equal">
      <formula>"PUR"</formula>
    </cfRule>
    <cfRule type="cellIs" dxfId="3659" priority="111" operator="equal">
      <formula>"BRO"</formula>
    </cfRule>
    <cfRule type="cellIs" dxfId="3658" priority="112" operator="equal">
      <formula>"YEL"</formula>
    </cfRule>
    <cfRule type="cellIs" dxfId="3657" priority="113" operator="equal">
      <formula>"BLU"</formula>
    </cfRule>
    <cfRule type="cellIs" dxfId="3656" priority="114" operator="equal">
      <formula>"WHI"</formula>
    </cfRule>
    <cfRule type="cellIs" dxfId="3655" priority="115" operator="equal">
      <formula>"GRE"</formula>
    </cfRule>
    <cfRule type="cellIs" dxfId="3654" priority="116" operator="equal">
      <formula>"RED"</formula>
    </cfRule>
    <cfRule type="cellIs" dxfId="3653" priority="117" operator="equal">
      <formula>"BLA"</formula>
    </cfRule>
  </conditionalFormatting>
  <conditionalFormatting sqref="IO1:IW1">
    <cfRule type="cellIs" dxfId="3652" priority="85" operator="equal">
      <formula>"PIN"</formula>
    </cfRule>
    <cfRule type="cellIs" dxfId="3651" priority="86" operator="equal">
      <formula>"ORA"</formula>
    </cfRule>
    <cfRule type="cellIs" dxfId="3650" priority="87" operator="equal">
      <formula>"GRA"</formula>
    </cfRule>
    <cfRule type="cellIs" dxfId="3649" priority="88" operator="equal">
      <formula>"PUR"</formula>
    </cfRule>
    <cfRule type="cellIs" dxfId="3648" priority="89" operator="equal">
      <formula>"BRO"</formula>
    </cfRule>
    <cfRule type="cellIs" dxfId="3647" priority="90" operator="equal">
      <formula>"YEL"</formula>
    </cfRule>
    <cfRule type="cellIs" dxfId="3646" priority="91" operator="equal">
      <formula>"BLU"</formula>
    </cfRule>
    <cfRule type="cellIs" dxfId="3645" priority="92" operator="equal">
      <formula>"WHI"</formula>
    </cfRule>
    <cfRule type="cellIs" dxfId="3644" priority="93" operator="equal">
      <formula>"GRE"</formula>
    </cfRule>
    <cfRule type="cellIs" dxfId="3643" priority="94" operator="equal">
      <formula>"RED"</formula>
    </cfRule>
    <cfRule type="cellIs" dxfId="3642" priority="95" operator="equal">
      <formula>"BLA"</formula>
    </cfRule>
  </conditionalFormatting>
  <conditionalFormatting sqref="H3:H4">
    <cfRule type="cellIs" dxfId="3641" priority="76" stopIfTrue="1" operator="notEqual">
      <formula>""</formula>
    </cfRule>
  </conditionalFormatting>
  <conditionalFormatting sqref="R3:R4 CU3:CU4">
    <cfRule type="cellIs" dxfId="3640" priority="79" operator="greaterThan">
      <formula>0</formula>
    </cfRule>
  </conditionalFormatting>
  <conditionalFormatting sqref="T3:AS4 CH3:CS4">
    <cfRule type="cellIs" dxfId="3639" priority="73" stopIfTrue="1" operator="equal">
      <formula>"n"</formula>
    </cfRule>
    <cfRule type="cellIs" dxfId="3638" priority="74" stopIfTrue="1" operator="equal">
      <formula>"y"</formula>
    </cfRule>
    <cfRule type="cellIs" dxfId="3637" priority="75" operator="greaterThan">
      <formula>0</formula>
    </cfRule>
  </conditionalFormatting>
  <conditionalFormatting sqref="AZ3:BB4">
    <cfRule type="expression" dxfId="3636" priority="60">
      <formula>$AT3=0</formula>
    </cfRule>
  </conditionalFormatting>
  <conditionalFormatting sqref="CD3:CF4 BX3:CA4 AZ3:BU4">
    <cfRule type="cellIs" dxfId="3635" priority="61" operator="equal">
      <formula>"PIN"</formula>
    </cfRule>
    <cfRule type="cellIs" dxfId="3634" priority="62" operator="equal">
      <formula>"ORA"</formula>
    </cfRule>
    <cfRule type="cellIs" dxfId="3633" priority="63" operator="equal">
      <formula>"GRA"</formula>
    </cfRule>
    <cfRule type="cellIs" dxfId="3632" priority="64" operator="equal">
      <formula>"PUR"</formula>
    </cfRule>
    <cfRule type="cellIs" dxfId="3631" priority="65" operator="equal">
      <formula>"BRO"</formula>
    </cfRule>
    <cfRule type="cellIs" dxfId="3630" priority="66" operator="equal">
      <formula>"YEL"</formula>
    </cfRule>
    <cfRule type="cellIs" dxfId="3629" priority="67" operator="equal">
      <formula>"BLU"</formula>
    </cfRule>
    <cfRule type="cellIs" dxfId="3628" priority="68" operator="equal">
      <formula>"WHI"</formula>
    </cfRule>
    <cfRule type="cellIs" dxfId="3627" priority="69" operator="equal">
      <formula>"GRE"</formula>
    </cfRule>
    <cfRule type="cellIs" dxfId="3626" priority="70" operator="equal">
      <formula>"RED"</formula>
    </cfRule>
    <cfRule type="cellIs" dxfId="3625" priority="71" operator="equal">
      <formula>"BLA"</formula>
    </cfRule>
  </conditionalFormatting>
  <conditionalFormatting sqref="BV3:BV4">
    <cfRule type="cellIs" dxfId="3624" priority="78" operator="equal">
      <formula>"nc"</formula>
    </cfRule>
  </conditionalFormatting>
  <conditionalFormatting sqref="CD3:CF4 BX3:CA4">
    <cfRule type="cellIs" dxfId="3623" priority="77" operator="equal">
      <formula>"y"</formula>
    </cfRule>
  </conditionalFormatting>
  <conditionalFormatting sqref="CD3:CF4 BZ3:CA4">
    <cfRule type="cellIs" dxfId="3622" priority="72" operator="greaterThan">
      <formula>0</formula>
    </cfRule>
  </conditionalFormatting>
  <conditionalFormatting sqref="IC3:IK4">
    <cfRule type="expression" dxfId="3621" priority="59">
      <formula>$IL3&gt;0</formula>
    </cfRule>
  </conditionalFormatting>
  <conditionalFormatting sqref="IC3:IC4">
    <cfRule type="cellIs" dxfId="3620" priority="53" stopIfTrue="1" operator="greaterThan">
      <formula>0</formula>
    </cfRule>
  </conditionalFormatting>
  <conditionalFormatting sqref="ID3:ID4">
    <cfRule type="cellIs" dxfId="3619" priority="51" stopIfTrue="1" operator="greaterThan">
      <formula>0</formula>
    </cfRule>
  </conditionalFormatting>
  <conditionalFormatting sqref="II3:II4 IE3:IF4">
    <cfRule type="cellIs" dxfId="3618" priority="58" operator="greaterThan">
      <formula>0</formula>
    </cfRule>
  </conditionalFormatting>
  <conditionalFormatting sqref="II3:II4 IF3:IF4">
    <cfRule type="cellIs" dxfId="3617" priority="52" stopIfTrue="1" operator="greaterThan">
      <formula>0</formula>
    </cfRule>
  </conditionalFormatting>
  <conditionalFormatting sqref="IG3:IG4">
    <cfRule type="cellIs" dxfId="3616" priority="57" operator="greaterThan">
      <formula>0</formula>
    </cfRule>
  </conditionalFormatting>
  <conditionalFormatting sqref="IH3:II4">
    <cfRule type="cellIs" dxfId="3615" priority="56" operator="greaterThan">
      <formula>0</formula>
    </cfRule>
  </conditionalFormatting>
  <conditionalFormatting sqref="IJ3:IJ4">
    <cfRule type="cellIs" dxfId="3614" priority="55" operator="greaterThan">
      <formula>0</formula>
    </cfRule>
  </conditionalFormatting>
  <conditionalFormatting sqref="IK3:IK4">
    <cfRule type="cellIs" dxfId="3613" priority="54" operator="greaterThan">
      <formula>0</formula>
    </cfRule>
  </conditionalFormatting>
  <conditionalFormatting sqref="IF3:IF4">
    <cfRule type="cellIs" dxfId="3612" priority="50" stopIfTrue="1" operator="greaterThan">
      <formula>0</formula>
    </cfRule>
  </conditionalFormatting>
  <conditionalFormatting sqref="IM3:IM4">
    <cfRule type="cellIs" dxfId="3611" priority="49" operator="equal">
      <formula>0</formula>
    </cfRule>
  </conditionalFormatting>
  <conditionalFormatting sqref="BX3:CA4 CD3:CF4">
    <cfRule type="cellIs" dxfId="3610" priority="37" operator="equal">
      <formula>"y"</formula>
    </cfRule>
    <cfRule type="cellIs" dxfId="3609" priority="38" operator="equal">
      <formula>"PIN"</formula>
    </cfRule>
    <cfRule type="cellIs" dxfId="3608" priority="39" operator="equal">
      <formula>"ORA"</formula>
    </cfRule>
    <cfRule type="cellIs" dxfId="3607" priority="40" operator="equal">
      <formula>"GRA"</formula>
    </cfRule>
    <cfRule type="cellIs" dxfId="3606" priority="41" operator="equal">
      <formula>"PUR"</formula>
    </cfRule>
    <cfRule type="cellIs" dxfId="3605" priority="42" operator="equal">
      <formula>"BRO"</formula>
    </cfRule>
    <cfRule type="cellIs" dxfId="3604" priority="43" operator="equal">
      <formula>"YEL"</formula>
    </cfRule>
    <cfRule type="cellIs" dxfId="3603" priority="44" operator="equal">
      <formula>"BLU"</formula>
    </cfRule>
    <cfRule type="cellIs" dxfId="3602" priority="45" operator="equal">
      <formula>"WHI"</formula>
    </cfRule>
    <cfRule type="cellIs" dxfId="3601" priority="46" operator="equal">
      <formula>"GRE"</formula>
    </cfRule>
    <cfRule type="cellIs" dxfId="3600" priority="47" operator="equal">
      <formula>"RED"</formula>
    </cfRule>
    <cfRule type="cellIs" dxfId="3599" priority="48" operator="equal">
      <formula>"BLA"</formula>
    </cfRule>
  </conditionalFormatting>
  <conditionalFormatting sqref="AT3:AT4">
    <cfRule type="colorScale" priority="80">
      <colorScale>
        <cfvo type="min"/>
        <cfvo type="max"/>
        <color rgb="FFFCFCFF"/>
        <color theme="8" tint="0.39997558519241921"/>
      </colorScale>
    </cfRule>
  </conditionalFormatting>
  <conditionalFormatting sqref="S3:S4">
    <cfRule type="colorScale" priority="81">
      <colorScale>
        <cfvo type="min"/>
        <cfvo type="max"/>
        <color rgb="FFFCFCFF"/>
        <color rgb="FF754BFB"/>
      </colorScale>
    </cfRule>
  </conditionalFormatting>
  <conditionalFormatting sqref="J3:J4">
    <cfRule type="colorScale" priority="82">
      <colorScale>
        <cfvo type="min"/>
        <cfvo type="percentile" val="50"/>
        <cfvo type="max"/>
        <color rgb="FFF8696B"/>
        <color rgb="FFFFEB84"/>
        <color rgb="FF63BE7B"/>
      </colorScale>
    </cfRule>
  </conditionalFormatting>
  <conditionalFormatting sqref="CG3:CG4">
    <cfRule type="colorScale" priority="83">
      <colorScale>
        <cfvo type="min"/>
        <cfvo type="max"/>
        <color rgb="FFFCFCFF"/>
        <color rgb="FF63BE7B"/>
      </colorScale>
    </cfRule>
  </conditionalFormatting>
  <conditionalFormatting sqref="H2">
    <cfRule type="cellIs" dxfId="3598" priority="30" stopIfTrue="1" operator="notEqual">
      <formula>""</formula>
    </cfRule>
  </conditionalFormatting>
  <conditionalFormatting sqref="R2 CU2">
    <cfRule type="cellIs" dxfId="3597" priority="32" operator="greaterThan">
      <formula>0</formula>
    </cfRule>
  </conditionalFormatting>
  <conditionalFormatting sqref="T2:AS2 CH2:CS2">
    <cfRule type="cellIs" dxfId="3596" priority="27" stopIfTrue="1" operator="equal">
      <formula>"n"</formula>
    </cfRule>
    <cfRule type="cellIs" dxfId="3595" priority="28" stopIfTrue="1" operator="equal">
      <formula>"y"</formula>
    </cfRule>
    <cfRule type="cellIs" dxfId="3594" priority="29" operator="greaterThan">
      <formula>0</formula>
    </cfRule>
  </conditionalFormatting>
  <conditionalFormatting sqref="AZ2:BB2">
    <cfRule type="expression" dxfId="3593" priority="14">
      <formula>$AT2=0</formula>
    </cfRule>
  </conditionalFormatting>
  <conditionalFormatting sqref="AZ2:BU2">
    <cfRule type="cellIs" dxfId="3592" priority="15" operator="equal">
      <formula>"PIN"</formula>
    </cfRule>
    <cfRule type="cellIs" dxfId="3591" priority="16" operator="equal">
      <formula>"ORA"</formula>
    </cfRule>
    <cfRule type="cellIs" dxfId="3590" priority="17" operator="equal">
      <formula>"GRA"</formula>
    </cfRule>
    <cfRule type="cellIs" dxfId="3589" priority="18" operator="equal">
      <formula>"PUR"</formula>
    </cfRule>
    <cfRule type="cellIs" dxfId="3588" priority="19" operator="equal">
      <formula>"BRO"</formula>
    </cfRule>
    <cfRule type="cellIs" dxfId="3587" priority="20" operator="equal">
      <formula>"YEL"</formula>
    </cfRule>
    <cfRule type="cellIs" dxfId="3586" priority="21" operator="equal">
      <formula>"BLU"</formula>
    </cfRule>
    <cfRule type="cellIs" dxfId="3585" priority="22" operator="equal">
      <formula>"WHI"</formula>
    </cfRule>
    <cfRule type="cellIs" dxfId="3584" priority="23" operator="equal">
      <formula>"GRE"</formula>
    </cfRule>
    <cfRule type="cellIs" dxfId="3583" priority="24" operator="equal">
      <formula>"RED"</formula>
    </cfRule>
    <cfRule type="cellIs" dxfId="3582" priority="25" operator="equal">
      <formula>"BLA"</formula>
    </cfRule>
  </conditionalFormatting>
  <conditionalFormatting sqref="BV2">
    <cfRule type="cellIs" dxfId="3581" priority="31" operator="equal">
      <formula>"nc"</formula>
    </cfRule>
  </conditionalFormatting>
  <conditionalFormatting sqref="CD2:CF2 BZ2:CA2">
    <cfRule type="cellIs" dxfId="3580" priority="26" operator="greaterThan">
      <formula>0</formula>
    </cfRule>
  </conditionalFormatting>
  <conditionalFormatting sqref="IC2:IK2">
    <cfRule type="expression" dxfId="3579" priority="13">
      <formula>$IL2&gt;0</formula>
    </cfRule>
  </conditionalFormatting>
  <conditionalFormatting sqref="BX2:CA2 CD2:CF2">
    <cfRule type="cellIs" dxfId="3578" priority="1" operator="equal">
      <formula>"y"</formula>
    </cfRule>
    <cfRule type="cellIs" dxfId="3577" priority="2" operator="equal">
      <formula>"PIN"</formula>
    </cfRule>
    <cfRule type="cellIs" dxfId="3576" priority="3" operator="equal">
      <formula>"ORA"</formula>
    </cfRule>
    <cfRule type="cellIs" dxfId="3575" priority="4" operator="equal">
      <formula>"GRA"</formula>
    </cfRule>
    <cfRule type="cellIs" dxfId="3574" priority="5" operator="equal">
      <formula>"PUR"</formula>
    </cfRule>
    <cfRule type="cellIs" dxfId="3573" priority="6" operator="equal">
      <formula>"BRO"</formula>
    </cfRule>
    <cfRule type="cellIs" dxfId="3572" priority="7" operator="equal">
      <formula>"YEL"</formula>
    </cfRule>
    <cfRule type="cellIs" dxfId="3571" priority="8" operator="equal">
      <formula>"BLU"</formula>
    </cfRule>
    <cfRule type="cellIs" dxfId="3570" priority="9" operator="equal">
      <formula>"WHI"</formula>
    </cfRule>
    <cfRule type="cellIs" dxfId="3569" priority="10" operator="equal">
      <formula>"GRE"</formula>
    </cfRule>
    <cfRule type="cellIs" dxfId="3568" priority="11" operator="equal">
      <formula>"RED"</formula>
    </cfRule>
    <cfRule type="cellIs" dxfId="3567" priority="12" operator="equal">
      <formula>"BLA"</formula>
    </cfRule>
  </conditionalFormatting>
  <conditionalFormatting sqref="J2">
    <cfRule type="colorScale" priority="33">
      <colorScale>
        <cfvo type="min"/>
        <cfvo type="percentile" val="50"/>
        <cfvo type="max"/>
        <color rgb="FFF8696B"/>
        <color rgb="FFFFEB84"/>
        <color rgb="FF63BE7B"/>
      </colorScale>
    </cfRule>
  </conditionalFormatting>
  <conditionalFormatting sqref="S2">
    <cfRule type="colorScale" priority="34">
      <colorScale>
        <cfvo type="min"/>
        <cfvo type="max"/>
        <color rgb="FFFCFCFF"/>
        <color rgb="FF754BFB"/>
      </colorScale>
    </cfRule>
  </conditionalFormatting>
  <conditionalFormatting sqref="AT2">
    <cfRule type="colorScale" priority="35">
      <colorScale>
        <cfvo type="min"/>
        <cfvo type="max"/>
        <color rgb="FFFCFCFF"/>
        <color theme="8" tint="0.39997558519241921"/>
      </colorScale>
    </cfRule>
  </conditionalFormatting>
  <conditionalFormatting sqref="CG2">
    <cfRule type="colorScale" priority="36">
      <colorScale>
        <cfvo type="min"/>
        <cfvo type="max"/>
        <color rgb="FFFCFCFF"/>
        <color rgb="FF63BE7B"/>
      </colorScale>
    </cfRule>
  </conditionalFormatting>
  <hyperlinks>
    <hyperlink ref="I3" r:id="rId1" xr:uid="{A70E7ECF-5DA8-47FE-85F2-69D83B0CBF09}"/>
    <hyperlink ref="E3" r:id="rId2" xr:uid="{871317E3-2601-4F6F-B06E-79C3BB06564F}"/>
    <hyperlink ref="D3" r:id="rId3" xr:uid="{5C01F04D-9203-4349-847F-8A76F120A1B6}"/>
    <hyperlink ref="A2" r:id="rId4" display="https://fbref.com/en/country/LBY/Libya-Football" xr:uid="{F2621D22-A5FC-43EC-834F-6E2BB9EDE968}"/>
  </hyperlinks>
  <pageMargins left="0.7" right="0.7" top="0.75" bottom="0.75" header="0.3" footer="0.3"/>
  <pageSetup paperSize="9"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47105" r:id="rId8"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47106" r:id="rId9"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47107" r:id="rId10"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6EDE36-63FE-4A2F-B3A2-C0C546A21CB7}">
  <sheetPr codeName="Sheet58"/>
  <dimension ref="A1:IY6"/>
  <sheetViews>
    <sheetView zoomScale="70" zoomScaleNormal="70" workbookViewId="0">
      <pane xSplit="5" ySplit="1" topLeftCell="F2" activePane="bottomRight" state="frozen"/>
      <selection pane="topRight" activeCell="F1" sqref="F1"/>
      <selection pane="bottomLeft" activeCell="A2" sqref="A2"/>
      <selection pane="bottomRight" activeCell="A3" sqref="A3"/>
    </sheetView>
  </sheetViews>
  <sheetFormatPr defaultRowHeight="38.4" customHeight="1" x14ac:dyDescent="0.3"/>
  <cols>
    <col min="1" max="1" width="52.44140625" style="81" bestFit="1" customWidth="1"/>
    <col min="2" max="2" width="10.109375" style="81" customWidth="1"/>
    <col min="3" max="3" width="7.44140625" style="82" customWidth="1"/>
    <col min="4" max="4" width="4.77734375" style="83" customWidth="1"/>
    <col min="5" max="5" width="4.5546875" style="83" customWidth="1"/>
    <col min="6" max="6" width="5.77734375" style="83" customWidth="1"/>
    <col min="7" max="7" width="7.44140625" style="81" customWidth="1"/>
    <col min="8" max="8" width="11.44140625" style="81" customWidth="1"/>
    <col min="9" max="9" width="10" style="81" customWidth="1"/>
    <col min="10" max="10" width="4.21875" style="81" customWidth="1"/>
    <col min="11" max="11" width="5.6640625" style="83" customWidth="1"/>
    <col min="12" max="12" width="2.88671875" style="83" customWidth="1"/>
    <col min="13" max="13" width="6.44140625" style="83" customWidth="1"/>
    <col min="14" max="14" width="4.5546875" style="83" customWidth="1"/>
    <col min="15" max="15" width="10.5546875" style="84" customWidth="1"/>
    <col min="16" max="16" width="6.88671875" style="83" customWidth="1"/>
    <col min="17" max="17" width="4.77734375" style="83" customWidth="1"/>
    <col min="18" max="18" width="13.109375" style="82" customWidth="1"/>
    <col min="19" max="19" width="6.77734375" style="82" customWidth="1"/>
    <col min="20" max="46" width="8.44140625" style="81" customWidth="1"/>
    <col min="47" max="47" width="24.5546875" style="81" customWidth="1"/>
    <col min="48" max="51" width="16.6640625" style="81" customWidth="1"/>
    <col min="52" max="52" width="6.5546875" style="81" customWidth="1"/>
    <col min="53" max="54" width="5.88671875" style="81" customWidth="1"/>
    <col min="55" max="55" width="1.33203125" style="81" customWidth="1"/>
    <col min="56" max="56" width="7.44140625" style="81" customWidth="1"/>
    <col min="57" max="57" width="2.33203125" style="81" customWidth="1"/>
    <col min="58" max="62" width="6.109375" style="81" customWidth="1"/>
    <col min="63" max="63" width="2.33203125" style="81" customWidth="1"/>
    <col min="64" max="64" width="7" style="81" bestFit="1" customWidth="1"/>
    <col min="65" max="65" width="6.44140625" style="81" bestFit="1" customWidth="1"/>
    <col min="66" max="66" width="7.109375" style="81" bestFit="1" customWidth="1"/>
    <col min="67" max="71" width="6.44140625" style="81" bestFit="1" customWidth="1"/>
    <col min="72" max="73" width="6.44140625" style="81" customWidth="1"/>
    <col min="74" max="75" width="13.44140625" style="81" customWidth="1"/>
    <col min="76" max="84" width="14.6640625" style="81" customWidth="1"/>
    <col min="85" max="85" width="6.44140625" style="81" customWidth="1"/>
    <col min="86" max="87" width="11.6640625" style="81" bestFit="1" customWidth="1"/>
    <col min="88" max="88" width="11.6640625" style="81" customWidth="1"/>
    <col min="89" max="89" width="12.77734375" style="81" bestFit="1" customWidth="1"/>
    <col min="90" max="90" width="16.44140625" style="82" bestFit="1" customWidth="1"/>
    <col min="91" max="92" width="14.88671875" style="82" bestFit="1" customWidth="1"/>
    <col min="93" max="93" width="16" style="82" bestFit="1" customWidth="1"/>
    <col min="94" max="97" width="7.77734375" style="81" customWidth="1"/>
    <col min="98" max="98" width="33.21875" style="81" customWidth="1"/>
    <col min="99" max="99" width="18" style="81" customWidth="1"/>
    <col min="100" max="100" width="75.6640625" style="81" customWidth="1"/>
    <col min="101" max="125" width="33" style="81" customWidth="1"/>
    <col min="126" max="126" width="8.88671875" style="81"/>
    <col min="127" max="128" width="9.44140625" style="81" bestFit="1" customWidth="1"/>
    <col min="129" max="129" width="10.77734375" style="81" bestFit="1" customWidth="1"/>
    <col min="130" max="134" width="10.77734375" style="81" customWidth="1"/>
    <col min="135" max="135" width="10.109375" style="81" bestFit="1" customWidth="1"/>
    <col min="136" max="136" width="7.77734375" style="81" bestFit="1" customWidth="1"/>
    <col min="137" max="137" width="7.77734375" style="81" customWidth="1"/>
    <col min="138" max="138" width="9" style="81" bestFit="1" customWidth="1"/>
    <col min="139" max="139" width="11.33203125" style="81" bestFit="1" customWidth="1"/>
    <col min="140" max="140" width="9.109375" style="81" bestFit="1" customWidth="1"/>
    <col min="141" max="141" width="9" style="81" bestFit="1" customWidth="1"/>
    <col min="142" max="142" width="12" style="81" bestFit="1" customWidth="1"/>
    <col min="143" max="166" width="12" style="81" customWidth="1"/>
    <col min="167" max="167" width="17.21875" style="81" customWidth="1"/>
    <col min="168" max="191" width="12" style="81" customWidth="1"/>
    <col min="192" max="192" width="8.5546875" style="81" bestFit="1" customWidth="1"/>
    <col min="193" max="193" width="8.5546875" style="81" customWidth="1"/>
    <col min="194" max="194" width="7.109375" style="81" bestFit="1" customWidth="1"/>
    <col min="195" max="195" width="7.5546875" style="81" bestFit="1" customWidth="1"/>
    <col min="196" max="196" width="8.5546875" style="81" bestFit="1" customWidth="1"/>
    <col min="197" max="200" width="8.5546875" style="81" customWidth="1"/>
    <col min="201" max="201" width="188.88671875" style="81" customWidth="1"/>
    <col min="202" max="202" width="9.5546875" style="81" bestFit="1" customWidth="1"/>
    <col min="203" max="203" width="10.44140625" style="81" bestFit="1" customWidth="1"/>
    <col min="204" max="204" width="11.109375" style="81" bestFit="1" customWidth="1"/>
    <col min="205" max="205" width="10.44140625" style="81" bestFit="1" customWidth="1"/>
    <col min="206" max="210" width="10.44140625" style="81" customWidth="1"/>
    <col min="211" max="211" width="45.44140625" style="81" customWidth="1"/>
    <col min="212" max="212" width="47.5546875" style="81" bestFit="1" customWidth="1"/>
    <col min="213" max="213" width="9.33203125" style="85" customWidth="1"/>
    <col min="214" max="214" width="119.5546875" style="81" customWidth="1"/>
    <col min="215" max="215" width="69.6640625" style="81" customWidth="1"/>
    <col min="216" max="218" width="8.88671875" style="81"/>
    <col min="219" max="219" width="37.109375" style="81" customWidth="1"/>
    <col min="220" max="220" width="16.33203125" style="81" customWidth="1"/>
    <col min="221" max="222" width="8.88671875" style="81"/>
    <col min="223" max="223" width="10.109375" style="81" bestFit="1" customWidth="1"/>
    <col min="224" max="232" width="10.88671875" style="81" customWidth="1"/>
    <col min="233" max="234" width="30.77734375" style="81" customWidth="1"/>
    <col min="235" max="235" width="5.109375" style="81" customWidth="1"/>
    <col min="236" max="236" width="3" style="81" customWidth="1"/>
    <col min="237" max="245" width="6.77734375" style="86" customWidth="1"/>
    <col min="246" max="247" width="8.88671875" style="81"/>
    <col min="248" max="248" width="61.5546875" style="81" customWidth="1"/>
    <col min="249" max="253" width="8.88671875" style="81"/>
    <col min="254" max="254" width="9" style="81" customWidth="1"/>
    <col min="255" max="16384" width="8.88671875" style="8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873</v>
      </c>
      <c r="B2" s="40" t="e" vm="63">
        <v>#VALUE!</v>
      </c>
      <c r="C2" s="41">
        <v>1</v>
      </c>
      <c r="D2" s="42" t="s">
        <v>874</v>
      </c>
      <c r="E2" s="43" t="s">
        <v>875</v>
      </c>
      <c r="F2" s="44" t="s">
        <v>163</v>
      </c>
      <c r="G2" s="45">
        <f>COUNTIF($A$1:$A$8348,A2)</f>
        <v>1</v>
      </c>
      <c r="H2" s="46"/>
      <c r="I2" s="47" t="s">
        <v>876</v>
      </c>
      <c r="J2" s="48" t="str">
        <f>""</f>
        <v/>
      </c>
      <c r="K2" s="49">
        <v>2330000</v>
      </c>
      <c r="L2" s="50">
        <v>1140000</v>
      </c>
      <c r="M2" s="50" t="s">
        <v>885</v>
      </c>
      <c r="N2" s="51" t="s">
        <v>180</v>
      </c>
      <c r="O2" s="52" t="s">
        <v>687</v>
      </c>
      <c r="P2" s="53" t="s">
        <v>877</v>
      </c>
      <c r="Q2" s="54">
        <v>1</v>
      </c>
      <c r="R2" s="55" t="s">
        <v>180</v>
      </c>
      <c r="S2" s="56">
        <v>3</v>
      </c>
      <c r="T2" s="57" t="s">
        <v>164</v>
      </c>
      <c r="U2" s="58" t="s">
        <v>164</v>
      </c>
      <c r="V2" s="58" t="s">
        <v>167</v>
      </c>
      <c r="W2" s="58" t="s">
        <v>164</v>
      </c>
      <c r="X2" s="58" t="s">
        <v>164</v>
      </c>
      <c r="Y2" s="58" t="s">
        <v>164</v>
      </c>
      <c r="Z2" s="58" t="s">
        <v>164</v>
      </c>
      <c r="AA2" s="58" t="s">
        <v>164</v>
      </c>
      <c r="AB2" s="58" t="s">
        <v>164</v>
      </c>
      <c r="AC2" s="58" t="s">
        <v>164</v>
      </c>
      <c r="AD2" s="58" t="s">
        <v>164</v>
      </c>
      <c r="AE2" s="58" t="s">
        <v>164</v>
      </c>
      <c r="AF2" s="59" t="s">
        <v>164</v>
      </c>
      <c r="AG2" s="59" t="s">
        <v>167</v>
      </c>
      <c r="AH2" s="59" t="s">
        <v>167</v>
      </c>
      <c r="AI2" s="59" t="s">
        <v>164</v>
      </c>
      <c r="AJ2" s="59" t="s">
        <v>164</v>
      </c>
      <c r="AK2" s="59" t="s">
        <v>164</v>
      </c>
      <c r="AL2" s="59" t="s">
        <v>164</v>
      </c>
      <c r="AM2" s="59" t="s">
        <v>164</v>
      </c>
      <c r="AN2" s="59" t="s">
        <v>164</v>
      </c>
      <c r="AO2" s="59" t="s">
        <v>164</v>
      </c>
      <c r="AP2" s="59" t="s">
        <v>164</v>
      </c>
      <c r="AQ2" s="59" t="s">
        <v>167</v>
      </c>
      <c r="AR2" s="59" t="s">
        <v>164</v>
      </c>
      <c r="AS2" s="59" t="s">
        <v>164</v>
      </c>
      <c r="AT2" s="60">
        <v>0</v>
      </c>
      <c r="AU2" s="59"/>
      <c r="AV2" s="59" t="str">
        <f>IF(LEFT(A2,1)="[",LEFT(A2,5)&amp;AU2&amp;A2,"")</f>
        <v/>
      </c>
      <c r="AW2" s="59" t="str">
        <f t="shared" ref="AW2:AW3" si="0">C2&amp;H2&amp;A2</f>
        <v>1Lesotho</v>
      </c>
      <c r="AX2" s="61" t="str">
        <f>_xlfn.TEXTJOIN(";",TRUE,AU2:AW2)</f>
        <v>1Lesotho</v>
      </c>
      <c r="AY2" s="61"/>
      <c r="AZ2" s="62"/>
      <c r="BA2" s="62"/>
      <c r="BB2" s="62"/>
      <c r="BC2" s="63"/>
      <c r="BD2" s="64" t="s">
        <v>169</v>
      </c>
      <c r="BE2" s="47"/>
      <c r="BF2" s="64" t="s">
        <v>152</v>
      </c>
      <c r="BG2" s="64" t="s">
        <v>159</v>
      </c>
      <c r="BH2" s="64" t="s">
        <v>153</v>
      </c>
      <c r="BI2" s="64"/>
      <c r="BJ2" s="64"/>
      <c r="BK2" s="47"/>
      <c r="BL2" s="64" t="s">
        <v>153</v>
      </c>
      <c r="BM2" s="64" t="s">
        <v>159</v>
      </c>
      <c r="BN2" s="64" t="s">
        <v>152</v>
      </c>
      <c r="BO2" s="64" t="s">
        <v>151</v>
      </c>
      <c r="BP2" s="64"/>
      <c r="BQ2" s="64"/>
      <c r="BR2" s="64"/>
      <c r="BS2" s="64"/>
      <c r="BT2" s="64"/>
      <c r="BU2" s="65"/>
      <c r="BV2" s="66" t="s">
        <v>165</v>
      </c>
      <c r="BW2" s="66">
        <v>0</v>
      </c>
      <c r="BX2" s="47"/>
      <c r="BZ2" s="48" t="s">
        <v>167</v>
      </c>
      <c r="CB2" s="6" t="s">
        <v>878</v>
      </c>
      <c r="CC2" s="6"/>
      <c r="CD2" s="67">
        <v>0</v>
      </c>
      <c r="CE2" s="67">
        <v>0</v>
      </c>
      <c r="CF2" s="67" t="e">
        <v>#REF!</v>
      </c>
      <c r="CG2" s="68" cm="1">
        <f t="array" ref="CG2">SUMPRODUCT(--(LEN(TRIM(BL2:BT2))&gt;0))</f>
        <v>4</v>
      </c>
      <c r="CH2" s="59" t="str">
        <f>IF(CG2=2,"y","n")</f>
        <v>n</v>
      </c>
      <c r="CI2" s="59" t="str">
        <f>IF(CG2=3,"y","n")</f>
        <v>n</v>
      </c>
      <c r="CJ2" s="59" t="str">
        <f>IF(CG2=4,"y","n")</f>
        <v>y</v>
      </c>
      <c r="CK2" s="59" t="str">
        <f>IF(CG2&gt;4,"y","n")</f>
        <v>n</v>
      </c>
      <c r="CL2" s="59" t="str">
        <f>IF(S2=0,"y","n")</f>
        <v>n</v>
      </c>
      <c r="CM2" s="59" t="str">
        <f>IF(S2=2,"y","n")</f>
        <v>n</v>
      </c>
      <c r="CN2" s="59" t="str">
        <f>IF(S2=3,"y","n")</f>
        <v>y</v>
      </c>
      <c r="CO2" s="59" t="str">
        <f>IF(S2&gt;=4,"y","n")</f>
        <v>n</v>
      </c>
      <c r="CP2" s="59" t="str">
        <f>IF(AT2=0,"y","n")</f>
        <v>y</v>
      </c>
      <c r="CQ2" s="59" t="str">
        <f>IF(AT2=1,"y","n")</f>
        <v>n</v>
      </c>
      <c r="CR2" s="59" t="str">
        <f>IF(AT2=2,"y","n")</f>
        <v>n</v>
      </c>
      <c r="CS2" s="59" t="str">
        <f>IF(AT2&gt;=3,"y","n")</f>
        <v>n</v>
      </c>
      <c r="CT2" s="69" t="str">
        <f>CHAR(34)&amp;A2&amp;CHAR(34)</f>
        <v>"Lesotho"</v>
      </c>
      <c r="CU2" s="70" t="str">
        <f>CHAR(34)&amp;"rgn_"&amp;R2&amp;CHAR(34)</f>
        <v>"rgn_Africa"</v>
      </c>
      <c r="CV2" s="48" t="str">
        <f>CHAR(34)&amp;D2&amp;CHAR(34)</f>
        <v>"https://i.ibb.co/prd3xKW/Lesotho-Flag.png"</v>
      </c>
      <c r="CW2" s="48" t="str">
        <f>IF(CH2="y",CHAR(34)&amp;CH$1&amp;CHAR(34)&amp;",","")</f>
        <v/>
      </c>
      <c r="CX2" s="48" t="str">
        <f>IF(CI2="y",CHAR(34)&amp;CI$1&amp;CHAR(34)&amp;",","")</f>
        <v/>
      </c>
      <c r="CY2" s="48" t="str">
        <f>IF(CJ2="y",CHAR(34)&amp;CJ$1&amp;CHAR(34)&amp;",","")</f>
        <v>"4Color",</v>
      </c>
      <c r="CZ2" s="48" t="str">
        <f>IF(CK2="y",CHAR(34)&amp;CK$1&amp;CHAR(34)&amp;",","")</f>
        <v/>
      </c>
      <c r="DA2" s="48" t="str">
        <f>IF(Q2&gt;1,CHAR(34)&amp;"words2"&amp;CHAR(34)&amp;",","")</f>
        <v/>
      </c>
      <c r="DB2" s="48" t="str">
        <f>IF(Q2&gt;2,CHAR(34)&amp;"words3"&amp;CHAR(34)&amp;",","")</f>
        <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"lets07",</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"startL",</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
      </c>
      <c r="DP2" s="6" t="str">
        <f>IF(AND(ISNUMBER(SEARCH("20", O2)), ISERROR(SEARCH("1920", O2))), CHAR(34)&amp;"year00"&amp;CHAR(34)&amp;",", "")</f>
        <v>"year00",</v>
      </c>
      <c r="DQ2" s="6" t="str">
        <f>IF(CC2="y",CHAR(34)&amp;"soviet"&amp;CHAR(34)&amp;",","")</f>
        <v/>
      </c>
      <c r="DR2" s="6" t="str">
        <f>IF(BY2="y",CHAR(34)&amp;"dgband"&amp;CHAR(34)&amp;",","")</f>
        <v/>
      </c>
      <c r="DS2" s="6" t="str">
        <f>IF(W2="y",IF(AND(V2="n",BY2&lt;&gt;"y"),CHAR(34)&amp;"allver"&amp;CHAR(34)&amp;",",""),"")</f>
        <v/>
      </c>
      <c r="DT2" s="6" t="str">
        <f>IF(V2="y",IF(AND(W2="n",BY2&lt;&gt;"y"),CHAR(34)&amp;"allhor"&amp;CHAR(34)&amp;",",""),"")</f>
        <v>"allhor",</v>
      </c>
      <c r="DU2" s="6" t="str">
        <f>IF(BY2="y",IF(AND(W2="n",V2="n"),CHAR(34)&amp;"alldia"&amp;CHAR(34)&amp;",",""),"")</f>
        <v/>
      </c>
      <c r="DV2" s="48" t="str">
        <f>IF(IA2&lt;&gt;"",(IF(IA2="y",CHAR(34)&amp;"largec"&amp;CHAR(34)&amp;",",CHAR(34)&amp;"smallc"&amp;CHAR(34)&amp;",")),"")</f>
        <v/>
      </c>
      <c r="DW2" s="48" t="str">
        <f>IF(CL2="y",CHAR(34)&amp;CL$1&amp;CHAR(34)&amp;",","")</f>
        <v/>
      </c>
      <c r="DX2" s="48" t="str">
        <f>IF(CM2="y",CHAR(34)&amp;CM$1&amp;CHAR(34)&amp;",","")</f>
        <v/>
      </c>
      <c r="DY2" s="48" t="str">
        <f>IF(CN2="y",CHAR(34)&amp;CN$1&amp;CHAR(34)&amp;",","")</f>
        <v>"3Bands",</v>
      </c>
      <c r="DZ2" s="48" t="str">
        <f>IF(CO2="y",CHAR(34)&amp;CO$1&amp;CHAR(34)&amp;",","")</f>
        <v/>
      </c>
      <c r="EA2" s="48" t="str">
        <f>IF(T2="y",CHAR(34)&amp;T$1&amp;CHAR(34)&amp;",","")</f>
        <v/>
      </c>
      <c r="EB2" s="48" t="str">
        <f>IF(U2="y",CHAR(34)&amp;U$1&amp;CHAR(34)&amp;",","")</f>
        <v/>
      </c>
      <c r="EC2" s="48" t="str">
        <f>IF(V2="y",CHAR(34)&amp;V$1&amp;CHAR(34)&amp;",","")</f>
        <v>"Horizo",</v>
      </c>
      <c r="ED2" s="48" t="str">
        <f>IF(W2="y",CHAR(34)&amp;W$1&amp;CHAR(34)&amp;",","")</f>
        <v/>
      </c>
      <c r="EE2" s="48" t="str">
        <f>IF(X2="y",CHAR(34)&amp;X$1&amp;CHAR(34)&amp;",","")</f>
        <v/>
      </c>
      <c r="EF2" s="48" t="str">
        <f>IF(AND(Y2&lt;&gt;"n",Y2&lt;&gt;""),CHAR(34)&amp;Y$1&amp;CHAR(34)&amp;",","")</f>
        <v/>
      </c>
      <c r="EG2" s="48" t="str">
        <f>IF(Z2="y",CHAR(34)&amp;Z$1&amp;CHAR(34)&amp;",","")</f>
        <v/>
      </c>
      <c r="EH2" s="48" t="str">
        <f>IF(AA2="y",CHAR(34)&amp;AA$1&amp;CHAR(34)&amp;",","")</f>
        <v/>
      </c>
      <c r="EI2" s="48" t="str">
        <f>IF(AB2="y",CHAR(34)&amp;AB$1&amp;CHAR(34)&amp;",","")</f>
        <v/>
      </c>
      <c r="EJ2" s="48" t="str">
        <f>IF(AC2="y",CHAR(34)&amp;AC$1&amp;CHAR(34)&amp;",","")</f>
        <v/>
      </c>
      <c r="EK2" s="48" t="str">
        <f>IF(AD2="y",CHAR(34)&amp;AD$1&amp;CHAR(34)&amp;",","")</f>
        <v/>
      </c>
      <c r="EL2" s="48" t="str">
        <f>IF(AE2="y",CHAR(34)&amp;AE$1&amp;CHAR(34)&amp;",","")</f>
        <v/>
      </c>
      <c r="EM2" s="48" t="str">
        <f>IF(AF2="y",CHAR(34)&amp;AF$1&amp;CHAR(34)&amp;",","")</f>
        <v/>
      </c>
      <c r="EN2" s="48" t="str">
        <f>IF(AG2="y",CHAR(34)&amp;AG$1&amp;CHAR(34)&amp;",","")</f>
        <v>"Unequa",</v>
      </c>
      <c r="EO2" s="48" t="str">
        <f>IF(AH2="y",CHAR(34)&amp;AH$1&amp;CHAR(34)&amp;",","")</f>
        <v>"Center",</v>
      </c>
      <c r="EP2" s="48" t="str">
        <f>IF(AI2="y",CHAR(34)&amp;AI$1&amp;CHAR(34)&amp;",","")</f>
        <v/>
      </c>
      <c r="EQ2" s="48" t="str">
        <f>IF(AJ2="y",CHAR(34)&amp;AJ$1&amp;CHAR(34)&amp;",","")</f>
        <v/>
      </c>
      <c r="ER2" s="48" t="str">
        <f>IF(AK2="y",CHAR(34)&amp;AK$1&amp;CHAR(34)&amp;",","")</f>
        <v/>
      </c>
      <c r="ES2" s="48" t="str">
        <f>IF(AL2="y",CHAR(34)&amp;AL$1&amp;CHAR(34)&amp;",","")</f>
        <v/>
      </c>
      <c r="ET2" s="48" t="str">
        <f>IF(AM2="y",CHAR(34)&amp;AM$1&amp;CHAR(34)&amp;",","")</f>
        <v/>
      </c>
      <c r="EU2" s="48" t="str">
        <f>IF(AN2="y",CHAR(34)&amp;AN$1&amp;CHAR(34)&amp;",","")</f>
        <v/>
      </c>
      <c r="EV2" s="48" t="str">
        <f>IF(AO2="y",CHAR(34)&amp;AO$1&amp;CHAR(34)&amp;",","")</f>
        <v/>
      </c>
      <c r="EW2" s="48" t="str">
        <f>IF(AP2="y",CHAR(34)&amp;AP$1&amp;CHAR(34)&amp;",","")</f>
        <v/>
      </c>
      <c r="EX2" s="48" t="str">
        <f>IF(AQ2="y",CHAR(34)&amp;AQ$1&amp;CHAR(34)&amp;",","")</f>
        <v>"Crowns",</v>
      </c>
      <c r="EY2" s="48" t="str">
        <f>IF(AR2="y",CHAR(34)&amp;AR$1&amp;CHAR(34)&amp;",","")</f>
        <v/>
      </c>
      <c r="EZ2" s="48" t="str">
        <f>IF(AS2="y",CHAR(34)&amp;AS$1&amp;CHAR(34)&amp;",","")</f>
        <v/>
      </c>
      <c r="FA2" s="48" t="str">
        <f>IF(AT2&gt;0,CHAR(34)&amp;"sta"&amp;AZ2&amp;CHAR(34)&amp;",","")</f>
        <v/>
      </c>
      <c r="FB2" s="48" t="str">
        <f>IF(AND(AT2&gt;0,BA2&lt;&gt;""),CHAR(34)&amp;"sta"&amp;BA2&amp;CHAR(34)&amp;",","")</f>
        <v/>
      </c>
      <c r="FC2" s="48" t="str">
        <f>IF(AND(AT2&gt;0,BB2&lt;&gt;""),CHAR(34)&amp;"sta"&amp;BB2&amp;CHAR(34)&amp;",","")</f>
        <v/>
      </c>
      <c r="FD2" s="48" t="str">
        <f>IF(BV2="n",CHAR(34)&amp;"tcWHYE"&amp;CHAR(34)&amp;",",IF(BV2="y",CHAR(34)&amp;FD$1&amp;CHAR(34)&amp;",",""))</f>
        <v/>
      </c>
      <c r="FE2" s="48" t="str">
        <f>IF(COUNTIF(BL2:BT2,"BLU")=0,CHAR(34)&amp;"NO_BLU"&amp;CHAR(34)&amp;",", "")</f>
        <v/>
      </c>
      <c r="FF2" s="48" t="str">
        <f>IF(COUNTIF(BL2:BT2,"WHI")=0,CHAR(34)&amp;"NO_WHI"&amp;CHAR(34)&amp;",", "")</f>
        <v/>
      </c>
      <c r="FG2" s="48" t="str">
        <f>IF(COUNTIF(BL2:BT2,"RED")=0,CHAR(34)&amp;"NO_RED"&amp;CHAR(34)&amp;",", "")</f>
        <v>"NO_RED",</v>
      </c>
      <c r="FH2" s="48" t="str">
        <f>IF(COUNTIF(BL2:BS2,"GRE")=0,CHAR(34)&amp;"NO_GRE"&amp;CHAR(34)&amp;",", "")</f>
        <v/>
      </c>
      <c r="FI2" s="48" t="str">
        <f>IF(COUNTIF(BL2:BT2,"YEL")=0,CHAR(34)&amp;"NO_YEL"&amp;CHAR(34)&amp;",", "")</f>
        <v>"NO_YEL",</v>
      </c>
      <c r="FJ2" s="48" t="str">
        <f>IF(COUNTIF(BL2:BT2,"BLA")=0,CHAR(34)&amp;"NO_BLA"&amp;CHAR(34)&amp;",", "")</f>
        <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
      </c>
      <c r="FP2" s="48" t="str">
        <f>IF(AND(FF2&lt;&gt;"",FF2&lt;&gt;""),CHAR(34)&amp;"WHRENO"&amp;CHAR(34)&amp;",","")</f>
        <v/>
      </c>
      <c r="FQ2" s="48" t="str">
        <f>IF(LEN(BF2)=3,CHAR(34)&amp;"001"&amp;BF2&amp;CHAR(34)&amp;",","")</f>
        <v>"001BLU",</v>
      </c>
      <c r="FR2" s="48" t="str">
        <f>IF(LEN(BG2)=3,CHAR(34)&amp;"002"&amp;BG2&amp;CHAR(34)&amp;",","")</f>
        <v>"002WHI",</v>
      </c>
      <c r="FS2" s="48" t="str">
        <f>IF(LEN(BH2)=3,CHAR(34)&amp;"003"&amp;BH2&amp;CHAR(34)&amp;",","")</f>
        <v>"003GRE",</v>
      </c>
      <c r="FT2" s="48" t="str">
        <f>CHAR(34)&amp;"myr"&amp;BD2&amp;CHAR(34)&amp;","</f>
        <v>"myrEQ",</v>
      </c>
      <c r="FU2" s="48" t="str">
        <f>IF(AY2="y",CHAR(34)&amp;"island"&amp;CHAR(34)&amp;",","")</f>
        <v/>
      </c>
      <c r="FV2" s="48" t="str">
        <f>IF(BZ2="y",CHAR(34)&amp;"landlo"&amp;CHAR(34)&amp;",","")</f>
        <v>"landlo",</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"englis",</v>
      </c>
      <c r="GA2" s="48" t="str">
        <f>IFERROR(IF(SEARCH("French",CB2)&gt;0,CHAR(34)&amp;"french"&amp;CHAR(34)&amp;",",""),"")</f>
        <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"NoStar",</v>
      </c>
      <c r="GK2" s="48" t="str">
        <f>IF(GJ2="",CHAR(34)&amp;"HasSta"&amp;CHAR(34)&amp;",","")</f>
        <v/>
      </c>
      <c r="GL2" s="48" t="str">
        <f>IF(CQ2="y",CHAR(34)&amp;CQ$1&amp;CHAR(34)&amp;",","")</f>
        <v/>
      </c>
      <c r="GM2" s="48" t="str">
        <f>IF(CR2="y",CHAR(34)&amp;CR$1&amp;CHAR(34)&amp;",","")</f>
        <v/>
      </c>
      <c r="GN2" s="48" t="str">
        <f>IF(CS2="y",CHAR(34)&amp;CS$1&amp;CHAR(34)&amp;",","")</f>
        <v/>
      </c>
      <c r="GP2" s="48" t="str">
        <f>CHAR(34)&amp;AU2&amp;CHAR(34)</f>
        <v>""</v>
      </c>
      <c r="GS2" s="48" t="str">
        <f>SUBSTITUTE("["&amp;_xlfn.CONCAT(CW2:GN2)&amp;"]",",]","]")</f>
        <v>["4Color","lets07","startL","year00","allhor","3Bands","Horizo","Unequa","Center","Crowns","NO_RED","NO_YEL","001BLU","002WHI","003GRE","myrEQ","landlo","englis","NoStar"]</v>
      </c>
      <c r="GT2" s="48" t="str">
        <f>IF(BL2&lt;&gt;"",CHAR(34)&amp;"cl_"&amp;BL2&amp;CHAR(34)&amp;",","")</f>
        <v>"cl_GRE",</v>
      </c>
      <c r="GU2" s="48" t="str">
        <f>IF(BM2&lt;&gt;"",CHAR(34)&amp;"cl_"&amp;BM2&amp;CHAR(34)&amp;",","")</f>
        <v>"cl_WHI",</v>
      </c>
      <c r="GV2" s="48" t="str">
        <f>IF(BN2&lt;&gt;"",CHAR(34)&amp;"cl_"&amp;BN2&amp;CHAR(34)&amp;",","")</f>
        <v>"cl_BLU",</v>
      </c>
      <c r="GW2" s="48" t="str">
        <f>IF(BO2&lt;&gt;"",CHAR(34)&amp;"cl_"&amp;BO2&amp;CHAR(34)&amp;",","")</f>
        <v>"cl_BLA",</v>
      </c>
      <c r="GX2" s="48" t="str">
        <f>IF(BP2&lt;&gt;"",CHAR(34)&amp;"cl_"&amp;BP2&amp;CHAR(34)&amp;",","")</f>
        <v/>
      </c>
      <c r="GY2" s="48" t="str">
        <f>IF(BQ2&lt;&gt;"",CHAR(34)&amp;"cl_"&amp;BQ2&amp;CHAR(34)&amp;",","")</f>
        <v/>
      </c>
      <c r="GZ2" s="48" t="str">
        <f>IF(BR2&lt;&gt;"",CHAR(34)&amp;"cl_"&amp;BR2&amp;CHAR(34)&amp;",","")</f>
        <v/>
      </c>
      <c r="HA2" s="48" t="str">
        <f>IF(BS2&lt;&gt;"",CHAR(34)&amp;"cl_"&amp;BS2&amp;CHAR(34)&amp;",","")</f>
        <v/>
      </c>
      <c r="HB2" s="48" t="str">
        <f>IF(BT2&lt;&gt;"",CHAR(34)&amp;"cl_"&amp;BT2&amp;CHAR(34)&amp;",","")</f>
        <v/>
      </c>
      <c r="HC2" s="48" t="str">
        <f>SUBSTITUTE("["&amp;_xlfn.CONCAT(GT2:HB2)&amp;"]",",]","]")</f>
        <v>["cl_GRE","cl_WHI","cl_BLU","cl_BLA"]</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{couname:"Lesotho",year:"2006 ",region:"rgn_Africa",Colors:["cl_GRE","cl_WHI","cl_BLU","cl_BLA"],Items:["4Color","lets07","startL","year00","allhor","3Bands","Horizo","Unequa","Center","Crowns","NO_RED","NO_YEL","001BLU","002WHI","003GRE","myrEQ","landlo","englis","NoStar"],Flag:"https://i.ibb.co/prd3xKW/Lesotho-Flag.png",HDFlag:"https://upload.wikimedia.org/wikipedia/commons/thumb/4/4a/Flag_of_Lesotho.svg/2560px-Flag_of_Lesotho.svg.png",type:"", describe: "\nIn the center of the white band, there is a black Mokorotlo which is a Basotho hat. Basotho refers to the people of Lesotho. The blue color is symbolic of the sky and the rain, the white color is symbolic of peace, and the green color is symbolic of hope and prosperity. The design is intended to reflect a state that is both at peace internally and with its only neighbour South Africa, replacing the old flag design that featured a military emblem of a shield, spear and knobkerrie.", isnew:".", links: "https://en.wikipedia.org/wiki/Flag_of_Lesotho"},</v>
      </c>
      <c r="HG2" s="73" t="str">
        <f>"{couname:"&amp;CT2&amp;(IF(HK2&lt;&gt;"",",subtype:"&amp;CHAR(34)&amp;HK2&amp;CHAR(34),""))&amp;",year:"&amp;HJ2&amp;",region:"&amp;CU2&amp;",Colors:"&amp;HC2&amp;",Items:"&amp;GS2&amp;",Flag:"&amp;CV2&amp;",HDFlag:"&amp;CHAR(34)&amp;E2&amp;CHAR(34)&amp;",type:"&amp;GP2&amp;", describe: "&amp;HI2&amp;", links: "&amp;HL2&amp;"},"</f>
        <v>{couname:"Lesotho",year:"2006 ",region:"rgn_Africa",Colors:["cl_GRE","cl_WHI","cl_BLU","cl_BLA"],Items:["4Color","lets07","startL","year00","allhor","3Bands","Horizo","Unequa","Center","Crowns","NO_RED","NO_YEL","001BLU","002WHI","003GRE","myrEQ","landlo","englis","NoStar"],Flag:"https://i.ibb.co/prd3xKW/Lesotho-Flag.png",HDFlag:"https://upload.wikimedia.org/wikipedia/commons/thumb/4/4a/Flag_of_Lesotho.svg/2560px-Flag_of_Lesotho.svg.png",type:"", describe: "\nIn the center of the white band, there is a black Mokorotlo which is a Basotho hat. Basotho refers to the people of Lesotho. The blue color is symbolic of the sky and the rain, the white color is symbolic of peace, and the green color is symbolic of hope and prosperity. The design is intended to reflect a state that is both at peace internally and with its only neighbour South Africa, replacing the old flag design that featured a military emblem of a shield, spear and knobkerrie.", links: "https://en.wikipedia.org/wiki/Flag_of_Lesotho"},</v>
      </c>
      <c r="HH2" s="48" t="str">
        <f>IF(P2&lt;&gt;"",CHAR(34)&amp;"\n"&amp;P2&amp;CHAR(34),CHAR(34)&amp;CHAR(34))</f>
        <v>"\nIn the center of the white band, there is a black Mokorotlo which is a Basotho hat. Basotho refers to the people of Lesotho. The blue color is symbolic of the sky and the rain, the white color is symbolic of peace, and the green color is symbolic of hope and prosperity. The design is intended to reflect a state that is both at peace internally and with its only neighbour South Africa, replacing the old flag design that featured a military emblem of a shield, spear and knobkerrie."</v>
      </c>
      <c r="HI2" s="48" t="str">
        <f>IF(J2=0,CHAR(34)&amp;CHAR(34),HH2)</f>
        <v>"\nIn the center of the white band, there is a black Mokorotlo which is a Basotho hat. Basotho refers to the people of Lesotho. The blue color is symbolic of the sky and the rain, the white color is symbolic of peace, and the green color is symbolic of hope and prosperity. The design is intended to reflect a state that is both at peace internally and with its only neighbour South Africa, replacing the old flag design that featured a military emblem of a shield, spear and knobkerrie."</v>
      </c>
      <c r="HJ2" s="48" t="str">
        <f>CHAR(34)&amp;O2&amp;CHAR(34)</f>
        <v>"2006 "</v>
      </c>
      <c r="HL2" s="48" t="str">
        <f>CHAR(34)&amp;I2&amp;CHAR(34)</f>
        <v>"https://en.wikipedia.org/wiki/Flag_of_Lesotho"</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{"couname":"Lesotho","year":"2006 ","region":"rgn_Africa","Colors":["cl_GRE","cl_WHI","cl_BLU","cl_BLA"],"Items":["4Color","lets07","startL","year00","allhor","3Bands","Horizo","Unequa","Center","Crowns","NO_RED","NO_YEL","001BLU","002WHI","003GRE","myrEQ","landlo","englis","NoStar"],"Flag":"https://i.ibb.co/prd3xKW/Lesotho-Flag.png","HDFlag":"https://upload.wikimedia.org/wikipedia/commons/thumb/4/4a/Flag_of_Lesotho.svg/2560px-Flag_of_Lesotho.svg.png","type":"", "describe": "\nIn the center of the white band, there is a black Mokorotlo which is a Basotho hat. Basotho refers to the people of Lesotho. The blue color is symbolic of the sky and the rain, the white color is symbolic of peace, and the green color is symbolic of hope and prosperity. The design is intended to reflect a state that is both at peace internally and with its only neighbour South Africa, replacing the old flag design that featured a military emblem of a shield, spear and knobkerrie.", "isnew": ".", "links": "https://en.wikipedia.org/wiki/Flag_of_Lesotho"},</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{"couname":"Lesotho","year":"2006 ","region":"rgn_Africa","Colors":["cl_GRE","cl_WHI","cl_BLU","cl_BLA"],"Items":["4Color","lets07","startL","year00","allhor","3Bands","Horizo","Unequa","Center","Crowns","NO_RED","NO_YEL","001BLU","002WHI","003GRE","myrEQ","landlo","englis","NoStar"],"Flag":"https://i.ibb.co/prd3xKW/Lesotho-Flag.png","HDFlag":"https://upload.wikimedia.org/wikipedia/commons/thumb/4/4a/Flag_of_Lesotho.svg/2560px-Flag_of_Lesotho.svg.png","type":"", "describe": "\nIn the center of the white band, there is a black Mokorotlo which is a Basotho hat. Basotho refers to the people of Lesotho. The blue color is symbolic of the sky and the rain, the white color is symbolic of peace, and the green color is symbolic of hope and prosperity. The design is intended to reflect a state that is both at peace internally and with its only neighbour South Africa, replacing the old flag design that featured a military emblem of a shield, spear and knobkerrie.", "isnew": ".", "links": "https://en.wikipedia.org/wiki/Flag_of_Lesotho"},</v>
      </c>
      <c r="HO2" s="75"/>
      <c r="HP2" s="48" t="str" cm="1">
        <f t="array" ref="HP2">IF(_xlfn.TEXTJOIN(", ", TRUE, IF(ISNUMBER(SEARCH("BLA", BL2:BT2)), COLUMN(BL2:BT2) - COLUMN(BL2) + 1, ""))&lt;&gt;"","BLA","")</f>
        <v>BLA</v>
      </c>
      <c r="HQ2" s="48" t="str" cm="1">
        <f t="array" ref="HQ2">IF(_xlfn.TEXTJOIN(", ", TRUE, IF(ISNUMBER(SEARCH("BLU", BL2:BT2)), COLUMN(BL2:BT2) - COLUMN(BL2) + 1, ""))&lt;&gt;"","BLU","")</f>
        <v>BLU</v>
      </c>
      <c r="HR2" s="48" t="str" cm="1">
        <f t="array" ref="HR2">IF(_xlfn.TEXTJOIN(", ", TRUE, IF(ISNUMBER(SEARCH("GRE", BL2:BT2)), COLUMN(BL2:BT2) - COLUMN(BL2) + 1, ""))&lt;&gt;"","GRE","")</f>
        <v>GRE</v>
      </c>
      <c r="HS2" s="48" t="str" cm="1">
        <f t="array" ref="HS2">IF(_xlfn.TEXTJOIN(", ", TRUE, IF(ISNUMBER(SEARCH("RED", BL2:BT2)), COLUMN(BL2:BT2) - COLUMN(BL2) + 1, ""))&lt;&gt;"","RED","")</f>
        <v/>
      </c>
      <c r="HT2" s="48" t="str" cm="1">
        <f t="array" ref="HT2">IF(_xlfn.TEXTJOIN(", ", TRUE, IF(ISNUMBER(SEARCH("YEL", BL2:BT2)), COLUMN(BL2:BT2) - COLUMN(BL2) + 1, ""))&lt;&gt;"","YEL","")</f>
        <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c r="IB2" s="6"/>
      <c r="IC2" s="77"/>
      <c r="ID2" s="77"/>
      <c r="IE2" s="77"/>
      <c r="IF2" s="77"/>
      <c r="IG2" s="77"/>
      <c r="IH2" s="77"/>
      <c r="II2" s="77"/>
      <c r="IJ2" s="77"/>
      <c r="IK2" s="77"/>
      <c r="IL2" s="48">
        <f>SUM(IC2:IK2)</f>
        <v>0</v>
      </c>
      <c r="IM2" s="45">
        <f>COUNTIF(IC2:IK2,"&gt;0")-CG2</f>
        <v>-4</v>
      </c>
      <c r="IN2" s="78" t="str">
        <f>"http://mkweb.bcgsc.ca/color-summarizer/?url="&amp;D2&amp;"&amp;precision=low&amp;num_clusters="&amp;CG2&amp;"&amp;text=1"</f>
        <v>http://mkweb.bcgsc.ca/color-summarizer/?url=https://i.ibb.co/prd3xKW/Lesotho-Flag.png&amp;precision=low&amp;num_clusters=4&amp;text=1</v>
      </c>
      <c r="IO2" s="48" t="str">
        <f>IF(HP2&lt;&gt;"",CHAR(34)&amp;"black"&amp;CHAR(34),"")</f>
        <v>"black"</v>
      </c>
      <c r="IP2" s="48" t="str">
        <f>IF(HQ2&lt;&gt;"",CHAR(34)&amp;"blue"&amp;CHAR(34),"")</f>
        <v>"blue"</v>
      </c>
      <c r="IQ2" s="48" t="str">
        <f>IF(HR2&lt;&gt;"",CHAR(34)&amp;"green"&amp;CHAR(34),"")</f>
        <v>"green"</v>
      </c>
      <c r="IR2" s="48" t="str">
        <f>IF(HS2&lt;&gt;"",CHAR(34)&amp;"red"&amp;CHAR(34),"")</f>
        <v/>
      </c>
      <c r="IS2" s="48" t="str">
        <f>IF(HT2&lt;&gt;"",CHAR(34)&amp;"yellow"&amp;CHAR(34),"")</f>
        <v/>
      </c>
      <c r="IT2" s="48" t="str">
        <f>IF(HU2&lt;&gt;"",CHAR(34)&amp;"orange"&amp;CHAR(34),"")</f>
        <v/>
      </c>
      <c r="IU2" s="48" t="str">
        <f>IF(HV2&lt;&gt;"",CHAR(34)&amp;"brown"&amp;CHAR(34),"")</f>
        <v/>
      </c>
      <c r="IV2" s="48" t="str">
        <f>IF(HW2&lt;&gt;"",CHAR(34)&amp;"purple"&amp;CHAR(34),"")</f>
        <v/>
      </c>
      <c r="IW2" s="48" t="str">
        <f>IF(HX2&lt;&gt;"",CHAR(34)&amp;"white"&amp;CHAR(34),"")</f>
        <v>"white"</v>
      </c>
      <c r="IX2" s="48" t="str">
        <f>"{"&amp;CHAR(34)&amp;"url"&amp;CHAR(34)&amp;":"&amp;CHAR(34)&amp;IN2&amp;CHAR(34)&amp;","&amp;CHAR(34)&amp;"name"&amp;CHAR(34)&amp;":"&amp;CHAR(34)&amp;A2&amp;CHAR(34)&amp;"},"</f>
        <v>{"url":"http://mkweb.bcgsc.ca/color-summarizer/?url=https://i.ibb.co/prd3xKW/Lesotho-Flag.png&amp;precision=low&amp;num_clusters=4&amp;text=1","name":"Lesotho"},</v>
      </c>
      <c r="IY2" s="48">
        <v>121</v>
      </c>
    </row>
    <row r="3" spans="1:259" s="48" customFormat="1" ht="38.4" customHeight="1" thickBot="1" x14ac:dyDescent="0.35">
      <c r="A3" s="80" t="s">
        <v>879</v>
      </c>
      <c r="B3" s="40" t="e" vm="64">
        <v>#VALUE!</v>
      </c>
      <c r="C3" s="41" t="s">
        <v>173</v>
      </c>
      <c r="D3" s="42" t="s">
        <v>880</v>
      </c>
      <c r="E3" s="43" t="s">
        <v>881</v>
      </c>
      <c r="F3" s="44" t="s">
        <v>163</v>
      </c>
      <c r="G3" s="45">
        <f>COUNTIF($A$1:$A$8351,A3)</f>
        <v>1</v>
      </c>
      <c r="H3" s="46" t="s">
        <v>884</v>
      </c>
      <c r="I3" s="47" t="s">
        <v>876</v>
      </c>
      <c r="J3" s="48" t="str">
        <f>""</f>
        <v/>
      </c>
      <c r="K3" s="49"/>
      <c r="L3" s="50"/>
      <c r="M3" s="50"/>
      <c r="N3" s="51" t="s">
        <v>180</v>
      </c>
      <c r="O3" s="52" t="s">
        <v>882</v>
      </c>
      <c r="P3" s="53" t="s">
        <v>883</v>
      </c>
      <c r="Q3" s="54">
        <v>1</v>
      </c>
      <c r="R3" s="55" t="s">
        <v>180</v>
      </c>
      <c r="S3" s="56">
        <v>3</v>
      </c>
      <c r="T3" s="57" t="s">
        <v>164</v>
      </c>
      <c r="U3" s="58" t="s">
        <v>164</v>
      </c>
      <c r="V3" s="58" t="s">
        <v>164</v>
      </c>
      <c r="W3" s="58" t="s">
        <v>167</v>
      </c>
      <c r="X3" s="58" t="s">
        <v>164</v>
      </c>
      <c r="Y3" s="58" t="s">
        <v>164</v>
      </c>
      <c r="Z3" s="58" t="s">
        <v>164</v>
      </c>
      <c r="AA3" s="58" t="s">
        <v>164</v>
      </c>
      <c r="AB3" s="58" t="s">
        <v>164</v>
      </c>
      <c r="AC3" s="58" t="s">
        <v>164</v>
      </c>
      <c r="AD3" s="58" t="s">
        <v>164</v>
      </c>
      <c r="AE3" s="58" t="s">
        <v>164</v>
      </c>
      <c r="AF3" s="59" t="s">
        <v>164</v>
      </c>
      <c r="AG3" s="59" t="s">
        <v>164</v>
      </c>
      <c r="AH3" s="59" t="s">
        <v>164</v>
      </c>
      <c r="AI3" s="59" t="s">
        <v>164</v>
      </c>
      <c r="AJ3" s="59" t="s">
        <v>164</v>
      </c>
      <c r="AK3" s="59" t="s">
        <v>164</v>
      </c>
      <c r="AL3" s="59" t="s">
        <v>164</v>
      </c>
      <c r="AM3" s="59" t="s">
        <v>164</v>
      </c>
      <c r="AN3" s="59" t="s">
        <v>164</v>
      </c>
      <c r="AO3" s="59" t="s">
        <v>164</v>
      </c>
      <c r="AP3" s="59" t="s">
        <v>164</v>
      </c>
      <c r="AQ3" s="59" t="s">
        <v>167</v>
      </c>
      <c r="AR3" s="59" t="s">
        <v>164</v>
      </c>
      <c r="AS3" s="59" t="s">
        <v>164</v>
      </c>
      <c r="AT3" s="60">
        <v>0</v>
      </c>
      <c r="AU3" s="59" t="s">
        <v>174</v>
      </c>
      <c r="AV3" s="59" t="str">
        <f>IF(LEFT(A3,1)="[",LEFT(A3,5)&amp;AU3&amp;A3,"")</f>
        <v>[LSO]Historical[LSO] Lesotho (1966-1987)</v>
      </c>
      <c r="AW3" s="59" t="str">
        <f t="shared" si="0"/>
        <v>3b[LSO] Other[LSO] Lesotho (1966-1987)</v>
      </c>
      <c r="AX3" s="61"/>
      <c r="AY3" s="61"/>
      <c r="AZ3" s="62"/>
      <c r="BA3" s="62"/>
      <c r="BB3" s="62"/>
      <c r="BC3" s="63"/>
      <c r="BD3" s="64" t="s">
        <v>152</v>
      </c>
      <c r="BE3" s="47"/>
      <c r="BF3" s="64" t="s">
        <v>153</v>
      </c>
      <c r="BG3" s="64" t="s">
        <v>154</v>
      </c>
      <c r="BH3" s="64" t="s">
        <v>152</v>
      </c>
      <c r="BI3" s="64"/>
      <c r="BJ3" s="64"/>
      <c r="BK3" s="47"/>
      <c r="BL3" s="64" t="s">
        <v>153</v>
      </c>
      <c r="BM3" s="64" t="s">
        <v>154</v>
      </c>
      <c r="BN3" s="64" t="s">
        <v>159</v>
      </c>
      <c r="BO3" s="64" t="s">
        <v>152</v>
      </c>
      <c r="BP3" s="64"/>
      <c r="BQ3" s="64"/>
      <c r="BR3" s="64"/>
      <c r="BS3" s="64"/>
      <c r="BT3" s="64"/>
      <c r="BU3" s="65"/>
      <c r="BV3" s="66"/>
      <c r="BW3" s="66">
        <v>0</v>
      </c>
      <c r="BX3" s="47"/>
      <c r="CB3" s="6"/>
      <c r="CC3" s="6"/>
      <c r="CD3" s="67">
        <v>0</v>
      </c>
      <c r="CE3" s="67">
        <v>0</v>
      </c>
      <c r="CF3" s="67" t="e">
        <v>#REF!</v>
      </c>
      <c r="CG3" s="68" cm="1">
        <f t="array" ref="CG3">SUMPRODUCT(--(LEN(TRIM(BL3:BT3))&gt;0))</f>
        <v>4</v>
      </c>
      <c r="CH3" s="59" t="str">
        <f>IF(CG3=2,"y","n")</f>
        <v>n</v>
      </c>
      <c r="CI3" s="59" t="str">
        <f>IF(CG3=3,"y","n")</f>
        <v>n</v>
      </c>
      <c r="CJ3" s="59" t="str">
        <f>IF(CG3=4,"y","n")</f>
        <v>y</v>
      </c>
      <c r="CK3" s="59" t="str">
        <f>IF(CG3&gt;4,"y","n")</f>
        <v>n</v>
      </c>
      <c r="CL3" s="59" t="str">
        <f>IF(S3=0,"y","n")</f>
        <v>n</v>
      </c>
      <c r="CM3" s="59" t="str">
        <f>IF(S3=2,"y","n")</f>
        <v>n</v>
      </c>
      <c r="CN3" s="59" t="str">
        <f>IF(S3=3,"y","n")</f>
        <v>y</v>
      </c>
      <c r="CO3" s="59" t="str">
        <f>IF(S3&gt;=4,"y","n")</f>
        <v>n</v>
      </c>
      <c r="CP3" s="59" t="str">
        <f>IF(AT3=0,"y","n")</f>
        <v>y</v>
      </c>
      <c r="CQ3" s="59" t="str">
        <f>IF(AT3=1,"y","n")</f>
        <v>n</v>
      </c>
      <c r="CR3" s="59" t="str">
        <f>IF(AT3=2,"y","n")</f>
        <v>n</v>
      </c>
      <c r="CS3" s="59" t="str">
        <f>IF(AT3&gt;=3,"y","n")</f>
        <v>n</v>
      </c>
      <c r="CT3" s="69" t="str">
        <f>CHAR(34)&amp;A3&amp;CHAR(34)</f>
        <v>"[LSO] Lesotho (1966-1987)"</v>
      </c>
      <c r="CU3" s="70" t="str">
        <f>CHAR(34)&amp;"rgn_"&amp;R3&amp;CHAR(34)</f>
        <v>"rgn_Africa"</v>
      </c>
      <c r="CV3" s="48" t="str">
        <f>CHAR(34)&amp;D3&amp;CHAR(34)</f>
        <v>"https://upload.wikimedia.org/wikipedia/commons/thumb/9/92/Flag_of_Lesotho_%281966%E2%80%931987%29.svg/640px-Flag_of_Lesotho_%281966%E2%80%931987%29.svg.png"</v>
      </c>
      <c r="CW3" s="48" t="str">
        <f>IF(CH3="y",CHAR(34)&amp;CH$1&amp;CHAR(34)&amp;",","")</f>
        <v/>
      </c>
      <c r="CX3" s="48" t="str">
        <f>IF(CI3="y",CHAR(34)&amp;CI$1&amp;CHAR(34)&amp;",","")</f>
        <v/>
      </c>
      <c r="CY3" s="48" t="str">
        <f>IF(CJ3="y",CHAR(34)&amp;CJ$1&amp;CHAR(34)&amp;",","")</f>
        <v>"4Color",</v>
      </c>
      <c r="CZ3" s="48" t="str">
        <f>IF(CK3="y",CHAR(34)&amp;CK$1&amp;CHAR(34)&amp;",","")</f>
        <v/>
      </c>
      <c r="DA3" s="48" t="str">
        <f>IF(Q3&gt;1,CHAR(34)&amp;"words2"&amp;CHAR(34)&amp;",","")</f>
        <v/>
      </c>
      <c r="DB3" s="48" t="str">
        <f>IF(Q3&gt;2,CHAR(34)&amp;"words3"&amp;CHAR(34)&amp;",","")</f>
        <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"lets17",</v>
      </c>
      <c r="DE3" s="48" t="str">
        <f>CHAR(34)&amp;"start"&amp;IFERROR(LEFT(SUBSTITUTE(A3,"["&amp;MID(A3,FIND("[",A3)+1,FIND("]",A3)-FIND("[",A3)-1)&amp;"] ",""),1),LEFT(A3,1))&amp;CHAR(34)&amp;","</f>
        <v>"startL",</v>
      </c>
      <c r="DF3" s="48" t="str">
        <f>IFERROR(IF(SEARCH("tan",A3)&gt;0,CHAR(34)&amp;"withtn"&amp;CHAR(34)&amp;",",""),"")</f>
        <v/>
      </c>
      <c r="DG3" s="48" t="str">
        <f>IFERROR(IF(SEARCH("q",A3)&gt;0,CHAR(34)&amp;"with_q"&amp;CHAR(34)&amp;",",""),"")</f>
        <v/>
      </c>
      <c r="DH3" s="48" t="str">
        <f>IFERROR(IF(SEARCH("v",A3)&gt;0,CHAR(34)&amp;"with_v"&amp;CHAR(34)&amp;",",""),"")</f>
        <v/>
      </c>
      <c r="DI3" s="48" t="str">
        <f>IFERROR(IF(SEARCH("w",A3)&gt;0,CHAR(34)&amp;"with_w"&amp;CHAR(34)&amp;",",""),"")</f>
        <v/>
      </c>
      <c r="DJ3" s="48" t="str">
        <f>IFERROR(IF(SEARCH("y",A3)&gt;0,CHAR(34)&amp;"with_y"&amp;CHAR(34)&amp;",",""),"")</f>
        <v/>
      </c>
      <c r="DK3" s="48" t="str">
        <f>IFERROR(IF(SEARCH("z",A3)&gt;0,CHAR(34)&amp;"with_z"&amp;CHAR(34)&amp;",",""),"")</f>
        <v/>
      </c>
      <c r="DL3" s="48" t="str">
        <f>IF(CG3=2, CHAR(34) &amp; _xlfn.TEXTJOIN("", TRUE, _xlfn._xlws.SORT(HP3:HX3)) &amp; CHAR(34) &amp; ",", "")</f>
        <v/>
      </c>
      <c r="DM3" s="48" t="str" cm="1">
        <f t="array" ref="DM3">IF(CG3=3,CHAR(34) &amp; _xlfn.TEXTJOIN("", TRUE, RIGHT(HP3:HX3, 2)) &amp; CHAR(34) &amp; ",", "")</f>
        <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"year19",</v>
      </c>
      <c r="DP3" s="6" t="str">
        <f>IF(AND(ISNUMBER(SEARCH("20", O3)), ISERROR(SEARCH("1920", O3))), CHAR(34)&amp;"year00"&amp;CHAR(34)&amp;",", "")</f>
        <v/>
      </c>
      <c r="DQ3" s="6" t="str">
        <f>IF(CC3="y",CHAR(34)&amp;"soviet"&amp;CHAR(34)&amp;",","")</f>
        <v/>
      </c>
      <c r="DR3" s="6" t="str">
        <f>IF(BY3="y",CHAR(34)&amp;"dgband"&amp;CHAR(34)&amp;",","")</f>
        <v/>
      </c>
      <c r="DS3" s="6" t="str">
        <f>IF(W3="y",IF(AND(V3="n",BY3&lt;&gt;"y"),CHAR(34)&amp;"allver"&amp;CHAR(34)&amp;",",""),"")</f>
        <v>"allver",</v>
      </c>
      <c r="DT3" s="6" t="str">
        <f>IF(V3="y",IF(AND(W3="n",BY3&lt;&gt;"y"),CHAR(34)&amp;"allhor"&amp;CHAR(34)&amp;",",""),"")</f>
        <v/>
      </c>
      <c r="DU3" s="6" t="str">
        <f>IF(BY3="y",IF(AND(W3="n",V3="n"),CHAR(34)&amp;"alldia"&amp;CHAR(34)&amp;",",""),"")</f>
        <v/>
      </c>
      <c r="DW3" s="48" t="str">
        <f>IF(CL3="y",CHAR(34)&amp;CL$1&amp;CHAR(34)&amp;",","")</f>
        <v/>
      </c>
      <c r="DX3" s="48" t="str">
        <f>IF(CM3="y",CHAR(34)&amp;CM$1&amp;CHAR(34)&amp;",","")</f>
        <v/>
      </c>
      <c r="DY3" s="48" t="str">
        <f>IF(CN3="y",CHAR(34)&amp;CN$1&amp;CHAR(34)&amp;",","")</f>
        <v>"3Bands",</v>
      </c>
      <c r="DZ3" s="48" t="str">
        <f>IF(CO3="y",CHAR(34)&amp;CO$1&amp;CHAR(34)&amp;",","")</f>
        <v/>
      </c>
      <c r="EA3" s="48" t="str">
        <f>IF(T3="y",CHAR(34)&amp;T$1&amp;CHAR(34)&amp;",","")</f>
        <v/>
      </c>
      <c r="EB3" s="48" t="str">
        <f>IF(U3="y",CHAR(34)&amp;U$1&amp;CHAR(34)&amp;",","")</f>
        <v/>
      </c>
      <c r="EC3" s="48" t="str">
        <f>IF(V3="y",CHAR(34)&amp;V$1&amp;CHAR(34)&amp;",","")</f>
        <v/>
      </c>
      <c r="ED3" s="48" t="str">
        <f>IF(W3="y",CHAR(34)&amp;W$1&amp;CHAR(34)&amp;",","")</f>
        <v>"Vertic",</v>
      </c>
      <c r="EE3" s="48" t="str">
        <f>IF(X3="y",CHAR(34)&amp;X$1&amp;CHAR(34)&amp;",","")</f>
        <v/>
      </c>
      <c r="EF3" s="48" t="str">
        <f>IF(AND(Y3&lt;&gt;"n",Y3&lt;&gt;""),CHAR(34)&amp;Y$1&amp;CHAR(34)&amp;",","")</f>
        <v/>
      </c>
      <c r="EG3" s="48" t="str">
        <f>IF(Z3="y",CHAR(34)&amp;Z$1&amp;CHAR(34)&amp;",","")</f>
        <v/>
      </c>
      <c r="EH3" s="48" t="str">
        <f>IF(AA3="y",CHAR(34)&amp;AA$1&amp;CHAR(34)&amp;",","")</f>
        <v/>
      </c>
      <c r="EI3" s="48" t="str">
        <f>IF(AB3="y",CHAR(34)&amp;AB$1&amp;CHAR(34)&amp;",","")</f>
        <v/>
      </c>
      <c r="EJ3" s="48" t="str">
        <f>IF(AC3="y",CHAR(34)&amp;AC$1&amp;CHAR(34)&amp;",","")</f>
        <v/>
      </c>
      <c r="EK3" s="48" t="str">
        <f>IF(AD3="y",CHAR(34)&amp;AD$1&amp;CHAR(34)&amp;",","")</f>
        <v/>
      </c>
      <c r="EL3" s="48" t="str">
        <f>IF(AE3="y",CHAR(34)&amp;AE$1&amp;CHAR(34)&amp;",","")</f>
        <v/>
      </c>
      <c r="EM3" s="48" t="str">
        <f>IF(AF3="y",CHAR(34)&amp;AF$1&amp;CHAR(34)&amp;",","")</f>
        <v/>
      </c>
      <c r="EN3" s="48" t="str">
        <f>IF(AG3="y",CHAR(34)&amp;AG$1&amp;CHAR(34)&amp;",","")</f>
        <v/>
      </c>
      <c r="EO3" s="48" t="str">
        <f>IF(AH3="y",CHAR(34)&amp;AH$1&amp;CHAR(34)&amp;",","")</f>
        <v/>
      </c>
      <c r="EP3" s="48" t="str">
        <f>IF(AI3="y",CHAR(34)&amp;AI$1&amp;CHAR(34)&amp;",","")</f>
        <v/>
      </c>
      <c r="EQ3" s="48" t="str">
        <f>IF(AJ3="y",CHAR(34)&amp;AJ$1&amp;CHAR(34)&amp;",","")</f>
        <v/>
      </c>
      <c r="ER3" s="48" t="str">
        <f>IF(AK3="y",CHAR(34)&amp;AK$1&amp;CHAR(34)&amp;",","")</f>
        <v/>
      </c>
      <c r="ES3" s="48" t="str">
        <f>IF(AL3="y",CHAR(34)&amp;AL$1&amp;CHAR(34)&amp;",","")</f>
        <v/>
      </c>
      <c r="ET3" s="48" t="str">
        <f>IF(AM3="y",CHAR(34)&amp;AM$1&amp;CHAR(34)&amp;",","")</f>
        <v/>
      </c>
      <c r="EU3" s="48" t="str">
        <f>IF(AN3="y",CHAR(34)&amp;AN$1&amp;CHAR(34)&amp;",","")</f>
        <v/>
      </c>
      <c r="EV3" s="48" t="str">
        <f>IF(AO3="y",CHAR(34)&amp;AO$1&amp;CHAR(34)&amp;",","")</f>
        <v/>
      </c>
      <c r="EW3" s="48" t="str">
        <f>IF(AP3="y",CHAR(34)&amp;AP$1&amp;CHAR(34)&amp;",","")</f>
        <v/>
      </c>
      <c r="EX3" s="48" t="str">
        <f>IF(AQ3="y",CHAR(34)&amp;AQ$1&amp;CHAR(34)&amp;",","")</f>
        <v>"Crowns",</v>
      </c>
      <c r="EY3" s="48" t="str">
        <f>IF(AR3="y",CHAR(34)&amp;AR$1&amp;CHAR(34)&amp;",","")</f>
        <v/>
      </c>
      <c r="EZ3" s="48" t="str">
        <f>IF(AS3="y",CHAR(34)&amp;AS$1&amp;CHAR(34)&amp;",","")</f>
        <v/>
      </c>
      <c r="FA3" s="48" t="str">
        <f>IF(AT3&gt;0,CHAR(34)&amp;"sta"&amp;AZ3&amp;CHAR(34)&amp;",","")</f>
        <v/>
      </c>
      <c r="FB3" s="48" t="str">
        <f>IF(AND(AT3&gt;0,BA3&lt;&gt;""),CHAR(34)&amp;"sta"&amp;BA3&amp;CHAR(34)&amp;",","")</f>
        <v/>
      </c>
      <c r="FD3" s="48" t="str">
        <f>IF(BV3="n",CHAR(34)&amp;"tcWHYE"&amp;CHAR(34)&amp;",",IF(BV3="y",CHAR(34)&amp;FD$1&amp;CHAR(34)&amp;",",""))</f>
        <v/>
      </c>
      <c r="FE3" s="48" t="str">
        <f>IF(COUNTIF(BL3:BT3,"BLU")=0,CHAR(34)&amp;"NO_BLU"&amp;CHAR(34)&amp;",", "")</f>
        <v/>
      </c>
      <c r="FF3" s="48" t="str">
        <f>IF(COUNTIF(BL3:BT3,"WHI")=0,CHAR(34)&amp;"NO_WHI"&amp;CHAR(34)&amp;",", "")</f>
        <v/>
      </c>
      <c r="FG3" s="48" t="str">
        <f>IF(COUNTIF(BL3:BT3,"RED")=0,CHAR(34)&amp;"NO_RED"&amp;CHAR(34)&amp;",", "")</f>
        <v/>
      </c>
      <c r="FH3" s="48" t="str">
        <f>IF(COUNTIF(BL3:BS3,"GRE")=0,CHAR(34)&amp;"NO_GRE"&amp;CHAR(34)&amp;",", "")</f>
        <v/>
      </c>
      <c r="FI3" s="48" t="str">
        <f>IF(COUNTIF(BL3:BT3,"YEL")=0,CHAR(34)&amp;"NO_YEL"&amp;CHAR(34)&amp;",", "")</f>
        <v>"NO_YEL",</v>
      </c>
      <c r="FJ3" s="48" t="str">
        <f>IF(COUNTIF(BL3:BT3,"BLA")=0,CHAR(34)&amp;"NO_BLA"&amp;CHAR(34)&amp;",", "")</f>
        <v>"NO_BLA",</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
      </c>
      <c r="FQ3" s="48" t="str">
        <f>IF(LEN(BF3)=3,CHAR(34)&amp;"001"&amp;BF3&amp;CHAR(34)&amp;",","")</f>
        <v>"001GRE",</v>
      </c>
      <c r="FR3" s="48" t="str">
        <f>IF(LEN(BG3)=3,CHAR(34)&amp;"002"&amp;BG3&amp;CHAR(34)&amp;",","")</f>
        <v>"002RED",</v>
      </c>
      <c r="FS3" s="48" t="str">
        <f>IF(LEN(BH3)=3,CHAR(34)&amp;"003"&amp;BH3&amp;CHAR(34)&amp;",","")</f>
        <v>"003BLU",</v>
      </c>
      <c r="FT3" s="48" t="str">
        <f>CHAR(34)&amp;"myr"&amp;BD3&amp;CHAR(34)&amp;","</f>
        <v>"myrBLU",</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"histor",</v>
      </c>
      <c r="GG3" s="48" t="str">
        <f>IF(BU3="y",CHAR(34)&amp;"unjack"&amp;CHAR(34)&amp;",","")</f>
        <v/>
      </c>
      <c r="GH3" s="48" t="str">
        <f>IF(CD3=1,CHAR(34)&amp;"southc"&amp;CHAR(34)&amp;",","")</f>
        <v/>
      </c>
      <c r="GI3" s="48" t="str">
        <f>IF(CE3=1,CHAR(34)&amp;"hasmap"&amp;CHAR(34)&amp;",","")</f>
        <v/>
      </c>
      <c r="GJ3" s="48" t="str">
        <f>IF(CP3="y",CHAR(34)&amp;CP$1&amp;CHAR(34)&amp;",","")</f>
        <v>"NoStar",</v>
      </c>
      <c r="GK3" s="48" t="str">
        <f>IF(GJ3="",CHAR(34)&amp;"HasSta"&amp;CHAR(34)&amp;",","")</f>
        <v/>
      </c>
      <c r="GL3" s="48" t="str">
        <f>IF(CQ3="y",CHAR(34)&amp;CQ$1&amp;CHAR(34)&amp;",","")</f>
        <v/>
      </c>
      <c r="GM3" s="48" t="str">
        <f>IF(CR3="y",CHAR(34)&amp;CR$1&amp;CHAR(34)&amp;",","")</f>
        <v/>
      </c>
      <c r="GN3" s="48" t="str">
        <f>IF(CS3="y",CHAR(34)&amp;CS$1&amp;CHAR(34)&amp;",","")</f>
        <v/>
      </c>
      <c r="GP3" s="48" t="str">
        <f>CHAR(34)&amp;AU3&amp;CHAR(34)</f>
        <v>"Historical"</v>
      </c>
      <c r="GS3" s="48" t="str">
        <f>SUBSTITUTE("["&amp;_xlfn.CONCAT(CW3:GN3)&amp;"]",",]","]")</f>
        <v>["4Color","lets17","startL","year19","allver","3Bands","Vertic","Crowns","NO_YEL","NO_BLA","001GRE","002RED","003BLU","myrBLU","histor","NoStar"]</v>
      </c>
      <c r="GT3" s="48" t="str">
        <f>IF(BL3&lt;&gt;"",CHAR(34)&amp;"cl_"&amp;BL3&amp;CHAR(34)&amp;",","")</f>
        <v>"cl_GRE",</v>
      </c>
      <c r="GU3" s="48" t="str">
        <f>IF(BM3&lt;&gt;"",CHAR(34)&amp;"cl_"&amp;BM3&amp;CHAR(34)&amp;",","")</f>
        <v>"cl_RED",</v>
      </c>
      <c r="GV3" s="48" t="str">
        <f>IF(BN3&lt;&gt;"",CHAR(34)&amp;"cl_"&amp;BN3&amp;CHAR(34)&amp;",","")</f>
        <v>"cl_WHI",</v>
      </c>
      <c r="GW3" s="48" t="str">
        <f>IF(BO3&lt;&gt;"",CHAR(34)&amp;"cl_"&amp;BO3&amp;CHAR(34)&amp;",","")</f>
        <v>"cl_BLU",</v>
      </c>
      <c r="GX3" s="48" t="str">
        <f>IF(BP3&lt;&gt;"",CHAR(34)&amp;"cl_"&amp;BP3&amp;CHAR(34)&amp;",","")</f>
        <v/>
      </c>
      <c r="GY3" s="48" t="str">
        <f>IF(BQ3&lt;&gt;"",CHAR(34)&amp;"cl_"&amp;BQ3&amp;CHAR(34)&amp;",","")</f>
        <v/>
      </c>
      <c r="GZ3" s="48" t="str">
        <f>IF(BR3&lt;&gt;"",CHAR(34)&amp;"cl_"&amp;BR3&amp;CHAR(34)&amp;",","")</f>
        <v/>
      </c>
      <c r="HA3" s="48" t="str">
        <f>IF(BS3&lt;&gt;"",CHAR(34)&amp;"cl_"&amp;BS3&amp;CHAR(34)&amp;",","")</f>
        <v/>
      </c>
      <c r="HB3" s="48" t="str">
        <f>IF(BT3&lt;&gt;"",CHAR(34)&amp;"cl_"&amp;BT3&amp;CHAR(34)&amp;",","")</f>
        <v/>
      </c>
      <c r="HC3" s="48" t="str">
        <f>SUBSTITUTE("["&amp;_xlfn.CONCAT(GT3:HB3)&amp;"]",",]","]")</f>
        <v>["cl_GRE","cl_RED","cl_WHI","cl_BLU"]</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{couname:"[LSO] Lesotho (1966-1987)",year:"1966",region:"rgn_Africa",Colors:["cl_GRE","cl_RED","cl_WHI","cl_BLU"],Items:["4Color","lets17","startL","year19","allver","3Bands","Vertic","Crowns","NO_YEL","NO_BLA","001GRE","002RED","003BLU","myrBLU","histor","NoStar"],Flag:"https://upload.wikimedia.org/wikipedia/commons/thumb/9/92/Flag_of_Lesotho_%281966%E2%80%931987%29.svg/640px-Flag_of_Lesotho_%281966%E2%80%931987%29.svg.png",HDFlag:"https://upload.wikimedia.org/wikipedia/commons/thumb/9/92/Flag_of_Lesotho_%281966%E2%80%931987%29.svg/2560px-Flag_of_Lesotho_%281966%E2%80%931987%29.svg.png",type:"Historical", describe: "\nThe first flag of Lesotho was introduced on 4 October 1966, the day of Lesotho's full independence from the United Kingdom. It featured a prominent white mokorotlo. The blue stood for sky and rain, the white for peace, the green for land, and the red for faith.", isnew:".", links: "https://en.wikipedia.org/wiki/Flag_of_Lesotho"},</v>
      </c>
      <c r="HG3" s="73" t="str">
        <f>"{couname:"&amp;CT3&amp;(IF(HK3&lt;&gt;"",",subtype:"&amp;CHAR(34)&amp;HK3&amp;CHAR(34),""))&amp;",year:"&amp;HJ3&amp;",region:"&amp;CU3&amp;",Colors:"&amp;HC3&amp;",Items:"&amp;GS3&amp;",Flag:"&amp;CV3&amp;",HDFlag:"&amp;CHAR(34)&amp;E3&amp;CHAR(34)&amp;",type:"&amp;GP3&amp;", describe: "&amp;HI3&amp;", links: "&amp;HL3&amp;"},"</f>
        <v>{couname:"[LSO] Lesotho (1966-1987)",year:"1966",region:"rgn_Africa",Colors:["cl_GRE","cl_RED","cl_WHI","cl_BLU"],Items:["4Color","lets17","startL","year19","allver","3Bands","Vertic","Crowns","NO_YEL","NO_BLA","001GRE","002RED","003BLU","myrBLU","histor","NoStar"],Flag:"https://upload.wikimedia.org/wikipedia/commons/thumb/9/92/Flag_of_Lesotho_%281966%E2%80%931987%29.svg/640px-Flag_of_Lesotho_%281966%E2%80%931987%29.svg.png",HDFlag:"https://upload.wikimedia.org/wikipedia/commons/thumb/9/92/Flag_of_Lesotho_%281966%E2%80%931987%29.svg/2560px-Flag_of_Lesotho_%281966%E2%80%931987%29.svg.png",type:"Historical", describe: "\nThe first flag of Lesotho was introduced on 4 October 1966, the day of Lesotho's full independence from the United Kingdom. It featured a prominent white mokorotlo. The blue stood for sky and rain, the white for peace, the green for land, and the red for faith.", links: "https://en.wikipedia.org/wiki/Flag_of_Lesotho"},</v>
      </c>
      <c r="HH3" s="48" t="str">
        <f>IF(P3&lt;&gt;"",CHAR(34)&amp;"\n"&amp;P3&amp;CHAR(34),CHAR(34)&amp;CHAR(34))</f>
        <v>"\nThe first flag of Lesotho was introduced on 4 October 1966, the day of Lesotho's full independence from the United Kingdom. It featured a prominent white mokorotlo. The blue stood for sky and rain, the white for peace, the green for land, and the red for faith."</v>
      </c>
      <c r="HI3" s="48" t="str">
        <f>IF(J3=0,CHAR(34)&amp;CHAR(34),HH3)</f>
        <v>"\nThe first flag of Lesotho was introduced on 4 October 1966, the day of Lesotho's full independence from the United Kingdom. It featured a prominent white mokorotlo. The blue stood for sky and rain, the white for peace, the green for land, and the red for faith."</v>
      </c>
      <c r="HJ3" s="48" t="str">
        <f>CHAR(34)&amp;O3&amp;CHAR(34)</f>
        <v>"1966"</v>
      </c>
      <c r="HL3" s="48" t="str">
        <f>CHAR(34)&amp;I3&amp;CHAR(34)</f>
        <v>"https://en.wikipedia.org/wiki/Flag_of_Lesotho"</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{"couname":"[LSO] Lesotho (1966-1987)","subtype":"[LSO] Other","year":"1966","region":"rgn_Africa","Colors":["cl_GRE","cl_RED","cl_WHI","cl_BLU"],"Items":["4Color","lets17","startL","year19","allver","3Bands","Vertic","Crowns","NO_YEL","NO_BLA","001GRE","002RED","003BLU","myrBLU","histor","NoStar"],"Flag":"https://upload.wikimedia.org/wikipedia/commons/thumb/9/92/Flag_of_Lesotho_%281966%E2%80%931987%29.svg/640px-Flag_of_Lesotho_%281966%E2%80%931987%29.svg.png","HDFlag":"https://upload.wikimedia.org/wikipedia/commons/thumb/9/92/Flag_of_Lesotho_%281966%E2%80%931987%29.svg/2560px-Flag_of_Lesotho_%281966%E2%80%931987%29.svg.png","type":"Historical", "describe": "\nThe first flag of Lesotho was introduced on 4 October 1966, the day of Lesotho's full independence from the United Kingdom. It featured a prominent white mokorotlo. The blue stood for sky and rain, the white for peace, the green for land, and the red for faith.", "isnew": ".", "links": "https://en.wikipedia.org/wiki/Flag_of_Lesotho"},</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{"couname":"[LSO] Lesotho (1966-1987)","subtype":"[LSO] Other","year":"1966","region":"rgn_Africa","Colors":["cl_GRE","cl_RED","cl_WHI","cl_BLU"],"Items":["4Color","lets17","startL","year19","allver","3Bands","Vertic","Crowns","NO_YEL","NO_BLA","001GRE","002RED","003BLU","myrBLU","histor","NoStar"],"Flag":"https://upload.wikimedia.org/wikipedia/commons/thumb/9/92/Flag_of_Lesotho_%281966%E2%80%931987%29.svg/640px-Flag_of_Lesotho_%281966%E2%80%931987%29.svg.png","HDFlag":"https://upload.wikimedia.org/wikipedia/commons/thumb/9/92/Flag_of_Lesotho_%281966%E2%80%931987%29.svg/2560px-Flag_of_Lesotho_%281966%E2%80%931987%29.svg.png","type":"Historical", "describe": "\nThe first flag of Lesotho was introduced on 4 October 1966, the day of Lesotho's full independence from the United Kingdom. It featured a prominent white mokorotlo. The blue stood for sky and rain, the white for peace, the green for land, and the red for faith.", "isnew": ".", "links": "https://en.wikipedia.org/wiki/Flag_of_Lesotho"},</v>
      </c>
      <c r="HO3" s="75">
        <v>45610</v>
      </c>
      <c r="HP3" s="48" t="str" cm="1">
        <f t="array" ref="HP3">IF(_xlfn.TEXTJOIN(", ", TRUE, IF(ISNUMBER(SEARCH("BLA", BL3:BT3)), COLUMN(BL3:BT3) - COLUMN(BL3) + 1, ""))&lt;&gt;"","BLA","")</f>
        <v/>
      </c>
      <c r="HQ3" s="48" t="str" cm="1">
        <f t="array" ref="HQ3">IF(_xlfn.TEXTJOIN(", ", TRUE, IF(ISNUMBER(SEARCH("BLU", BL3:BT3)), COLUMN(BL3:BT3) - COLUMN(BL3) + 1, ""))&lt;&gt;"","BLU","")</f>
        <v>BLU</v>
      </c>
      <c r="HR3" s="48" t="str" cm="1">
        <f t="array" ref="HR3">IF(_xlfn.TEXTJOIN(", ", TRUE, IF(ISNUMBER(SEARCH("GRE", BL3:BT3)), COLUMN(BL3:BT3) - COLUMN(BL3) + 1, ""))&lt;&gt;"","GRE","")</f>
        <v>GRE</v>
      </c>
      <c r="HS3" s="48" t="str" cm="1">
        <f t="array" ref="HS3">IF(_xlfn.TEXTJOIN(", ", TRUE, IF(ISNUMBER(SEARCH("RED", BL3:BT3)), COLUMN(BL3:BT3) - COLUMN(BL3) + 1, ""))&lt;&gt;"","RED","")</f>
        <v>RED</v>
      </c>
      <c r="HT3" s="48" t="str" cm="1">
        <f t="array" ref="HT3">IF(_xlfn.TEXTJOIN(", ", TRUE, IF(ISNUMBER(SEARCH("YEL", BL3:BT3)), COLUMN(BL3:BT3) - COLUMN(BL3) + 1, ""))&lt;&gt;"","YEL","")</f>
        <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M3" s="45">
        <f>COUNTIF(IC3:IK3,"&gt;0")-CG3</f>
        <v>-4</v>
      </c>
      <c r="IN3" s="78" t="str">
        <f>"http://mkweb.bcgsc.ca/color-summarizer/?url="&amp;D3&amp;"&amp;precision=low&amp;num_clusters="&amp;CG3&amp;"&amp;text=1"</f>
        <v>http://mkweb.bcgsc.ca/color-summarizer/?url=https://upload.wikimedia.org/wikipedia/commons/thumb/9/92/Flag_of_Lesotho_%281966%E2%80%931987%29.svg/640px-Flag_of_Lesotho_%281966%E2%80%931987%29.svg.png&amp;precision=low&amp;num_clusters=4&amp;text=1</v>
      </c>
      <c r="IO3" s="48" t="str">
        <f>IF(HP3&lt;&gt;"",CHAR(34)&amp;"black"&amp;CHAR(34),"")</f>
        <v/>
      </c>
      <c r="IP3" s="48" t="str">
        <f>IF(HQ3&lt;&gt;"",CHAR(34)&amp;"blue"&amp;CHAR(34),"")</f>
        <v>"blue"</v>
      </c>
      <c r="IQ3" s="48" t="str">
        <f>IF(HR3&lt;&gt;"",CHAR(34)&amp;"green"&amp;CHAR(34),"")</f>
        <v>"green"</v>
      </c>
      <c r="IR3" s="48" t="str">
        <f>IF(HS3&lt;&gt;"",CHAR(34)&amp;"red"&amp;CHAR(34),"")</f>
        <v>"red"</v>
      </c>
      <c r="IS3" s="48" t="str">
        <f>IF(HT3&lt;&gt;"",CHAR(34)&amp;"yellow"&amp;CHAR(34),"")</f>
        <v/>
      </c>
      <c r="IT3" s="48" t="str">
        <f>IF(HU3&lt;&gt;"",CHAR(34)&amp;"orange"&amp;CHAR(34),"")</f>
        <v/>
      </c>
      <c r="IU3" s="48" t="str">
        <f>IF(HV3&lt;&gt;"",CHAR(34)&amp;"brown"&amp;CHAR(34),"")</f>
        <v/>
      </c>
      <c r="IV3" s="48" t="str">
        <f>IF(HW3&lt;&gt;"",CHAR(34)&amp;"purple"&amp;CHAR(34),"")</f>
        <v/>
      </c>
      <c r="IW3" s="48" t="str">
        <f>IF(HX3&lt;&gt;"",CHAR(34)&amp;"white"&amp;CHAR(34),"")</f>
        <v>"white"</v>
      </c>
      <c r="IX3" s="48" t="str">
        <f>"{"&amp;CHAR(34)&amp;"url"&amp;CHAR(34)&amp;":"&amp;CHAR(34)&amp;IN3&amp;CHAR(34)&amp;","&amp;CHAR(34)&amp;"name"&amp;CHAR(34)&amp;":"&amp;CHAR(34)&amp;A3&amp;CHAR(34)&amp;"},"</f>
        <v>{"url":"http://mkweb.bcgsc.ca/color-summarizer/?url=https://upload.wikimedia.org/wikipedia/commons/thumb/9/92/Flag_of_Lesotho_%281966%E2%80%931987%29.svg/640px-Flag_of_Lesotho_%281966%E2%80%931987%29.svg.png&amp;precision=low&amp;num_clusters=4&amp;text=1","name":"[LSO] Lesotho (1966-1987)"},</v>
      </c>
      <c r="IY3" s="48">
        <v>1339</v>
      </c>
    </row>
    <row r="4" spans="1:259" ht="38.4" customHeight="1" x14ac:dyDescent="0.3">
      <c r="F4" s="82"/>
      <c r="G4" s="82"/>
      <c r="H4" s="82"/>
      <c r="I4" s="82"/>
      <c r="J4" s="82"/>
      <c r="K4" s="82"/>
    </row>
    <row r="5" spans="1:259" ht="38.4" customHeight="1" x14ac:dyDescent="0.3">
      <c r="F5" s="82"/>
      <c r="G5" s="82"/>
      <c r="H5" s="82"/>
      <c r="I5" s="82"/>
      <c r="J5" s="82"/>
      <c r="K5" s="82"/>
    </row>
    <row r="6" spans="1:259" ht="38.4" customHeight="1" x14ac:dyDescent="0.3">
      <c r="F6" s="82"/>
      <c r="G6" s="82"/>
      <c r="H6" s="82"/>
      <c r="I6" s="82"/>
      <c r="J6" s="82"/>
      <c r="K6" s="82"/>
    </row>
  </sheetData>
  <autoFilter ref="A1:IY1" xr:uid="{A1051193-A95B-4CFB-A73C-F0184620C81F}">
    <sortState xmlns:xlrd2="http://schemas.microsoft.com/office/spreadsheetml/2017/richdata2" ref="A2:IY5">
      <sortCondition ref="AW1"/>
    </sortState>
  </autoFilter>
  <conditionalFormatting sqref="H1 CW1:GS1 IA1:IB1">
    <cfRule type="cellIs" dxfId="3566" priority="118" operator="greaterThan">
      <formula>0</formula>
    </cfRule>
  </conditionalFormatting>
  <conditionalFormatting sqref="H1 H7:H1048576">
    <cfRule type="cellIs" dxfId="3565" priority="84" stopIfTrue="1" operator="notEqual">
      <formula>""</formula>
    </cfRule>
  </conditionalFormatting>
  <conditionalFormatting sqref="T1:BK1">
    <cfRule type="cellIs" dxfId="3564" priority="121" operator="greaterThan">
      <formula>0</formula>
    </cfRule>
  </conditionalFormatting>
  <conditionalFormatting sqref="BV1:BW1 BV4:BW1048576">
    <cfRule type="cellIs" dxfId="3563" priority="120" operator="equal">
      <formula>"nc"</formula>
    </cfRule>
  </conditionalFormatting>
  <conditionalFormatting sqref="HF1:HG1">
    <cfRule type="cellIs" dxfId="3562" priority="122" operator="greaterThan">
      <formula>0</formula>
    </cfRule>
  </conditionalFormatting>
  <conditionalFormatting sqref="HK1">
    <cfRule type="cellIs" dxfId="3561" priority="119" operator="greaterThan">
      <formula>0</formula>
    </cfRule>
  </conditionalFormatting>
  <conditionalFormatting sqref="HP1:HX1">
    <cfRule type="cellIs" dxfId="3560" priority="96" operator="equal">
      <formula>"PIN"</formula>
    </cfRule>
    <cfRule type="cellIs" dxfId="3559" priority="97" operator="equal">
      <formula>"ORA"</formula>
    </cfRule>
    <cfRule type="cellIs" dxfId="3558" priority="98" operator="equal">
      <formula>"GRA"</formula>
    </cfRule>
    <cfRule type="cellIs" dxfId="3557" priority="99" operator="equal">
      <formula>"PUR"</formula>
    </cfRule>
    <cfRule type="cellIs" dxfId="3556" priority="100" operator="equal">
      <formula>"BRO"</formula>
    </cfRule>
    <cfRule type="cellIs" dxfId="3555" priority="101" operator="equal">
      <formula>"YEL"</formula>
    </cfRule>
    <cfRule type="cellIs" dxfId="3554" priority="102" operator="equal">
      <formula>"BLU"</formula>
    </cfRule>
    <cfRule type="cellIs" dxfId="3553" priority="103" operator="equal">
      <formula>"WHI"</formula>
    </cfRule>
    <cfRule type="cellIs" dxfId="3552" priority="104" operator="equal">
      <formula>"GRE"</formula>
    </cfRule>
    <cfRule type="cellIs" dxfId="3551" priority="105" operator="equal">
      <formula>"RED"</formula>
    </cfRule>
    <cfRule type="cellIs" dxfId="3550" priority="106" operator="equal">
      <formula>"BLA"</formula>
    </cfRule>
  </conditionalFormatting>
  <conditionalFormatting sqref="IC1:IK1">
    <cfRule type="cellIs" dxfId="3549" priority="107" operator="equal">
      <formula>"PIN"</formula>
    </cfRule>
    <cfRule type="cellIs" dxfId="3548" priority="108" operator="equal">
      <formula>"ORA"</formula>
    </cfRule>
    <cfRule type="cellIs" dxfId="3547" priority="109" operator="equal">
      <formula>"GRA"</formula>
    </cfRule>
    <cfRule type="cellIs" dxfId="3546" priority="110" operator="equal">
      <formula>"PUR"</formula>
    </cfRule>
    <cfRule type="cellIs" dxfId="3545" priority="111" operator="equal">
      <formula>"BRO"</formula>
    </cfRule>
    <cfRule type="cellIs" dxfId="3544" priority="112" operator="equal">
      <formula>"YEL"</formula>
    </cfRule>
    <cfRule type="cellIs" dxfId="3543" priority="113" operator="equal">
      <formula>"BLU"</formula>
    </cfRule>
    <cfRule type="cellIs" dxfId="3542" priority="114" operator="equal">
      <formula>"WHI"</formula>
    </cfRule>
    <cfRule type="cellIs" dxfId="3541" priority="115" operator="equal">
      <formula>"GRE"</formula>
    </cfRule>
    <cfRule type="cellIs" dxfId="3540" priority="116" operator="equal">
      <formula>"RED"</formula>
    </cfRule>
    <cfRule type="cellIs" dxfId="3539" priority="117" operator="equal">
      <formula>"BLA"</formula>
    </cfRule>
  </conditionalFormatting>
  <conditionalFormatting sqref="IO1:IW1">
    <cfRule type="cellIs" dxfId="3538" priority="85" operator="equal">
      <formula>"PIN"</formula>
    </cfRule>
    <cfRule type="cellIs" dxfId="3537" priority="86" operator="equal">
      <formula>"ORA"</formula>
    </cfRule>
    <cfRule type="cellIs" dxfId="3536" priority="87" operator="equal">
      <formula>"GRA"</formula>
    </cfRule>
    <cfRule type="cellIs" dxfId="3535" priority="88" operator="equal">
      <formula>"PUR"</formula>
    </cfRule>
    <cfRule type="cellIs" dxfId="3534" priority="89" operator="equal">
      <formula>"BRO"</formula>
    </cfRule>
    <cfRule type="cellIs" dxfId="3533" priority="90" operator="equal">
      <formula>"YEL"</formula>
    </cfRule>
    <cfRule type="cellIs" dxfId="3532" priority="91" operator="equal">
      <formula>"BLU"</formula>
    </cfRule>
    <cfRule type="cellIs" dxfId="3531" priority="92" operator="equal">
      <formula>"WHI"</formula>
    </cfRule>
    <cfRule type="cellIs" dxfId="3530" priority="93" operator="equal">
      <formula>"GRE"</formula>
    </cfRule>
    <cfRule type="cellIs" dxfId="3529" priority="94" operator="equal">
      <formula>"RED"</formula>
    </cfRule>
    <cfRule type="cellIs" dxfId="3528" priority="95" operator="equal">
      <formula>"BLA"</formula>
    </cfRule>
  </conditionalFormatting>
  <conditionalFormatting sqref="H2">
    <cfRule type="cellIs" dxfId="3527" priority="77" stopIfTrue="1" operator="notEqual">
      <formula>""</formula>
    </cfRule>
  </conditionalFormatting>
  <conditionalFormatting sqref="R2 CU2">
    <cfRule type="cellIs" dxfId="3526" priority="79" operator="greaterThan">
      <formula>0</formula>
    </cfRule>
  </conditionalFormatting>
  <conditionalFormatting sqref="T2:AS2 CH2:CS2">
    <cfRule type="cellIs" dxfId="3525" priority="74" stopIfTrue="1" operator="equal">
      <formula>"n"</formula>
    </cfRule>
    <cfRule type="cellIs" dxfId="3524" priority="75" stopIfTrue="1" operator="equal">
      <formula>"y"</formula>
    </cfRule>
    <cfRule type="cellIs" dxfId="3523" priority="76" operator="greaterThan">
      <formula>0</formula>
    </cfRule>
  </conditionalFormatting>
  <conditionalFormatting sqref="AZ2:BB2">
    <cfRule type="expression" dxfId="3522" priority="61">
      <formula>$AT2=0</formula>
    </cfRule>
  </conditionalFormatting>
  <conditionalFormatting sqref="AZ2:BU2">
    <cfRule type="cellIs" dxfId="3521" priority="62" operator="equal">
      <formula>"PIN"</formula>
    </cfRule>
    <cfRule type="cellIs" dxfId="3520" priority="63" operator="equal">
      <formula>"ORA"</formula>
    </cfRule>
    <cfRule type="cellIs" dxfId="3519" priority="64" operator="equal">
      <formula>"GRA"</formula>
    </cfRule>
    <cfRule type="cellIs" dxfId="3518" priority="65" operator="equal">
      <formula>"PUR"</formula>
    </cfRule>
    <cfRule type="cellIs" dxfId="3517" priority="66" operator="equal">
      <formula>"BRO"</formula>
    </cfRule>
    <cfRule type="cellIs" dxfId="3516" priority="67" operator="equal">
      <formula>"YEL"</formula>
    </cfRule>
    <cfRule type="cellIs" dxfId="3515" priority="68" operator="equal">
      <formula>"BLU"</formula>
    </cfRule>
    <cfRule type="cellIs" dxfId="3514" priority="69" operator="equal">
      <formula>"WHI"</formula>
    </cfRule>
    <cfRule type="cellIs" dxfId="3513" priority="70" operator="equal">
      <formula>"GRE"</formula>
    </cfRule>
    <cfRule type="cellIs" dxfId="3512" priority="71" operator="equal">
      <formula>"RED"</formula>
    </cfRule>
    <cfRule type="cellIs" dxfId="3511" priority="72" operator="equal">
      <formula>"BLA"</formula>
    </cfRule>
  </conditionalFormatting>
  <conditionalFormatting sqref="BV2">
    <cfRule type="cellIs" dxfId="3510" priority="78" operator="equal">
      <formula>"nc"</formula>
    </cfRule>
  </conditionalFormatting>
  <conditionalFormatting sqref="CD2:CF2 BZ2:CA2">
    <cfRule type="cellIs" dxfId="3509" priority="73" operator="greaterThan">
      <formula>0</formula>
    </cfRule>
  </conditionalFormatting>
  <conditionalFormatting sqref="IC2:IK2">
    <cfRule type="expression" dxfId="3508" priority="60">
      <formula>$IL2&gt;0</formula>
    </cfRule>
  </conditionalFormatting>
  <conditionalFormatting sqref="BX2:CA2 CD2:CF2">
    <cfRule type="cellIs" dxfId="3507" priority="48" operator="equal">
      <formula>"y"</formula>
    </cfRule>
    <cfRule type="cellIs" dxfId="3506" priority="49" operator="equal">
      <formula>"PIN"</formula>
    </cfRule>
    <cfRule type="cellIs" dxfId="3505" priority="50" operator="equal">
      <formula>"ORA"</formula>
    </cfRule>
    <cfRule type="cellIs" dxfId="3504" priority="51" operator="equal">
      <formula>"GRA"</formula>
    </cfRule>
    <cfRule type="cellIs" dxfId="3503" priority="52" operator="equal">
      <formula>"PUR"</formula>
    </cfRule>
    <cfRule type="cellIs" dxfId="3502" priority="53" operator="equal">
      <formula>"BRO"</formula>
    </cfRule>
    <cfRule type="cellIs" dxfId="3501" priority="54" operator="equal">
      <formula>"YEL"</formula>
    </cfRule>
    <cfRule type="cellIs" dxfId="3500" priority="55" operator="equal">
      <formula>"BLU"</formula>
    </cfRule>
    <cfRule type="cellIs" dxfId="3499" priority="56" operator="equal">
      <formula>"WHI"</formula>
    </cfRule>
    <cfRule type="cellIs" dxfId="3498" priority="57" operator="equal">
      <formula>"GRE"</formula>
    </cfRule>
    <cfRule type="cellIs" dxfId="3497" priority="58" operator="equal">
      <formula>"RED"</formula>
    </cfRule>
    <cfRule type="cellIs" dxfId="3496" priority="59" operator="equal">
      <formula>"BLA"</formula>
    </cfRule>
  </conditionalFormatting>
  <conditionalFormatting sqref="J2">
    <cfRule type="colorScale" priority="80">
      <colorScale>
        <cfvo type="min"/>
        <cfvo type="percentile" val="50"/>
        <cfvo type="max"/>
        <color rgb="FFF8696B"/>
        <color rgb="FFFFEB84"/>
        <color rgb="FF63BE7B"/>
      </colorScale>
    </cfRule>
  </conditionalFormatting>
  <conditionalFormatting sqref="S2">
    <cfRule type="colorScale" priority="81">
      <colorScale>
        <cfvo type="min"/>
        <cfvo type="max"/>
        <color rgb="FFFCFCFF"/>
        <color rgb="FF754BFB"/>
      </colorScale>
    </cfRule>
  </conditionalFormatting>
  <conditionalFormatting sqref="AT2">
    <cfRule type="colorScale" priority="82">
      <colorScale>
        <cfvo type="min"/>
        <cfvo type="max"/>
        <color rgb="FFFCFCFF"/>
        <color theme="8" tint="0.39997558519241921"/>
      </colorScale>
    </cfRule>
  </conditionalFormatting>
  <conditionalFormatting sqref="CG2">
    <cfRule type="colorScale" priority="83">
      <colorScale>
        <cfvo type="min"/>
        <cfvo type="max"/>
        <color rgb="FFFCFCFF"/>
        <color rgb="FF63BE7B"/>
      </colorScale>
    </cfRule>
  </conditionalFormatting>
  <conditionalFormatting sqref="H3">
    <cfRule type="cellIs" dxfId="3495" priority="40" stopIfTrue="1" operator="notEqual">
      <formula>""</formula>
    </cfRule>
  </conditionalFormatting>
  <conditionalFormatting sqref="R3 CU3">
    <cfRule type="cellIs" dxfId="3494" priority="43" operator="greaterThan">
      <formula>0</formula>
    </cfRule>
  </conditionalFormatting>
  <conditionalFormatting sqref="T3:AS3 CH3:CS3">
    <cfRule type="cellIs" dxfId="3493" priority="37" stopIfTrue="1" operator="equal">
      <formula>"n"</formula>
    </cfRule>
    <cfRule type="cellIs" dxfId="3492" priority="38" stopIfTrue="1" operator="equal">
      <formula>"y"</formula>
    </cfRule>
    <cfRule type="cellIs" dxfId="3491" priority="39" operator="greaterThan">
      <formula>0</formula>
    </cfRule>
  </conditionalFormatting>
  <conditionalFormatting sqref="AZ3:BB3">
    <cfRule type="expression" dxfId="3490" priority="24">
      <formula>$AT3=0</formula>
    </cfRule>
  </conditionalFormatting>
  <conditionalFormatting sqref="CD3:CF3 BX3:CA3 AZ3:BU3">
    <cfRule type="cellIs" dxfId="3489" priority="25" operator="equal">
      <formula>"PIN"</formula>
    </cfRule>
    <cfRule type="cellIs" dxfId="3488" priority="26" operator="equal">
      <formula>"ORA"</formula>
    </cfRule>
    <cfRule type="cellIs" dxfId="3487" priority="27" operator="equal">
      <formula>"GRA"</formula>
    </cfRule>
    <cfRule type="cellIs" dxfId="3486" priority="28" operator="equal">
      <formula>"PUR"</formula>
    </cfRule>
    <cfRule type="cellIs" dxfId="3485" priority="29" operator="equal">
      <formula>"BRO"</formula>
    </cfRule>
    <cfRule type="cellIs" dxfId="3484" priority="30" operator="equal">
      <formula>"YEL"</formula>
    </cfRule>
    <cfRule type="cellIs" dxfId="3483" priority="31" operator="equal">
      <formula>"BLU"</formula>
    </cfRule>
    <cfRule type="cellIs" dxfId="3482" priority="32" operator="equal">
      <formula>"WHI"</formula>
    </cfRule>
    <cfRule type="cellIs" dxfId="3481" priority="33" operator="equal">
      <formula>"GRE"</formula>
    </cfRule>
    <cfRule type="cellIs" dxfId="3480" priority="34" operator="equal">
      <formula>"RED"</formula>
    </cfRule>
    <cfRule type="cellIs" dxfId="3479" priority="35" operator="equal">
      <formula>"BLA"</formula>
    </cfRule>
  </conditionalFormatting>
  <conditionalFormatting sqref="BV3">
    <cfRule type="cellIs" dxfId="3478" priority="42" operator="equal">
      <formula>"nc"</formula>
    </cfRule>
  </conditionalFormatting>
  <conditionalFormatting sqref="CD3:CF3 BX3:CA3">
    <cfRule type="cellIs" dxfId="3477" priority="41" operator="equal">
      <formula>"y"</formula>
    </cfRule>
  </conditionalFormatting>
  <conditionalFormatting sqref="CD3:CF3 BZ3:CA3">
    <cfRule type="cellIs" dxfId="3476" priority="36" operator="greaterThan">
      <formula>0</formula>
    </cfRule>
  </conditionalFormatting>
  <conditionalFormatting sqref="IC3:IK3">
    <cfRule type="expression" dxfId="3475" priority="23">
      <formula>$IL3&gt;0</formula>
    </cfRule>
  </conditionalFormatting>
  <conditionalFormatting sqref="IC3">
    <cfRule type="cellIs" dxfId="3474" priority="17" stopIfTrue="1" operator="greaterThan">
      <formula>0</formula>
    </cfRule>
  </conditionalFormatting>
  <conditionalFormatting sqref="ID3">
    <cfRule type="cellIs" dxfId="3473" priority="15" stopIfTrue="1" operator="greaterThan">
      <formula>0</formula>
    </cfRule>
  </conditionalFormatting>
  <conditionalFormatting sqref="II3 IE3:IF3">
    <cfRule type="cellIs" dxfId="3472" priority="22" operator="greaterThan">
      <formula>0</formula>
    </cfRule>
  </conditionalFormatting>
  <conditionalFormatting sqref="II3 IF3">
    <cfRule type="cellIs" dxfId="3471" priority="16" stopIfTrue="1" operator="greaterThan">
      <formula>0</formula>
    </cfRule>
  </conditionalFormatting>
  <conditionalFormatting sqref="IG3">
    <cfRule type="cellIs" dxfId="3470" priority="21" operator="greaterThan">
      <formula>0</formula>
    </cfRule>
  </conditionalFormatting>
  <conditionalFormatting sqref="IH3:II3">
    <cfRule type="cellIs" dxfId="3469" priority="20" operator="greaterThan">
      <formula>0</formula>
    </cfRule>
  </conditionalFormatting>
  <conditionalFormatting sqref="IJ3">
    <cfRule type="cellIs" dxfId="3468" priority="19" operator="greaterThan">
      <formula>0</formula>
    </cfRule>
  </conditionalFormatting>
  <conditionalFormatting sqref="IK3">
    <cfRule type="cellIs" dxfId="3467" priority="18" operator="greaterThan">
      <formula>0</formula>
    </cfRule>
  </conditionalFormatting>
  <conditionalFormatting sqref="IF3">
    <cfRule type="cellIs" dxfId="3466" priority="14" stopIfTrue="1" operator="greaterThan">
      <formula>0</formula>
    </cfRule>
  </conditionalFormatting>
  <conditionalFormatting sqref="IM3">
    <cfRule type="cellIs" dxfId="3465" priority="13" operator="equal">
      <formula>0</formula>
    </cfRule>
  </conditionalFormatting>
  <conditionalFormatting sqref="BX3:CA3 CD3:CF3">
    <cfRule type="cellIs" dxfId="3464" priority="1" operator="equal">
      <formula>"y"</formula>
    </cfRule>
    <cfRule type="cellIs" dxfId="3463" priority="2" operator="equal">
      <formula>"PIN"</formula>
    </cfRule>
    <cfRule type="cellIs" dxfId="3462" priority="3" operator="equal">
      <formula>"ORA"</formula>
    </cfRule>
    <cfRule type="cellIs" dxfId="3461" priority="4" operator="equal">
      <formula>"GRA"</formula>
    </cfRule>
    <cfRule type="cellIs" dxfId="3460" priority="5" operator="equal">
      <formula>"PUR"</formula>
    </cfRule>
    <cfRule type="cellIs" dxfId="3459" priority="6" operator="equal">
      <formula>"BRO"</formula>
    </cfRule>
    <cfRule type="cellIs" dxfId="3458" priority="7" operator="equal">
      <formula>"YEL"</formula>
    </cfRule>
    <cfRule type="cellIs" dxfId="3457" priority="8" operator="equal">
      <formula>"BLU"</formula>
    </cfRule>
    <cfRule type="cellIs" dxfId="3456" priority="9" operator="equal">
      <formula>"WHI"</formula>
    </cfRule>
    <cfRule type="cellIs" dxfId="3455" priority="10" operator="equal">
      <formula>"GRE"</formula>
    </cfRule>
    <cfRule type="cellIs" dxfId="3454" priority="11" operator="equal">
      <formula>"RED"</formula>
    </cfRule>
    <cfRule type="cellIs" dxfId="3453" priority="12" operator="equal">
      <formula>"BLA"</formula>
    </cfRule>
  </conditionalFormatting>
  <conditionalFormatting sqref="AT3">
    <cfRule type="colorScale" priority="44">
      <colorScale>
        <cfvo type="min"/>
        <cfvo type="max"/>
        <color rgb="FFFCFCFF"/>
        <color theme="8" tint="0.39997558519241921"/>
      </colorScale>
    </cfRule>
  </conditionalFormatting>
  <conditionalFormatting sqref="S3">
    <cfRule type="colorScale" priority="45">
      <colorScale>
        <cfvo type="min"/>
        <cfvo type="max"/>
        <color rgb="FFFCFCFF"/>
        <color rgb="FF754BFB"/>
      </colorScale>
    </cfRule>
  </conditionalFormatting>
  <conditionalFormatting sqref="J3">
    <cfRule type="colorScale" priority="46">
      <colorScale>
        <cfvo type="min"/>
        <cfvo type="percentile" val="50"/>
        <cfvo type="max"/>
        <color rgb="FFF8696B"/>
        <color rgb="FFFFEB84"/>
        <color rgb="FF63BE7B"/>
      </colorScale>
    </cfRule>
  </conditionalFormatting>
  <conditionalFormatting sqref="CG3">
    <cfRule type="colorScale" priority="47">
      <colorScale>
        <cfvo type="min"/>
        <cfvo type="max"/>
        <color rgb="FFFCFCFF"/>
        <color rgb="FF63BE7B"/>
      </colorScale>
    </cfRule>
  </conditionalFormatting>
  <hyperlinks>
    <hyperlink ref="A2" r:id="rId1" display="https://fbref.com/en/country/LES/Lesotho-Football" xr:uid="{721A37BA-CFF3-46F4-8B08-5327296E2C53}"/>
    <hyperlink ref="I3" r:id="rId2" xr:uid="{AA48A5AE-E9EE-4C14-B4A9-7D524CD04388}"/>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46081" r:id="rId6"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46082" r:id="rId7"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46083" r:id="rId8"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74369-3B9B-4DFF-9078-665DFF1FCDBE}">
  <sheetPr codeName="Sheet57"/>
  <dimension ref="A1:IY6"/>
  <sheetViews>
    <sheetView zoomScale="70" zoomScaleNormal="70" workbookViewId="0">
      <pane xSplit="5" ySplit="1" topLeftCell="F2" activePane="bottomRight" state="frozen"/>
      <selection pane="topRight" activeCell="F1" sqref="F1"/>
      <selection pane="bottomLeft" activeCell="A2" sqref="A2"/>
      <selection pane="bottomRight" activeCell="D4" sqref="D4"/>
    </sheetView>
  </sheetViews>
  <sheetFormatPr defaultRowHeight="38.4" customHeight="1" x14ac:dyDescent="0.3"/>
  <cols>
    <col min="1" max="1" width="52.44140625" style="81" bestFit="1" customWidth="1"/>
    <col min="2" max="2" width="10.109375" style="81" customWidth="1"/>
    <col min="3" max="3" width="7.44140625" style="82" customWidth="1"/>
    <col min="4" max="4" width="4.77734375" style="83" customWidth="1"/>
    <col min="5" max="5" width="4.5546875" style="83" customWidth="1"/>
    <col min="6" max="6" width="5.77734375" style="83" customWidth="1"/>
    <col min="7" max="7" width="7.44140625" style="81" customWidth="1"/>
    <col min="8" max="8" width="11.44140625" style="81" customWidth="1"/>
    <col min="9" max="9" width="10" style="81" customWidth="1"/>
    <col min="10" max="10" width="4.21875" style="81" customWidth="1"/>
    <col min="11" max="11" width="5.6640625" style="83" customWidth="1"/>
    <col min="12" max="12" width="2.88671875" style="83" customWidth="1"/>
    <col min="13" max="13" width="6.44140625" style="83" customWidth="1"/>
    <col min="14" max="14" width="4.5546875" style="83" customWidth="1"/>
    <col min="15" max="15" width="10.5546875" style="84" customWidth="1"/>
    <col min="16" max="16" width="6.88671875" style="83" customWidth="1"/>
    <col min="17" max="17" width="4.77734375" style="83" customWidth="1"/>
    <col min="18" max="18" width="13.109375" style="82" customWidth="1"/>
    <col min="19" max="19" width="6.77734375" style="82" customWidth="1"/>
    <col min="20" max="46" width="8.44140625" style="81" customWidth="1"/>
    <col min="47" max="47" width="24.5546875" style="81" customWidth="1"/>
    <col min="48" max="51" width="16.6640625" style="81" customWidth="1"/>
    <col min="52" max="52" width="6.5546875" style="81" customWidth="1"/>
    <col min="53" max="54" width="5.88671875" style="81" customWidth="1"/>
    <col min="55" max="55" width="1.33203125" style="81" customWidth="1"/>
    <col min="56" max="56" width="7.44140625" style="81" customWidth="1"/>
    <col min="57" max="57" width="2.33203125" style="81" customWidth="1"/>
    <col min="58" max="62" width="6.109375" style="81" customWidth="1"/>
    <col min="63" max="63" width="2.33203125" style="81" customWidth="1"/>
    <col min="64" max="64" width="7" style="81" bestFit="1" customWidth="1"/>
    <col min="65" max="65" width="6.44140625" style="81" bestFit="1" customWidth="1"/>
    <col min="66" max="66" width="7.109375" style="81" bestFit="1" customWidth="1"/>
    <col min="67" max="71" width="6.44140625" style="81" bestFit="1" customWidth="1"/>
    <col min="72" max="73" width="6.44140625" style="81" customWidth="1"/>
    <col min="74" max="75" width="13.44140625" style="81" customWidth="1"/>
    <col min="76" max="84" width="14.6640625" style="81" customWidth="1"/>
    <col min="85" max="85" width="6.44140625" style="81" customWidth="1"/>
    <col min="86" max="87" width="11.6640625" style="81" bestFit="1" customWidth="1"/>
    <col min="88" max="88" width="11.6640625" style="81" customWidth="1"/>
    <col min="89" max="89" width="12.77734375" style="81" bestFit="1" customWidth="1"/>
    <col min="90" max="90" width="16.44140625" style="82" bestFit="1" customWidth="1"/>
    <col min="91" max="92" width="14.88671875" style="82" bestFit="1" customWidth="1"/>
    <col min="93" max="93" width="16" style="82" bestFit="1" customWidth="1"/>
    <col min="94" max="97" width="7.77734375" style="81" customWidth="1"/>
    <col min="98" max="98" width="33.21875" style="81" customWidth="1"/>
    <col min="99" max="99" width="18" style="81" customWidth="1"/>
    <col min="100" max="100" width="75.6640625" style="81" customWidth="1"/>
    <col min="101" max="125" width="33" style="81" customWidth="1"/>
    <col min="126" max="126" width="8.88671875" style="81"/>
    <col min="127" max="128" width="9.44140625" style="81" bestFit="1" customWidth="1"/>
    <col min="129" max="129" width="10.77734375" style="81" bestFit="1" customWidth="1"/>
    <col min="130" max="134" width="10.77734375" style="81" customWidth="1"/>
    <col min="135" max="135" width="10.109375" style="81" bestFit="1" customWidth="1"/>
    <col min="136" max="136" width="7.77734375" style="81" bestFit="1" customWidth="1"/>
    <col min="137" max="137" width="7.77734375" style="81" customWidth="1"/>
    <col min="138" max="138" width="9" style="81" bestFit="1" customWidth="1"/>
    <col min="139" max="139" width="11.33203125" style="81" bestFit="1" customWidth="1"/>
    <col min="140" max="140" width="9.109375" style="81" bestFit="1" customWidth="1"/>
    <col min="141" max="141" width="9" style="81" bestFit="1" customWidth="1"/>
    <col min="142" max="142" width="12" style="81" bestFit="1" customWidth="1"/>
    <col min="143" max="166" width="12" style="81" customWidth="1"/>
    <col min="167" max="167" width="17.21875" style="81" customWidth="1"/>
    <col min="168" max="191" width="12" style="81" customWidth="1"/>
    <col min="192" max="192" width="8.5546875" style="81" bestFit="1" customWidth="1"/>
    <col min="193" max="193" width="8.5546875" style="81" customWidth="1"/>
    <col min="194" max="194" width="7.109375" style="81" bestFit="1" customWidth="1"/>
    <col min="195" max="195" width="7.5546875" style="81" bestFit="1" customWidth="1"/>
    <col min="196" max="196" width="8.5546875" style="81" bestFit="1" customWidth="1"/>
    <col min="197" max="200" width="8.5546875" style="81" customWidth="1"/>
    <col min="201" max="201" width="188.88671875" style="81" customWidth="1"/>
    <col min="202" max="202" width="9.5546875" style="81" bestFit="1" customWidth="1"/>
    <col min="203" max="203" width="10.44140625" style="81" bestFit="1" customWidth="1"/>
    <col min="204" max="204" width="11.109375" style="81" bestFit="1" customWidth="1"/>
    <col min="205" max="205" width="10.44140625" style="81" bestFit="1" customWidth="1"/>
    <col min="206" max="210" width="10.44140625" style="81" customWidth="1"/>
    <col min="211" max="211" width="45.44140625" style="81" customWidth="1"/>
    <col min="212" max="212" width="47.5546875" style="81" bestFit="1" customWidth="1"/>
    <col min="213" max="213" width="9.33203125" style="85" customWidth="1"/>
    <col min="214" max="214" width="119.5546875" style="81" customWidth="1"/>
    <col min="215" max="215" width="69.6640625" style="81" customWidth="1"/>
    <col min="216" max="218" width="8.88671875" style="81"/>
    <col min="219" max="219" width="37.109375" style="81" customWidth="1"/>
    <col min="220" max="220" width="16.33203125" style="81" customWidth="1"/>
    <col min="221" max="222" width="8.88671875" style="81"/>
    <col min="223" max="223" width="10.109375" style="81" bestFit="1" customWidth="1"/>
    <col min="224" max="232" width="10.88671875" style="81" customWidth="1"/>
    <col min="233" max="234" width="30.77734375" style="81" customWidth="1"/>
    <col min="235" max="235" width="5.109375" style="81" customWidth="1"/>
    <col min="236" max="236" width="3" style="81" customWidth="1"/>
    <col min="237" max="245" width="6.77734375" style="86" customWidth="1"/>
    <col min="246" max="247" width="8.88671875" style="81"/>
    <col min="248" max="248" width="61.5546875" style="81" customWidth="1"/>
    <col min="249" max="253" width="8.88671875" style="81"/>
    <col min="254" max="254" width="9" style="81" customWidth="1"/>
    <col min="255" max="16384" width="8.88671875" style="8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865</v>
      </c>
      <c r="B2" s="40" t="e" vm="65">
        <v>#VALUE!</v>
      </c>
      <c r="C2" s="41">
        <v>1</v>
      </c>
      <c r="D2" s="42" t="s">
        <v>866</v>
      </c>
      <c r="E2" s="43" t="s">
        <v>867</v>
      </c>
      <c r="F2" s="44" t="s">
        <v>163</v>
      </c>
      <c r="G2" s="45">
        <f>COUNTIF($A$1:$A$8349,A2)</f>
        <v>1</v>
      </c>
      <c r="H2" s="46"/>
      <c r="I2" s="47" t="s">
        <v>868</v>
      </c>
      <c r="J2" s="48" t="str">
        <f>""</f>
        <v/>
      </c>
      <c r="K2" s="49">
        <v>30000000</v>
      </c>
      <c r="L2" s="50">
        <v>250000</v>
      </c>
      <c r="M2" s="50" t="s">
        <v>872</v>
      </c>
      <c r="N2" s="51" t="s">
        <v>180</v>
      </c>
      <c r="O2" s="52" t="s">
        <v>587</v>
      </c>
      <c r="P2" s="53" t="s">
        <v>869</v>
      </c>
      <c r="Q2" s="54">
        <v>1</v>
      </c>
      <c r="R2" s="55" t="s">
        <v>180</v>
      </c>
      <c r="S2" s="56">
        <v>3</v>
      </c>
      <c r="T2" s="57" t="s">
        <v>164</v>
      </c>
      <c r="U2" s="58" t="s">
        <v>164</v>
      </c>
      <c r="V2" s="58" t="s">
        <v>167</v>
      </c>
      <c r="W2" s="58" t="s">
        <v>167</v>
      </c>
      <c r="X2" s="58" t="s">
        <v>164</v>
      </c>
      <c r="Y2" s="58" t="s">
        <v>164</v>
      </c>
      <c r="Z2" s="58" t="s">
        <v>164</v>
      </c>
      <c r="AA2" s="58" t="s">
        <v>164</v>
      </c>
      <c r="AB2" s="58" t="s">
        <v>164</v>
      </c>
      <c r="AC2" s="58" t="s">
        <v>164</v>
      </c>
      <c r="AD2" s="58" t="s">
        <v>164</v>
      </c>
      <c r="AE2" s="58" t="s">
        <v>164</v>
      </c>
      <c r="AF2" s="59" t="s">
        <v>164</v>
      </c>
      <c r="AG2" s="59" t="s">
        <v>167</v>
      </c>
      <c r="AH2" s="59" t="s">
        <v>164</v>
      </c>
      <c r="AI2" s="59" t="s">
        <v>164</v>
      </c>
      <c r="AJ2" s="59" t="s">
        <v>164</v>
      </c>
      <c r="AK2" s="59" t="s">
        <v>167</v>
      </c>
      <c r="AL2" s="59" t="s">
        <v>164</v>
      </c>
      <c r="AM2" s="59" t="s">
        <v>164</v>
      </c>
      <c r="AN2" s="59" t="s">
        <v>164</v>
      </c>
      <c r="AO2" s="59" t="s">
        <v>164</v>
      </c>
      <c r="AP2" s="59" t="s">
        <v>164</v>
      </c>
      <c r="AQ2" s="59" t="s">
        <v>164</v>
      </c>
      <c r="AR2" s="59" t="s">
        <v>164</v>
      </c>
      <c r="AS2" s="59" t="s">
        <v>164</v>
      </c>
      <c r="AT2" s="60">
        <v>0</v>
      </c>
      <c r="AU2" s="59"/>
      <c r="AV2" s="59" t="str">
        <f>IF(LEFT(A2,1)="[",LEFT(A2,5)&amp;AU2&amp;A2,"")</f>
        <v/>
      </c>
      <c r="AW2" s="59" t="str">
        <f t="shared" ref="AW2" si="0">C2&amp;H2&amp;A2</f>
        <v>1Madagascar</v>
      </c>
      <c r="AX2" s="61" t="str">
        <f>_xlfn.TEXTJOIN(";",TRUE,AU2:AW2)</f>
        <v>1Madagascar</v>
      </c>
      <c r="AY2" s="61" t="s">
        <v>167</v>
      </c>
      <c r="AZ2" s="62"/>
      <c r="BA2" s="62"/>
      <c r="BB2" s="62"/>
      <c r="BC2" s="63"/>
      <c r="BD2" s="64" t="s">
        <v>169</v>
      </c>
      <c r="BE2" s="47"/>
      <c r="BF2" s="64" t="s">
        <v>159</v>
      </c>
      <c r="BG2" s="64" t="s">
        <v>154</v>
      </c>
      <c r="BH2" s="64" t="s">
        <v>153</v>
      </c>
      <c r="BI2" s="64"/>
      <c r="BJ2" s="64"/>
      <c r="BK2" s="47"/>
      <c r="BL2" s="64" t="s">
        <v>159</v>
      </c>
      <c r="BM2" s="64" t="s">
        <v>154</v>
      </c>
      <c r="BN2" s="64" t="s">
        <v>153</v>
      </c>
      <c r="BO2" s="64"/>
      <c r="BP2" s="64"/>
      <c r="BQ2" s="64"/>
      <c r="BR2" s="64"/>
      <c r="BS2" s="64"/>
      <c r="BT2" s="64"/>
      <c r="BU2" s="65"/>
      <c r="BV2" s="66" t="s">
        <v>165</v>
      </c>
      <c r="BW2" s="66" t="s">
        <v>166</v>
      </c>
      <c r="BX2" s="47"/>
      <c r="CB2" s="6" t="s">
        <v>870</v>
      </c>
      <c r="CC2" s="6"/>
      <c r="CD2" s="67">
        <v>0</v>
      </c>
      <c r="CE2" s="67">
        <v>0</v>
      </c>
      <c r="CF2" s="67" t="e">
        <v>#REF!</v>
      </c>
      <c r="CG2" s="68" cm="1">
        <f t="array" ref="CG2">SUMPRODUCT(--(LEN(TRIM(BL2:BT2))&gt;0))</f>
        <v>3</v>
      </c>
      <c r="CH2" s="59" t="str">
        <f>IF(CG2=2,"y","n")</f>
        <v>n</v>
      </c>
      <c r="CI2" s="59" t="str">
        <f>IF(CG2=3,"y","n")</f>
        <v>y</v>
      </c>
      <c r="CJ2" s="59" t="str">
        <f>IF(CG2=4,"y","n")</f>
        <v>n</v>
      </c>
      <c r="CK2" s="59" t="str">
        <f>IF(CG2&gt;4,"y","n")</f>
        <v>n</v>
      </c>
      <c r="CL2" s="59" t="str">
        <f>IF(S2=0,"y","n")</f>
        <v>n</v>
      </c>
      <c r="CM2" s="59" t="str">
        <f>IF(S2=2,"y","n")</f>
        <v>n</v>
      </c>
      <c r="CN2" s="59" t="str">
        <f>IF(S2=3,"y","n")</f>
        <v>y</v>
      </c>
      <c r="CO2" s="59" t="str">
        <f>IF(S2&gt;=4,"y","n")</f>
        <v>n</v>
      </c>
      <c r="CP2" s="59" t="str">
        <f>IF(AT2=0,"y","n")</f>
        <v>y</v>
      </c>
      <c r="CQ2" s="59" t="str">
        <f>IF(AT2=1,"y","n")</f>
        <v>n</v>
      </c>
      <c r="CR2" s="59" t="str">
        <f>IF(AT2=2,"y","n")</f>
        <v>n</v>
      </c>
      <c r="CS2" s="59" t="str">
        <f>IF(AT2&gt;=3,"y","n")</f>
        <v>n</v>
      </c>
      <c r="CT2" s="69" t="str">
        <f>CHAR(34)&amp;A2&amp;CHAR(34)</f>
        <v>"Madagascar"</v>
      </c>
      <c r="CU2" s="70" t="str">
        <f>CHAR(34)&amp;"rgn_"&amp;R2&amp;CHAR(34)</f>
        <v>"rgn_Africa"</v>
      </c>
      <c r="CV2" s="48" t="str">
        <f>CHAR(34)&amp;D2&amp;CHAR(34)</f>
        <v>"https://i.ibb.co/D9W1mLD/Madagascar-Flag.png"</v>
      </c>
      <c r="CW2" s="48" t="str">
        <f>IF(CH2="y",CHAR(34)&amp;CH$1&amp;CHAR(34)&amp;",","")</f>
        <v/>
      </c>
      <c r="CX2" s="48" t="str">
        <f>IF(CI2="y",CHAR(34)&amp;CI$1&amp;CHAR(34)&amp;",","")</f>
        <v>"3Color",</v>
      </c>
      <c r="CY2" s="48" t="str">
        <f>IF(CJ2="y",CHAR(34)&amp;CJ$1&amp;CHAR(34)&amp;",","")</f>
        <v/>
      </c>
      <c r="CZ2" s="48" t="str">
        <f>IF(CK2="y",CHAR(34)&amp;CK$1&amp;CHAR(34)&amp;",","")</f>
        <v/>
      </c>
      <c r="DA2" s="48" t="str">
        <f>IF(Q2&gt;1,CHAR(34)&amp;"words2"&amp;CHAR(34)&amp;",","")</f>
        <v/>
      </c>
      <c r="DB2" s="48" t="str">
        <f>IF(Q2&gt;2,CHAR(34)&amp;"words3"&amp;CHAR(34)&amp;",","")</f>
        <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"lets10",</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"startM",</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"REEDHI",</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
      </c>
      <c r="DS2" s="6" t="str">
        <f>IF(W2="y",IF(AND(V2="n",BY2&lt;&gt;"y"),CHAR(34)&amp;"allver"&amp;CHAR(34)&amp;",",""),"")</f>
        <v/>
      </c>
      <c r="DT2" s="6" t="str">
        <f>IF(V2="y",IF(AND(W2="n",BY2&lt;&gt;"y"),CHAR(34)&amp;"allhor"&amp;CHAR(34)&amp;",",""),"")</f>
        <v/>
      </c>
      <c r="DU2" s="6" t="str">
        <f>IF(BY2="y",IF(AND(W2="n",V2="n"),CHAR(34)&amp;"alldia"&amp;CHAR(34)&amp;",",""),"")</f>
        <v/>
      </c>
      <c r="DV2" s="48" t="str">
        <f>IF(IA2&lt;&gt;"",(IF(IA2="y",CHAR(34)&amp;"largec"&amp;CHAR(34)&amp;",",CHAR(34)&amp;"smallc"&amp;CHAR(34)&amp;",")),"")</f>
        <v/>
      </c>
      <c r="DW2" s="48" t="str">
        <f>IF(CL2="y",CHAR(34)&amp;CL$1&amp;CHAR(34)&amp;",","")</f>
        <v/>
      </c>
      <c r="DX2" s="48" t="str">
        <f>IF(CM2="y",CHAR(34)&amp;CM$1&amp;CHAR(34)&amp;",","")</f>
        <v/>
      </c>
      <c r="DY2" s="48" t="str">
        <f>IF(CN2="y",CHAR(34)&amp;CN$1&amp;CHAR(34)&amp;",","")</f>
        <v>"3Bands",</v>
      </c>
      <c r="DZ2" s="48" t="str">
        <f>IF(CO2="y",CHAR(34)&amp;CO$1&amp;CHAR(34)&amp;",","")</f>
        <v/>
      </c>
      <c r="EA2" s="48" t="str">
        <f>IF(T2="y",CHAR(34)&amp;T$1&amp;CHAR(34)&amp;",","")</f>
        <v/>
      </c>
      <c r="EB2" s="48" t="str">
        <f>IF(U2="y",CHAR(34)&amp;U$1&amp;CHAR(34)&amp;",","")</f>
        <v/>
      </c>
      <c r="EC2" s="48" t="str">
        <f>IF(V2="y",CHAR(34)&amp;V$1&amp;CHAR(34)&amp;",","")</f>
        <v>"Horizo",</v>
      </c>
      <c r="ED2" s="48" t="str">
        <f>IF(W2="y",CHAR(34)&amp;W$1&amp;CHAR(34)&amp;",","")</f>
        <v>"Vertic",</v>
      </c>
      <c r="EE2" s="48" t="str">
        <f>IF(X2="y",CHAR(34)&amp;X$1&amp;CHAR(34)&amp;",","")</f>
        <v/>
      </c>
      <c r="EF2" s="48" t="str">
        <f>IF(AND(Y2&lt;&gt;"n",Y2&lt;&gt;""),CHAR(34)&amp;Y$1&amp;CHAR(34)&amp;",","")</f>
        <v/>
      </c>
      <c r="EG2" s="48" t="str">
        <f>IF(Z2="y",CHAR(34)&amp;Z$1&amp;CHAR(34)&amp;",","")</f>
        <v/>
      </c>
      <c r="EH2" s="48" t="str">
        <f>IF(AA2="y",CHAR(34)&amp;AA$1&amp;CHAR(34)&amp;",","")</f>
        <v/>
      </c>
      <c r="EI2" s="48" t="str">
        <f>IF(AB2="y",CHAR(34)&amp;AB$1&amp;CHAR(34)&amp;",","")</f>
        <v/>
      </c>
      <c r="EJ2" s="48" t="str">
        <f>IF(AC2="y",CHAR(34)&amp;AC$1&amp;CHAR(34)&amp;",","")</f>
        <v/>
      </c>
      <c r="EK2" s="48" t="str">
        <f>IF(AD2="y",CHAR(34)&amp;AD$1&amp;CHAR(34)&amp;",","")</f>
        <v/>
      </c>
      <c r="EL2" s="48" t="str">
        <f>IF(AE2="y",CHAR(34)&amp;AE$1&amp;CHAR(34)&amp;",","")</f>
        <v/>
      </c>
      <c r="EM2" s="48" t="str">
        <f>IF(AF2="y",CHAR(34)&amp;AF$1&amp;CHAR(34)&amp;",","")</f>
        <v/>
      </c>
      <c r="EN2" s="48" t="str">
        <f>IF(AG2="y",CHAR(34)&amp;AG$1&amp;CHAR(34)&amp;",","")</f>
        <v>"Unequa",</v>
      </c>
      <c r="EO2" s="48" t="str">
        <f>IF(AH2="y",CHAR(34)&amp;AH$1&amp;CHAR(34)&amp;",","")</f>
        <v/>
      </c>
      <c r="EP2" s="48" t="str">
        <f>IF(AI2="y",CHAR(34)&amp;AI$1&amp;CHAR(34)&amp;",","")</f>
        <v/>
      </c>
      <c r="EQ2" s="48" t="str">
        <f>IF(AJ2="y",CHAR(34)&amp;AJ$1&amp;CHAR(34)&amp;",","")</f>
        <v/>
      </c>
      <c r="ER2" s="48" t="str">
        <f>IF(AK2="y",CHAR(34)&amp;AK$1&amp;CHAR(34)&amp;",","")</f>
        <v>"OnlyBa",</v>
      </c>
      <c r="ES2" s="48" t="str">
        <f>IF(AL2="y",CHAR(34)&amp;AL$1&amp;CHAR(34)&amp;",","")</f>
        <v/>
      </c>
      <c r="ET2" s="48" t="str">
        <f>IF(AM2="y",CHAR(34)&amp;AM$1&amp;CHAR(34)&amp;",","")</f>
        <v/>
      </c>
      <c r="EU2" s="48" t="str">
        <f>IF(AN2="y",CHAR(34)&amp;AN$1&amp;CHAR(34)&amp;",","")</f>
        <v/>
      </c>
      <c r="EV2" s="48" t="str">
        <f>IF(AO2="y",CHAR(34)&amp;AO$1&amp;CHAR(34)&amp;",","")</f>
        <v/>
      </c>
      <c r="EW2" s="48" t="str">
        <f>IF(AP2="y",CHAR(34)&amp;AP$1&amp;CHAR(34)&amp;",","")</f>
        <v/>
      </c>
      <c r="EX2" s="48" t="str">
        <f>IF(AQ2="y",CHAR(34)&amp;AQ$1&amp;CHAR(34)&amp;",","")</f>
        <v/>
      </c>
      <c r="EY2" s="48" t="str">
        <f>IF(AR2="y",CHAR(34)&amp;AR$1&amp;CHAR(34)&amp;",","")</f>
        <v/>
      </c>
      <c r="EZ2" s="48" t="str">
        <f>IF(AS2="y",CHAR(34)&amp;AS$1&amp;CHAR(34)&amp;",","")</f>
        <v/>
      </c>
      <c r="FA2" s="48" t="str">
        <f>IF(AT2&gt;0,CHAR(34)&amp;"sta"&amp;AZ2&amp;CHAR(34)&amp;",","")</f>
        <v/>
      </c>
      <c r="FB2" s="48" t="str">
        <f>IF(AND(AT2&gt;0,BA2&lt;&gt;""),CHAR(34)&amp;"sta"&amp;BA2&amp;CHAR(34)&amp;",","")</f>
        <v/>
      </c>
      <c r="FC2" s="48" t="str">
        <f>IF(AND(AT2&gt;0,BB2&lt;&gt;""),CHAR(34)&amp;"sta"&amp;BB2&amp;CHAR(34)&amp;",","")</f>
        <v/>
      </c>
      <c r="FD2" s="48" t="str">
        <f>IF(BV2="n",CHAR(34)&amp;"tcWHYE"&amp;CHAR(34)&amp;",",IF(BV2="y",CHAR(34)&amp;FD$1&amp;CHAR(34)&amp;",",""))</f>
        <v/>
      </c>
      <c r="FE2" s="48" t="str">
        <f>IF(COUNTIF(BL2:BT2,"BLU")=0,CHAR(34)&amp;"NO_BLU"&amp;CHAR(34)&amp;",", "")</f>
        <v>"NO_BLU",</v>
      </c>
      <c r="FF2" s="48" t="str">
        <f>IF(COUNTIF(BL2:BT2,"WHI")=0,CHAR(34)&amp;"NO_WHI"&amp;CHAR(34)&amp;",", "")</f>
        <v/>
      </c>
      <c r="FG2" s="48" t="str">
        <f>IF(COUNTIF(BL2:BT2,"RED")=0,CHAR(34)&amp;"NO_RED"&amp;CHAR(34)&amp;",", "")</f>
        <v/>
      </c>
      <c r="FH2" s="48" t="str">
        <f>IF(COUNTIF(BL2:BS2,"GRE")=0,CHAR(34)&amp;"NO_GRE"&amp;CHAR(34)&amp;",", "")</f>
        <v/>
      </c>
      <c r="FI2" s="48" t="str">
        <f>IF(COUNTIF(BL2:BT2,"YEL")=0,CHAR(34)&amp;"NO_YEL"&amp;CHAR(34)&amp;",", "")</f>
        <v>"NO_YEL",</v>
      </c>
      <c r="FJ2" s="48" t="str">
        <f>IF(COUNTIF(BL2:BT2,"BLA")=0,CHAR(34)&amp;"NO_BLA"&amp;CHAR(34)&amp;",", "")</f>
        <v>"NO_BLA",</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
      </c>
      <c r="FP2" s="48" t="str">
        <f>IF(AND(FF2&lt;&gt;"",FF2&lt;&gt;""),CHAR(34)&amp;"WHRENO"&amp;CHAR(34)&amp;",","")</f>
        <v/>
      </c>
      <c r="FQ2" s="48" t="str">
        <f>IF(LEN(BF2)=3,CHAR(34)&amp;"001"&amp;BF2&amp;CHAR(34)&amp;",","")</f>
        <v>"001WHI",</v>
      </c>
      <c r="FR2" s="48" t="str">
        <f>IF(LEN(BG2)=3,CHAR(34)&amp;"002"&amp;BG2&amp;CHAR(34)&amp;",","")</f>
        <v>"002RED",</v>
      </c>
      <c r="FS2" s="48" t="str">
        <f>IF(LEN(BH2)=3,CHAR(34)&amp;"003"&amp;BH2&amp;CHAR(34)&amp;",","")</f>
        <v>"003GRE",</v>
      </c>
      <c r="FT2" s="48" t="str">
        <f>CHAR(34)&amp;"myr"&amp;BD2&amp;CHAR(34)&amp;","</f>
        <v>"myrEQ",</v>
      </c>
      <c r="FU2" s="48" t="str">
        <f>IF(AY2="y",CHAR(34)&amp;"island"&amp;CHAR(34)&amp;",","")</f>
        <v>"island",</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
      </c>
      <c r="GA2" s="48" t="str">
        <f>IFERROR(IF(SEARCH("French",CB2)&gt;0,CHAR(34)&amp;"french"&amp;CHAR(34)&amp;",",""),"")</f>
        <v>"french",</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"NoStar",</v>
      </c>
      <c r="GK2" s="48" t="str">
        <f>IF(GJ2="",CHAR(34)&amp;"HasSta"&amp;CHAR(34)&amp;",","")</f>
        <v/>
      </c>
      <c r="GL2" s="48" t="str">
        <f>IF(CQ2="y",CHAR(34)&amp;CQ$1&amp;CHAR(34)&amp;",","")</f>
        <v/>
      </c>
      <c r="GM2" s="48" t="str">
        <f>IF(CR2="y",CHAR(34)&amp;CR$1&amp;CHAR(34)&amp;",","")</f>
        <v/>
      </c>
      <c r="GN2" s="48" t="str">
        <f>IF(CS2="y",CHAR(34)&amp;CS$1&amp;CHAR(34)&amp;",","")</f>
        <v/>
      </c>
      <c r="GP2" s="48" t="str">
        <f>CHAR(34)&amp;AU2&amp;CHAR(34)</f>
        <v>""</v>
      </c>
      <c r="GS2" s="48" t="str">
        <f>SUBSTITUTE("["&amp;_xlfn.CONCAT(CW2:GN2)&amp;"]",",]","]")</f>
        <v>["3Color","lets10","startM","REEDHI","year19","3Bands","Horizo","Vertic","Unequa","OnlyBa","NO_BLU","NO_YEL","NO_BLA","001WHI","002RED","003GRE","myrEQ","island","french","NoStar"]</v>
      </c>
      <c r="GT2" s="48" t="str">
        <f>IF(BL2&lt;&gt;"",CHAR(34)&amp;"cl_"&amp;BL2&amp;CHAR(34)&amp;",","")</f>
        <v>"cl_WHI",</v>
      </c>
      <c r="GU2" s="48" t="str">
        <f>IF(BM2&lt;&gt;"",CHAR(34)&amp;"cl_"&amp;BM2&amp;CHAR(34)&amp;",","")</f>
        <v>"cl_RED",</v>
      </c>
      <c r="GV2" s="48" t="str">
        <f>IF(BN2&lt;&gt;"",CHAR(34)&amp;"cl_"&amp;BN2&amp;CHAR(34)&amp;",","")</f>
        <v>"cl_GRE",</v>
      </c>
      <c r="GW2" s="48" t="str">
        <f>IF(BO2&lt;&gt;"",CHAR(34)&amp;"cl_"&amp;BO2&amp;CHAR(34)&amp;",","")</f>
        <v/>
      </c>
      <c r="GX2" s="48" t="str">
        <f>IF(BP2&lt;&gt;"",CHAR(34)&amp;"cl_"&amp;BP2&amp;CHAR(34)&amp;",","")</f>
        <v/>
      </c>
      <c r="GY2" s="48" t="str">
        <f>IF(BQ2&lt;&gt;"",CHAR(34)&amp;"cl_"&amp;BQ2&amp;CHAR(34)&amp;",","")</f>
        <v/>
      </c>
      <c r="GZ2" s="48" t="str">
        <f>IF(BR2&lt;&gt;"",CHAR(34)&amp;"cl_"&amp;BR2&amp;CHAR(34)&amp;",","")</f>
        <v/>
      </c>
      <c r="HA2" s="48" t="str">
        <f>IF(BS2&lt;&gt;"",CHAR(34)&amp;"cl_"&amp;BS2&amp;CHAR(34)&amp;",","")</f>
        <v/>
      </c>
      <c r="HB2" s="48" t="str">
        <f>IF(BT2&lt;&gt;"",CHAR(34)&amp;"cl_"&amp;BT2&amp;CHAR(34)&amp;",","")</f>
        <v/>
      </c>
      <c r="HC2" s="48" t="str">
        <f>SUBSTITUTE("["&amp;_xlfn.CONCAT(GT2:HB2)&amp;"]",",]","]")</f>
        <v>["cl_WHI","cl_RED","cl_GRE"]</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{couname:"Madagascar",year:"1958 ",region:"rgn_Africa",Colors:["cl_WHI","cl_RED","cl_GRE"],Items:["3Color","lets10","startM","REEDHI","year19","3Bands","Horizo","Vertic","Unequa","OnlyBa","NO_BLU","NO_YEL","NO_BLA","001WHI","002RED","003GRE","myrEQ","island","french","NoStar"],Flag:"https://i.ibb.co/D9W1mLD/Madagascar-Flag.png",HDFlag:"https://upload.wikimedia.org/wikipedia/commons/thumb/b/bc/Flag_of_Madagascar.svg/2560px-Flag_of_Madagascar.svg.png",type:"", describe: "\nThe colors of the flag represent Madagascar's history and traditional peasant classes. Red and white were the colors of the Merina kingdom, which was conquered by France in 1896. They were used in the flag of the last Merina monarch, Queen Ranavalona III. Green was the color of the Hova, the largest class of peasant commoners, who played a significant role in anti-French agitation and the independence movement.", isnew:".", links: "https://en.wikipedia.org/wiki/Flag_of_Madagascar"},</v>
      </c>
      <c r="HG2" s="73" t="str">
        <f>"{couname:"&amp;CT2&amp;(IF(HK2&lt;&gt;"",",subtype:"&amp;CHAR(34)&amp;HK2&amp;CHAR(34),""))&amp;",year:"&amp;HJ2&amp;",region:"&amp;CU2&amp;",Colors:"&amp;HC2&amp;",Items:"&amp;GS2&amp;",Flag:"&amp;CV2&amp;",HDFlag:"&amp;CHAR(34)&amp;E2&amp;CHAR(34)&amp;",type:"&amp;GP2&amp;", describe: "&amp;HI2&amp;", links: "&amp;HL2&amp;"},"</f>
        <v>{couname:"Madagascar",year:"1958 ",region:"rgn_Africa",Colors:["cl_WHI","cl_RED","cl_GRE"],Items:["3Color","lets10","startM","REEDHI","year19","3Bands","Horizo","Vertic","Unequa","OnlyBa","NO_BLU","NO_YEL","NO_BLA","001WHI","002RED","003GRE","myrEQ","island","french","NoStar"],Flag:"https://i.ibb.co/D9W1mLD/Madagascar-Flag.png",HDFlag:"https://upload.wikimedia.org/wikipedia/commons/thumb/b/bc/Flag_of_Madagascar.svg/2560px-Flag_of_Madagascar.svg.png",type:"", describe: "\nThe colors of the flag represent Madagascar's history and traditional peasant classes. Red and white were the colors of the Merina kingdom, which was conquered by France in 1896. They were used in the flag of the last Merina monarch, Queen Ranavalona III. Green was the color of the Hova, the largest class of peasant commoners, who played a significant role in anti-French agitation and the independence movement.", links: "https://en.wikipedia.org/wiki/Flag_of_Madagascar"},</v>
      </c>
      <c r="HH2" s="48" t="str">
        <f>IF(P2&lt;&gt;"",CHAR(34)&amp;"\n"&amp;P2&amp;CHAR(34),CHAR(34)&amp;CHAR(34))</f>
        <v>"\nThe colors of the flag represent Madagascar's history and traditional peasant classes. Red and white were the colors of the Merina kingdom, which was conquered by France in 1896. They were used in the flag of the last Merina monarch, Queen Ranavalona III. Green was the color of the Hova, the largest class of peasant commoners, who played a significant role in anti-French agitation and the independence movement."</v>
      </c>
      <c r="HI2" s="48" t="str">
        <f>IF(J2=0,CHAR(34)&amp;CHAR(34),HH2)</f>
        <v>"\nThe colors of the flag represent Madagascar's history and traditional peasant classes. Red and white were the colors of the Merina kingdom, which was conquered by France in 1896. They were used in the flag of the last Merina monarch, Queen Ranavalona III. Green was the color of the Hova, the largest class of peasant commoners, who played a significant role in anti-French agitation and the independence movement."</v>
      </c>
      <c r="HJ2" s="48" t="str">
        <f>CHAR(34)&amp;O2&amp;CHAR(34)</f>
        <v>"1958 "</v>
      </c>
      <c r="HL2" s="48" t="str">
        <f>CHAR(34)&amp;I2&amp;CHAR(34)</f>
        <v>"https://en.wikipedia.org/wiki/Flag_of_Madagascar"</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{"couname":"Madagascar","year":"1958 ","region":"rgn_Africa","Colors":["cl_WHI","cl_RED","cl_GRE"],"Items":["3Color","lets10","startM","REEDHI","year19","3Bands","Horizo","Vertic","Unequa","OnlyBa","NO_BLU","NO_YEL","NO_BLA","001WHI","002RED","003GRE","myrEQ","island","french","NoStar"],"Flag":"https://i.ibb.co/D9W1mLD/Madagascar-Flag.png","HDFlag":"https://upload.wikimedia.org/wikipedia/commons/thumb/b/bc/Flag_of_Madagascar.svg/2560px-Flag_of_Madagascar.svg.png","type":"", "describe": "\nThe colors of the flag represent Madagascar's history and traditional peasant classes. Red and white were the colors of the Merina kingdom, which was conquered by France in 1896. They were used in the flag of the last Merina monarch, Queen Ranavalona III. Green was the color of the Hova, the largest class of peasant commoners, who played a significant role in anti-French agitation and the independence movement.", "isnew": ".", "links": "https://en.wikipedia.org/wiki/Flag_of_Madagascar"},</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{"couname":"Madagascar","year":"1958 ","region":"rgn_Africa","Colors":["cl_WHI","cl_RED","cl_GRE"],"Items":["3Color","lets10","startM","REEDHI","year19","3Bands","Horizo","Vertic","Unequa","OnlyBa","NO_BLU","NO_YEL","NO_BLA","001WHI","002RED","003GRE","myrEQ","island","french","NoStar"],"Flag":"https://i.ibb.co/D9W1mLD/Madagascar-Flag.png","HDFlag":"https://upload.wikimedia.org/wikipedia/commons/thumb/b/bc/Flag_of_Madagascar.svg/2560px-Flag_of_Madagascar.svg.png","type":"", "describe": "\nThe colors of the flag represent Madagascar's history and traditional peasant classes. Red and white were the colors of the Merina kingdom, which was conquered by France in 1896. They were used in the flag of the last Merina monarch, Queen Ranavalona III. Green was the color of the Hova, the largest class of peasant commoners, who played a significant role in anti-French agitation and the independence movement.", "isnew": ".", "links": "https://en.wikipedia.org/wiki/Flag_of_Madagascar"},</v>
      </c>
      <c r="HO2" s="75"/>
      <c r="HP2" s="48" t="str" cm="1">
        <f t="array" ref="HP2">IF(_xlfn.TEXTJOIN(", ", TRUE, IF(ISNUMBER(SEARCH("BLA", BL2:BT2)), COLUMN(BL2:BT2) - COLUMN(BL2) + 1, ""))&lt;&gt;"","BLA","")</f>
        <v/>
      </c>
      <c r="HQ2" s="48" t="str" cm="1">
        <f t="array" ref="HQ2">IF(_xlfn.TEXTJOIN(", ", TRUE, IF(ISNUMBER(SEARCH("BLU", BL2:BT2)), COLUMN(BL2:BT2) - COLUMN(BL2) + 1, ""))&lt;&gt;"","BLU","")</f>
        <v/>
      </c>
      <c r="HR2" s="48" t="str" cm="1">
        <f t="array" ref="HR2">IF(_xlfn.TEXTJOIN(", ", TRUE, IF(ISNUMBER(SEARCH("GRE", BL2:BT2)), COLUMN(BL2:BT2) - COLUMN(BL2) + 1, ""))&lt;&gt;"","GRE","")</f>
        <v>GRE</v>
      </c>
      <c r="HS2" s="48" t="str" cm="1">
        <f t="array" ref="HS2">IF(_xlfn.TEXTJOIN(", ", TRUE, IF(ISNUMBER(SEARCH("RED", BL2:BT2)), COLUMN(BL2:BT2) - COLUMN(BL2) + 1, ""))&lt;&gt;"","RED","")</f>
        <v>RED</v>
      </c>
      <c r="HT2" s="48" t="str" cm="1">
        <f t="array" ref="HT2">IF(_xlfn.TEXTJOIN(", ", TRUE, IF(ISNUMBER(SEARCH("YEL", BL2:BT2)), COLUMN(BL2:BT2) - COLUMN(BL2) + 1, ""))&lt;&gt;"","YEL","")</f>
        <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c r="IB2" s="6"/>
      <c r="IC2" s="77"/>
      <c r="ID2" s="77"/>
      <c r="IE2" s="77"/>
      <c r="IF2" s="77"/>
      <c r="IG2" s="77"/>
      <c r="IH2" s="77"/>
      <c r="II2" s="77"/>
      <c r="IJ2" s="77"/>
      <c r="IK2" s="77"/>
      <c r="IL2" s="48">
        <f>SUM(IC2:IK2)</f>
        <v>0</v>
      </c>
      <c r="IM2" s="45">
        <f>COUNTIF(IC2:IK2,"&gt;0")-CG2</f>
        <v>-3</v>
      </c>
      <c r="IN2" s="78" t="str">
        <f>"http://mkweb.bcgsc.ca/color-summarizer/?url="&amp;D2&amp;"&amp;precision=low&amp;num_clusters="&amp;CG2&amp;"&amp;text=1"</f>
        <v>http://mkweb.bcgsc.ca/color-summarizer/?url=https://i.ibb.co/D9W1mLD/Madagascar-Flag.png&amp;precision=low&amp;num_clusters=3&amp;text=1</v>
      </c>
      <c r="IO2" s="48" t="str">
        <f>IF(HP2&lt;&gt;"",CHAR(34)&amp;"black"&amp;CHAR(34),"")</f>
        <v/>
      </c>
      <c r="IP2" s="48" t="str">
        <f>IF(HQ2&lt;&gt;"",CHAR(34)&amp;"blue"&amp;CHAR(34),"")</f>
        <v/>
      </c>
      <c r="IQ2" s="48" t="str">
        <f>IF(HR2&lt;&gt;"",CHAR(34)&amp;"green"&amp;CHAR(34),"")</f>
        <v>"green"</v>
      </c>
      <c r="IR2" s="48" t="str">
        <f>IF(HS2&lt;&gt;"",CHAR(34)&amp;"red"&amp;CHAR(34),"")</f>
        <v>"red"</v>
      </c>
      <c r="IS2" s="48" t="str">
        <f>IF(HT2&lt;&gt;"",CHAR(34)&amp;"yellow"&amp;CHAR(34),"")</f>
        <v/>
      </c>
      <c r="IT2" s="48" t="str">
        <f>IF(HU2&lt;&gt;"",CHAR(34)&amp;"orange"&amp;CHAR(34),"")</f>
        <v/>
      </c>
      <c r="IU2" s="48" t="str">
        <f>IF(HV2&lt;&gt;"",CHAR(34)&amp;"brown"&amp;CHAR(34),"")</f>
        <v/>
      </c>
      <c r="IV2" s="48" t="str">
        <f>IF(HW2&lt;&gt;"",CHAR(34)&amp;"purple"&amp;CHAR(34),"")</f>
        <v/>
      </c>
      <c r="IW2" s="48" t="str">
        <f>IF(HX2&lt;&gt;"",CHAR(34)&amp;"white"&amp;CHAR(34),"")</f>
        <v>"white"</v>
      </c>
      <c r="IX2" s="48" t="str">
        <f>"{"&amp;CHAR(34)&amp;"url"&amp;CHAR(34)&amp;":"&amp;CHAR(34)&amp;IN2&amp;CHAR(34)&amp;","&amp;CHAR(34)&amp;"name"&amp;CHAR(34)&amp;":"&amp;CHAR(34)&amp;A2&amp;CHAR(34)&amp;"},"</f>
        <v>{"url":"http://mkweb.bcgsc.ca/color-summarizer/?url=https://i.ibb.co/D9W1mLD/Madagascar-Flag.png&amp;precision=low&amp;num_clusters=3&amp;text=1","name":"Madagascar"},</v>
      </c>
      <c r="IY2" s="48">
        <v>127</v>
      </c>
    </row>
    <row r="3" spans="1:259" s="48" customFormat="1" ht="38.4" customHeight="1" thickBot="1" x14ac:dyDescent="0.35">
      <c r="A3" s="79" t="s">
        <v>856</v>
      </c>
      <c r="B3" s="40" t="e" vm="66">
        <v>#VALUE!</v>
      </c>
      <c r="C3" s="41">
        <v>2</v>
      </c>
      <c r="D3" s="42" t="s">
        <v>857</v>
      </c>
      <c r="E3" s="43" t="s">
        <v>858</v>
      </c>
      <c r="F3" s="44" t="s">
        <v>163</v>
      </c>
      <c r="G3" s="45">
        <f>COUNTIF($A$1:$A$8353,A3)</f>
        <v>1</v>
      </c>
      <c r="H3" s="46"/>
      <c r="I3" s="47" t="s">
        <v>859</v>
      </c>
      <c r="J3" s="48" t="str">
        <f>""</f>
        <v/>
      </c>
      <c r="K3" s="49"/>
      <c r="L3" s="50"/>
      <c r="M3" s="50"/>
      <c r="N3" s="51" t="s">
        <v>180</v>
      </c>
      <c r="O3" s="52" t="s">
        <v>170</v>
      </c>
      <c r="P3" s="53" t="s">
        <v>860</v>
      </c>
      <c r="Q3" s="54">
        <v>1</v>
      </c>
      <c r="R3" s="55" t="s">
        <v>180</v>
      </c>
      <c r="S3" s="56">
        <v>0</v>
      </c>
      <c r="T3" s="57" t="s">
        <v>164</v>
      </c>
      <c r="U3" s="58" t="s">
        <v>167</v>
      </c>
      <c r="V3" s="58" t="s">
        <v>167</v>
      </c>
      <c r="W3" s="58" t="s">
        <v>167</v>
      </c>
      <c r="X3" s="58" t="s">
        <v>167</v>
      </c>
      <c r="Y3" s="58" t="s">
        <v>167</v>
      </c>
      <c r="Z3" s="58" t="s">
        <v>164</v>
      </c>
      <c r="AA3" s="58" t="s">
        <v>164</v>
      </c>
      <c r="AB3" s="58" t="s">
        <v>164</v>
      </c>
      <c r="AC3" s="58" t="s">
        <v>164</v>
      </c>
      <c r="AD3" s="58" t="s">
        <v>164</v>
      </c>
      <c r="AE3" s="58" t="s">
        <v>164</v>
      </c>
      <c r="AF3" s="59" t="s">
        <v>164</v>
      </c>
      <c r="AG3" s="59" t="s">
        <v>164</v>
      </c>
      <c r="AH3" s="59" t="s">
        <v>167</v>
      </c>
      <c r="AI3" s="59" t="s">
        <v>167</v>
      </c>
      <c r="AJ3" s="59" t="s">
        <v>164</v>
      </c>
      <c r="AK3" s="59" t="s">
        <v>164</v>
      </c>
      <c r="AL3" s="59" t="s">
        <v>164</v>
      </c>
      <c r="AM3" s="59" t="s">
        <v>164</v>
      </c>
      <c r="AN3" s="59" t="s">
        <v>164</v>
      </c>
      <c r="AO3" s="59" t="s">
        <v>164</v>
      </c>
      <c r="AP3" s="59" t="s">
        <v>164</v>
      </c>
      <c r="AQ3" s="59" t="s">
        <v>164</v>
      </c>
      <c r="AR3" s="59" t="s">
        <v>164</v>
      </c>
      <c r="AS3" s="59" t="s">
        <v>164</v>
      </c>
      <c r="AT3" s="60">
        <v>0</v>
      </c>
      <c r="AU3" s="59" t="s">
        <v>171</v>
      </c>
      <c r="AV3" s="59" t="str">
        <f>IF(LEFT(A3,1)="[",LEFT(A3,5)&amp;AU3&amp;A3,"")</f>
        <v>[MDG]Capital City[MDG] Antananarivo</v>
      </c>
      <c r="AW3" s="59" t="str">
        <f t="shared" ref="AW3:AW4" si="1">C3&amp;H3&amp;A3</f>
        <v>2[MDG] Antananarivo</v>
      </c>
      <c r="AX3" s="61"/>
      <c r="AY3" s="61"/>
      <c r="AZ3" s="62" t="s">
        <v>172</v>
      </c>
      <c r="BA3" s="62" t="s">
        <v>172</v>
      </c>
      <c r="BB3" s="62"/>
      <c r="BC3" s="63"/>
      <c r="BD3" s="64" t="s">
        <v>169</v>
      </c>
      <c r="BE3" s="47"/>
      <c r="BF3" s="64" t="s">
        <v>172</v>
      </c>
      <c r="BG3" s="64" t="s">
        <v>172</v>
      </c>
      <c r="BH3" s="64" t="s">
        <v>172</v>
      </c>
      <c r="BI3" s="64"/>
      <c r="BJ3" s="64"/>
      <c r="BK3" s="47"/>
      <c r="BL3" s="64" t="s">
        <v>151</v>
      </c>
      <c r="BM3" s="64" t="s">
        <v>152</v>
      </c>
      <c r="BN3" s="64" t="s">
        <v>172</v>
      </c>
      <c r="BO3" s="64" t="s">
        <v>172</v>
      </c>
      <c r="BP3" s="64" t="s">
        <v>155</v>
      </c>
      <c r="BQ3" s="64" t="s">
        <v>172</v>
      </c>
      <c r="BR3" s="64" t="s">
        <v>172</v>
      </c>
      <c r="BS3" s="64" t="s">
        <v>172</v>
      </c>
      <c r="BT3" s="64" t="s">
        <v>159</v>
      </c>
      <c r="BU3" s="65" t="s">
        <v>164</v>
      </c>
      <c r="BV3" s="66"/>
      <c r="BW3" s="66">
        <v>0</v>
      </c>
      <c r="BX3" s="47"/>
      <c r="CB3" s="6"/>
      <c r="CC3" s="6"/>
      <c r="CD3" s="67">
        <v>0</v>
      </c>
      <c r="CE3" s="67">
        <v>0</v>
      </c>
      <c r="CF3" s="67" t="e">
        <v>#REF!</v>
      </c>
      <c r="CG3" s="68" cm="1">
        <f t="array" ref="CG3">SUMPRODUCT(--(LEN(TRIM(BL3:BT3))&gt;0))</f>
        <v>4</v>
      </c>
      <c r="CH3" s="59" t="str">
        <f>IF(CG3=2,"y","n")</f>
        <v>n</v>
      </c>
      <c r="CI3" s="59" t="str">
        <f>IF(CG3=3,"y","n")</f>
        <v>n</v>
      </c>
      <c r="CJ3" s="59" t="str">
        <f>IF(CG3=4,"y","n")</f>
        <v>y</v>
      </c>
      <c r="CK3" s="59" t="str">
        <f>IF(CG3&gt;4,"y","n")</f>
        <v>n</v>
      </c>
      <c r="CL3" s="59" t="str">
        <f>IF(S3=0,"y","n")</f>
        <v>y</v>
      </c>
      <c r="CM3" s="59" t="str">
        <f>IF(S3=2,"y","n")</f>
        <v>n</v>
      </c>
      <c r="CN3" s="59" t="str">
        <f>IF(S3=3,"y","n")</f>
        <v>n</v>
      </c>
      <c r="CO3" s="59" t="str">
        <f>IF(S3&gt;=4,"y","n")</f>
        <v>n</v>
      </c>
      <c r="CP3" s="59" t="str">
        <f>IF(AT3=0,"y","n")</f>
        <v>y</v>
      </c>
      <c r="CQ3" s="59" t="str">
        <f>IF(AT3=1,"y","n")</f>
        <v>n</v>
      </c>
      <c r="CR3" s="59" t="str">
        <f>IF(AT3=2,"y","n")</f>
        <v>n</v>
      </c>
      <c r="CS3" s="59" t="str">
        <f>IF(AT3&gt;=3,"y","n")</f>
        <v>n</v>
      </c>
      <c r="CT3" s="69" t="str">
        <f>CHAR(34)&amp;A3&amp;CHAR(34)</f>
        <v>"[MDG] Antananarivo"</v>
      </c>
      <c r="CU3" s="70" t="str">
        <f>CHAR(34)&amp;"rgn_"&amp;R3&amp;CHAR(34)</f>
        <v>"rgn_Africa"</v>
      </c>
      <c r="CV3" s="48" t="str">
        <f>CHAR(34)&amp;D3&amp;CHAR(34)</f>
        <v>"https://upload.wikimedia.org/wikipedia/commons/thumb/4/4b/Flag_of_Antananarivo%2C_Madagascar.svg/320px-Flag_of_Antananarivo%2C_Madagascar.svg.png"</v>
      </c>
      <c r="CW3" s="48" t="str">
        <f>IF(CH3="y",CHAR(34)&amp;CH$1&amp;CHAR(34)&amp;",","")</f>
        <v/>
      </c>
      <c r="CX3" s="48" t="str">
        <f>IF(CI3="y",CHAR(34)&amp;CI$1&amp;CHAR(34)&amp;",","")</f>
        <v/>
      </c>
      <c r="CY3" s="48" t="str">
        <f>IF(CJ3="y",CHAR(34)&amp;CJ$1&amp;CHAR(34)&amp;",","")</f>
        <v>"4Color",</v>
      </c>
      <c r="CZ3" s="48" t="str">
        <f>IF(CK3="y",CHAR(34)&amp;CK$1&amp;CHAR(34)&amp;",","")</f>
        <v/>
      </c>
      <c r="DA3" s="48" t="str">
        <f>IF(Q3&gt;1,CHAR(34)&amp;"words2"&amp;CHAR(34)&amp;",","")</f>
        <v/>
      </c>
      <c r="DB3" s="48" t="str">
        <f>IF(Q3&gt;2,CHAR(34)&amp;"words3"&amp;CHAR(34)&amp;",","")</f>
        <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"lets12",</v>
      </c>
      <c r="DE3" s="48" t="str">
        <f>CHAR(34)&amp;"start"&amp;IFERROR(LEFT(SUBSTITUTE(A3,"["&amp;MID(A3,FIND("[",A3)+1,FIND("]",A3)-FIND("[",A3)-1)&amp;"] ",""),1),LEFT(A3,1))&amp;CHAR(34)&amp;","</f>
        <v>"startA",</v>
      </c>
      <c r="DF3" s="48" t="str">
        <f>IFERROR(IF(SEARCH("tan",A3)&gt;0,CHAR(34)&amp;"withtn"&amp;CHAR(34)&amp;",",""),"")</f>
        <v>"withtn",</v>
      </c>
      <c r="DG3" s="48" t="str">
        <f>IFERROR(IF(SEARCH("q",A3)&gt;0,CHAR(34)&amp;"with_q"&amp;CHAR(34)&amp;",",""),"")</f>
        <v/>
      </c>
      <c r="DH3" s="48" t="str">
        <f>IFERROR(IF(SEARCH("v",A3)&gt;0,CHAR(34)&amp;"with_v"&amp;CHAR(34)&amp;",",""),"")</f>
        <v>"with_v",</v>
      </c>
      <c r="DI3" s="48" t="str">
        <f>IFERROR(IF(SEARCH("w",A3)&gt;0,CHAR(34)&amp;"with_w"&amp;CHAR(34)&amp;",",""),"")</f>
        <v/>
      </c>
      <c r="DJ3" s="48" t="str">
        <f>IFERROR(IF(SEARCH("y",A3)&gt;0,CHAR(34)&amp;"with_y"&amp;CHAR(34)&amp;",",""),"")</f>
        <v/>
      </c>
      <c r="DK3" s="48" t="str">
        <f>IFERROR(IF(SEARCH("z",A3)&gt;0,CHAR(34)&amp;"with_z"&amp;CHAR(34)&amp;",",""),"")</f>
        <v/>
      </c>
      <c r="DL3" s="48" t="str">
        <f>IF(CG3=2, CHAR(34) &amp; _xlfn.TEXTJOIN("", TRUE, _xlfn._xlws.SORT(HP3:HX3)) &amp; CHAR(34) &amp; ",", "")</f>
        <v/>
      </c>
      <c r="DM3" s="48" t="str" cm="1">
        <f t="array" ref="DM3">IF(CG3=3,CHAR(34) &amp; _xlfn.TEXTJOIN("", TRUE, RIGHT(HP3:HX3, 2)) &amp; CHAR(34) &amp; ",", "")</f>
        <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
      </c>
      <c r="DP3" s="6" t="str">
        <f>IF(AND(ISNUMBER(SEARCH("20", O3)), ISERROR(SEARCH("1920", O3))), CHAR(34)&amp;"year00"&amp;CHAR(34)&amp;",", "")</f>
        <v/>
      </c>
      <c r="DQ3" s="6" t="str">
        <f>IF(CC3="y",CHAR(34)&amp;"soviet"&amp;CHAR(34)&amp;",","")</f>
        <v/>
      </c>
      <c r="DR3" s="6" t="str">
        <f>IF(BY3="y",CHAR(34)&amp;"dgband"&amp;CHAR(34)&amp;",","")</f>
        <v/>
      </c>
      <c r="DS3" s="6" t="str">
        <f>IF(W3="y",IF(AND(V3="n",BY3&lt;&gt;"y"),CHAR(34)&amp;"allver"&amp;CHAR(34)&amp;",",""),"")</f>
        <v/>
      </c>
      <c r="DT3" s="6" t="str">
        <f>IF(V3="y",IF(AND(W3="n",BY3&lt;&gt;"y"),CHAR(34)&amp;"allhor"&amp;CHAR(34)&amp;",",""),"")</f>
        <v/>
      </c>
      <c r="DU3" s="6" t="str">
        <f>IF(BY3="y",IF(AND(W3="n",V3="n"),CHAR(34)&amp;"alldia"&amp;CHAR(34)&amp;",",""),"")</f>
        <v/>
      </c>
      <c r="DW3" s="48" t="str">
        <f>IF(CL3="y",CHAR(34)&amp;CL$1&amp;CHAR(34)&amp;",","")</f>
        <v>"NoBand",</v>
      </c>
      <c r="DX3" s="48" t="str">
        <f>IF(CM3="y",CHAR(34)&amp;CM$1&amp;CHAR(34)&amp;",","")</f>
        <v/>
      </c>
      <c r="DY3" s="48" t="str">
        <f>IF(CN3="y",CHAR(34)&amp;CN$1&amp;CHAR(34)&amp;",","")</f>
        <v/>
      </c>
      <c r="DZ3" s="48" t="str">
        <f>IF(CO3="y",CHAR(34)&amp;CO$1&amp;CHAR(34)&amp;",","")</f>
        <v/>
      </c>
      <c r="EA3" s="48" t="str">
        <f>IF(T3="y",CHAR(34)&amp;T$1&amp;CHAR(34)&amp;",","")</f>
        <v/>
      </c>
      <c r="EB3" s="48" t="str">
        <f>IF(U3="y",CHAR(34)&amp;U$1&amp;CHAR(34)&amp;",","")</f>
        <v>"Crosse",</v>
      </c>
      <c r="EC3" s="48" t="str">
        <f>IF(V3="y",CHAR(34)&amp;V$1&amp;CHAR(34)&amp;",","")</f>
        <v>"Horizo",</v>
      </c>
      <c r="ED3" s="48" t="str">
        <f>IF(W3="y",CHAR(34)&amp;W$1&amp;CHAR(34)&amp;",","")</f>
        <v>"Vertic",</v>
      </c>
      <c r="EE3" s="48" t="str">
        <f>IF(X3="y",CHAR(34)&amp;X$1&amp;CHAR(34)&amp;",","")</f>
        <v>"Circle",</v>
      </c>
      <c r="EF3" s="48" t="str">
        <f>IF(AND(Y3&lt;&gt;"n",Y3&lt;&gt;""),CHAR(34)&amp;Y$1&amp;CHAR(34)&amp;",","")</f>
        <v>"Animal",</v>
      </c>
      <c r="EG3" s="48" t="str">
        <f>IF(Z3="y",CHAR(34)&amp;Z$1&amp;CHAR(34)&amp;",","")</f>
        <v/>
      </c>
      <c r="EH3" s="48" t="str">
        <f>IF(AA3="y",CHAR(34)&amp;AA$1&amp;CHAR(34)&amp;",","")</f>
        <v/>
      </c>
      <c r="EI3" s="48" t="str">
        <f>IF(AB3="y",CHAR(34)&amp;AB$1&amp;CHAR(34)&amp;",","")</f>
        <v/>
      </c>
      <c r="EJ3" s="48" t="str">
        <f>IF(AC3="y",CHAR(34)&amp;AC$1&amp;CHAR(34)&amp;",","")</f>
        <v/>
      </c>
      <c r="EK3" s="48" t="str">
        <f>IF(AD3="y",CHAR(34)&amp;AD$1&amp;CHAR(34)&amp;",","")</f>
        <v/>
      </c>
      <c r="EL3" s="48" t="str">
        <f>IF(AE3="y",CHAR(34)&amp;AE$1&amp;CHAR(34)&amp;",","")</f>
        <v/>
      </c>
      <c r="EM3" s="48" t="str">
        <f>IF(AF3="y",CHAR(34)&amp;AF$1&amp;CHAR(34)&amp;",","")</f>
        <v/>
      </c>
      <c r="EN3" s="48" t="str">
        <f>IF(AG3="y",CHAR(34)&amp;AG$1&amp;CHAR(34)&amp;",","")</f>
        <v/>
      </c>
      <c r="EO3" s="48" t="str">
        <f>IF(AH3="y",CHAR(34)&amp;AH$1&amp;CHAR(34)&amp;",","")</f>
        <v>"Center",</v>
      </c>
      <c r="EP3" s="48" t="str">
        <f>IF(AI3="y",CHAR(34)&amp;AI$1&amp;CHAR(34)&amp;",","")</f>
        <v>"Canton",</v>
      </c>
      <c r="EQ3" s="48" t="str">
        <f>IF(AJ3="y",CHAR(34)&amp;AJ$1&amp;CHAR(34)&amp;",","")</f>
        <v/>
      </c>
      <c r="ER3" s="48" t="str">
        <f>IF(AK3="y",CHAR(34)&amp;AK$1&amp;CHAR(34)&amp;",","")</f>
        <v/>
      </c>
      <c r="ES3" s="48" t="str">
        <f>IF(AL3="y",CHAR(34)&amp;AL$1&amp;CHAR(34)&amp;",","")</f>
        <v/>
      </c>
      <c r="ET3" s="48" t="str">
        <f>IF(AM3="y",CHAR(34)&amp;AM$1&amp;CHAR(34)&amp;",","")</f>
        <v/>
      </c>
      <c r="EU3" s="48" t="str">
        <f>IF(AN3="y",CHAR(34)&amp;AN$1&amp;CHAR(34)&amp;",","")</f>
        <v/>
      </c>
      <c r="EV3" s="48" t="str">
        <f>IF(AO3="y",CHAR(34)&amp;AO$1&amp;CHAR(34)&amp;",","")</f>
        <v/>
      </c>
      <c r="EW3" s="48" t="str">
        <f>IF(AP3="y",CHAR(34)&amp;AP$1&amp;CHAR(34)&amp;",","")</f>
        <v/>
      </c>
      <c r="EX3" s="48" t="str">
        <f>IF(AQ3="y",CHAR(34)&amp;AQ$1&amp;CHAR(34)&amp;",","")</f>
        <v/>
      </c>
      <c r="EY3" s="48" t="str">
        <f>IF(AR3="y",CHAR(34)&amp;AR$1&amp;CHAR(34)&amp;",","")</f>
        <v/>
      </c>
      <c r="EZ3" s="48" t="str">
        <f>IF(AS3="y",CHAR(34)&amp;AS$1&amp;CHAR(34)&amp;",","")</f>
        <v/>
      </c>
      <c r="FA3" s="48" t="str">
        <f>IF(AT3&gt;0,CHAR(34)&amp;"sta"&amp;AZ3&amp;CHAR(34)&amp;",","")</f>
        <v/>
      </c>
      <c r="FB3" s="48" t="str">
        <f>IF(AND(AT3&gt;0,BA3&lt;&gt;""),CHAR(34)&amp;"sta"&amp;BA3&amp;CHAR(34)&amp;",","")</f>
        <v/>
      </c>
      <c r="FD3" s="48" t="str">
        <f>IF(BV3="n",CHAR(34)&amp;"tcWHYE"&amp;CHAR(34)&amp;",",IF(BV3="y",CHAR(34)&amp;FD$1&amp;CHAR(34)&amp;",",""))</f>
        <v/>
      </c>
      <c r="FE3" s="48" t="str">
        <f>IF(COUNTIF(BL3:BT3,"BLU")=0,CHAR(34)&amp;"NO_BLU"&amp;CHAR(34)&amp;",", "")</f>
        <v/>
      </c>
      <c r="FF3" s="48" t="str">
        <f>IF(COUNTIF(BL3:BT3,"WHI")=0,CHAR(34)&amp;"NO_WHI"&amp;CHAR(34)&amp;",", "")</f>
        <v/>
      </c>
      <c r="FG3" s="48" t="str">
        <f>IF(COUNTIF(BL3:BT3,"RED")=0,CHAR(34)&amp;"NO_RED"&amp;CHAR(34)&amp;",", "")</f>
        <v>"NO_RED",</v>
      </c>
      <c r="FH3" s="48" t="str">
        <f>IF(COUNTIF(BL3:BS3,"GRE")=0,CHAR(34)&amp;"NO_GRE"&amp;CHAR(34)&amp;",", "")</f>
        <v>"NO_GRE",</v>
      </c>
      <c r="FI3" s="48" t="str">
        <f>IF(COUNTIF(BL3:BT3,"YEL")=0,CHAR(34)&amp;"NO_YEL"&amp;CHAR(34)&amp;",", "")</f>
        <v/>
      </c>
      <c r="FJ3" s="48" t="str">
        <f>IF(COUNTIF(BL3:BT3,"BLA")=0,CHAR(34)&amp;"NO_BLA"&amp;CHAR(34)&amp;",", "")</f>
        <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
      </c>
      <c r="FQ3" s="48" t="str">
        <f>IF(LEN(BF3)=3,CHAR(34)&amp;"001"&amp;BF3&amp;CHAR(34)&amp;",","")</f>
        <v/>
      </c>
      <c r="FR3" s="48" t="str">
        <f>IF(LEN(BG3)=3,CHAR(34)&amp;"002"&amp;BG3&amp;CHAR(34)&amp;",","")</f>
        <v/>
      </c>
      <c r="FS3" s="48" t="str">
        <f>IF(LEN(BH3)=3,CHAR(34)&amp;"003"&amp;BH3&amp;CHAR(34)&amp;",","")</f>
        <v/>
      </c>
      <c r="FT3" s="48" t="str">
        <f>CHAR(34)&amp;"myr"&amp;BD3&amp;CHAR(34)&amp;","</f>
        <v>"myrEQ",</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
      </c>
      <c r="GG3" s="48" t="str">
        <f>IF(BU3="y",CHAR(34)&amp;"unjack"&amp;CHAR(34)&amp;",","")</f>
        <v/>
      </c>
      <c r="GH3" s="48" t="str">
        <f>IF(CD3=1,CHAR(34)&amp;"southc"&amp;CHAR(34)&amp;",","")</f>
        <v/>
      </c>
      <c r="GI3" s="48" t="str">
        <f>IF(CE3=1,CHAR(34)&amp;"hasmap"&amp;CHAR(34)&amp;",","")</f>
        <v/>
      </c>
      <c r="GJ3" s="48" t="str">
        <f>IF(CP3="y",CHAR(34)&amp;CP$1&amp;CHAR(34)&amp;",","")</f>
        <v>"NoStar",</v>
      </c>
      <c r="GK3" s="48" t="str">
        <f>IF(GJ3="",CHAR(34)&amp;"HasSta"&amp;CHAR(34)&amp;",","")</f>
        <v/>
      </c>
      <c r="GL3" s="48" t="str">
        <f>IF(CQ3="y",CHAR(34)&amp;CQ$1&amp;CHAR(34)&amp;",","")</f>
        <v/>
      </c>
      <c r="GM3" s="48" t="str">
        <f>IF(CR3="y",CHAR(34)&amp;CR$1&amp;CHAR(34)&amp;",","")</f>
        <v/>
      </c>
      <c r="GN3" s="48" t="str">
        <f>IF(CS3="y",CHAR(34)&amp;CS$1&amp;CHAR(34)&amp;",","")</f>
        <v/>
      </c>
      <c r="GP3" s="48" t="str">
        <f>CHAR(34)&amp;AU3&amp;CHAR(34)</f>
        <v>"Capital City"</v>
      </c>
      <c r="GS3" s="48" t="str">
        <f>SUBSTITUTE("["&amp;_xlfn.CONCAT(CW3:GN3)&amp;"]",",]","]")</f>
        <v>["4Color","lets12","startA","withtn","with_v","NoBand","Crosse","Horizo","Vertic","Circle","Animal","Center","Canton","NO_RED","NO_GRE","myrEQ","NoStar"]</v>
      </c>
      <c r="GT3" s="48" t="str">
        <f>IF(BL3&lt;&gt;"",CHAR(34)&amp;"cl_"&amp;BL3&amp;CHAR(34)&amp;",","")</f>
        <v>"cl_BLA",</v>
      </c>
      <c r="GU3" s="48" t="str">
        <f>IF(BM3&lt;&gt;"",CHAR(34)&amp;"cl_"&amp;BM3&amp;CHAR(34)&amp;",","")</f>
        <v>"cl_BLU",</v>
      </c>
      <c r="GV3" s="48" t="str">
        <f>IF(BN3&lt;&gt;"",CHAR(34)&amp;"cl_"&amp;BN3&amp;CHAR(34)&amp;",","")</f>
        <v/>
      </c>
      <c r="GW3" s="48" t="str">
        <f>IF(BO3&lt;&gt;"",CHAR(34)&amp;"cl_"&amp;BO3&amp;CHAR(34)&amp;",","")</f>
        <v/>
      </c>
      <c r="GX3" s="48" t="str">
        <f>IF(BP3&lt;&gt;"",CHAR(34)&amp;"cl_"&amp;BP3&amp;CHAR(34)&amp;",","")</f>
        <v>"cl_YEL",</v>
      </c>
      <c r="GY3" s="48" t="str">
        <f>IF(BQ3&lt;&gt;"",CHAR(34)&amp;"cl_"&amp;BQ3&amp;CHAR(34)&amp;",","")</f>
        <v/>
      </c>
      <c r="GZ3" s="48" t="str">
        <f>IF(BR3&lt;&gt;"",CHAR(34)&amp;"cl_"&amp;BR3&amp;CHAR(34)&amp;",","")</f>
        <v/>
      </c>
      <c r="HA3" s="48" t="str">
        <f>IF(BS3&lt;&gt;"",CHAR(34)&amp;"cl_"&amp;BS3&amp;CHAR(34)&amp;",","")</f>
        <v/>
      </c>
      <c r="HB3" s="48" t="str">
        <f>IF(BT3&lt;&gt;"",CHAR(34)&amp;"cl_"&amp;BT3&amp;CHAR(34)&amp;",","")</f>
        <v>"cl_WHI",</v>
      </c>
      <c r="HC3" s="48" t="str">
        <f>SUBSTITUTE("["&amp;_xlfn.CONCAT(GT3:HB3)&amp;"]",",]","]")</f>
        <v>["cl_BLA","cl_BLU","cl_YEL","cl_WHI"]</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{couname:"[MDG] Antananarivo",year:"???",region:"rgn_Africa",Colors:["cl_BLA","cl_BLU","cl_YEL","cl_WHI"],Items:["4Color","lets12","startA","withtn","with_v","NoBand","Crosse","Horizo","Vertic","Circle","Animal","Center","Canton","NO_RED","NO_GRE","myrEQ","NoStar"],Flag:"https://upload.wikimedia.org/wikipedia/commons/thumb/4/4b/Flag_of_Antananarivo%2C_Madagascar.svg/320px-Flag_of_Antananarivo%2C_Madagascar.svg.png",HDFlag:"https://upload.wikimedia.org/wikipedia/commons/thumb/4/4b/Flag_of_Antananarivo%2C_Madagascar.svg/640px-Flag_of_Antananarivo%2C_Madagascar.svg.png",type:"Capital City", describe: "\nThe flag is based on the coat of arms of Antananarivo. The arms of Antananarivo were created in 1950. The shield is quartered, quadrants one and four a zebu head sable, quadrants two and three a fleur de lis or. It is surmounted by a seven-tower mural crown, the towers symbolizing the seven main cities of the island, Antsiranana, Fianarantsoa, Mahajanga, Toamasina, Antsirabé, and Toliary. The motto on the scroll below the shield is 'Ny arivo lahy tsy maty indray andro' ('Thousand men will not die in one day'), a reference to the origin of the name of the city.", isnew:".", links: "https://www.fotw.info/flags/mg-antan.html"},</v>
      </c>
      <c r="HG3" s="73" t="str">
        <f>"{couname:"&amp;CT3&amp;(IF(HK3&lt;&gt;"",",subtype:"&amp;CHAR(34)&amp;HK3&amp;CHAR(34),""))&amp;",year:"&amp;HJ3&amp;",region:"&amp;CU3&amp;",Colors:"&amp;HC3&amp;",Items:"&amp;GS3&amp;",Flag:"&amp;CV3&amp;",HDFlag:"&amp;CHAR(34)&amp;E3&amp;CHAR(34)&amp;",type:"&amp;GP3&amp;", describe: "&amp;HI3&amp;", links: "&amp;HL3&amp;"},"</f>
        <v>{couname:"[MDG] Antananarivo",year:"???",region:"rgn_Africa",Colors:["cl_BLA","cl_BLU","cl_YEL","cl_WHI"],Items:["4Color","lets12","startA","withtn","with_v","NoBand","Crosse","Horizo","Vertic","Circle","Animal","Center","Canton","NO_RED","NO_GRE","myrEQ","NoStar"],Flag:"https://upload.wikimedia.org/wikipedia/commons/thumb/4/4b/Flag_of_Antananarivo%2C_Madagascar.svg/320px-Flag_of_Antananarivo%2C_Madagascar.svg.png",HDFlag:"https://upload.wikimedia.org/wikipedia/commons/thumb/4/4b/Flag_of_Antananarivo%2C_Madagascar.svg/640px-Flag_of_Antananarivo%2C_Madagascar.svg.png",type:"Capital City", describe: "\nThe flag is based on the coat of arms of Antananarivo. The arms of Antananarivo were created in 1950. The shield is quartered, quadrants one and four a zebu head sable, quadrants two and three a fleur de lis or. It is surmounted by a seven-tower mural crown, the towers symbolizing the seven main cities of the island, Antsiranana, Fianarantsoa, Mahajanga, Toamasina, Antsirabé, and Toliary. The motto on the scroll below the shield is 'Ny arivo lahy tsy maty indray andro' ('Thousand men will not die in one day'), a reference to the origin of the name of the city.", links: "https://www.fotw.info/flags/mg-antan.html"},</v>
      </c>
      <c r="HH3" s="48" t="str">
        <f>IF(P3&lt;&gt;"",CHAR(34)&amp;"\n"&amp;P3&amp;CHAR(34),CHAR(34)&amp;CHAR(34))</f>
        <v>"\nThe flag is based on the coat of arms of Antananarivo. The arms of Antananarivo were created in 1950. The shield is quartered, quadrants one and four a zebu head sable, quadrants two and three a fleur de lis or. It is surmounted by a seven-tower mural crown, the towers symbolizing the seven main cities of the island, Antsiranana, Fianarantsoa, Mahajanga, Toamasina, Antsirabé, and Toliary. The motto on the scroll below the shield is 'Ny arivo lahy tsy maty indray andro' ('Thousand men will not die in one day'), a reference to the origin of the name of the city."</v>
      </c>
      <c r="HI3" s="48" t="str">
        <f>IF(J3=0,CHAR(34)&amp;CHAR(34),HH3)</f>
        <v>"\nThe flag is based on the coat of arms of Antananarivo. The arms of Antananarivo were created in 1950. The shield is quartered, quadrants one and four a zebu head sable, quadrants two and three a fleur de lis or. It is surmounted by a seven-tower mural crown, the towers symbolizing the seven main cities of the island, Antsiranana, Fianarantsoa, Mahajanga, Toamasina, Antsirabé, and Toliary. The motto on the scroll below the shield is 'Ny arivo lahy tsy maty indray andro' ('Thousand men will not die in one day'), a reference to the origin of the name of the city."</v>
      </c>
      <c r="HJ3" s="48" t="str">
        <f>CHAR(34)&amp;O3&amp;CHAR(34)</f>
        <v>"???"</v>
      </c>
      <c r="HL3" s="48" t="str">
        <f>CHAR(34)&amp;I3&amp;CHAR(34)</f>
        <v>"https://www.fotw.info/flags/mg-antan.html"</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{"couname":"[MDG] Antananarivo","year":"???","region":"rgn_Africa","Colors":["cl_BLA","cl_BLU","cl_YEL","cl_WHI"],"Items":["4Color","lets12","startA","withtn","with_v","NoBand","Crosse","Horizo","Vertic","Circle","Animal","Center","Canton","NO_RED","NO_GRE","myrEQ","NoStar"],"Flag":"https://upload.wikimedia.org/wikipedia/commons/thumb/4/4b/Flag_of_Antananarivo%2C_Madagascar.svg/320px-Flag_of_Antananarivo%2C_Madagascar.svg.png","HDFlag":"https://upload.wikimedia.org/wikipedia/commons/thumb/4/4b/Flag_of_Antananarivo%2C_Madagascar.svg/640px-Flag_of_Antananarivo%2C_Madagascar.svg.png","type":"Capital City", "describe": "\nThe flag is based on the coat of arms of Antananarivo. The arms of Antananarivo were created in 1950. The shield is quartered, quadrants one and four a zebu head sable, quadrants two and three a fleur de lis or. It is surmounted by a seven-tower mural crown, the towers symbolizing the seven main cities of the island, Antsiranana, Fianarantsoa, Mahajanga, Toamasina, Antsirabé, and Toliary. The motto on the scroll below the shield is 'Ny arivo lahy tsy maty indray andro' ('Thousand men will not die in one day'), a reference to the origin of the name of the city.", "isnew": ".", "links": "https://www.fotw.info/flags/mg-antan.html"},</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{"couname":"[MDG] Antananarivo","year":"???","region":"rgn_Africa","Colors":["cl_BLA","cl_BLU","cl_YEL","cl_WHI"],"Items":["4Color","lets12","startA","withtn","with_v","NoBand","Crosse","Horizo","Vertic","Circle","Animal","Center","Canton","NO_RED","NO_GRE","myrEQ","NoStar"],"Flag":"https://upload.wikimedia.org/wikipedia/commons/thumb/4/4b/Flag_of_Antananarivo%2C_Madagascar.svg/320px-Flag_of_Antananarivo%2C_Madagascar.svg.png","HDFlag":"https://upload.wikimedia.org/wikipedia/commons/thumb/4/4b/Flag_of_Antananarivo%2C_Madagascar.svg/640px-Flag_of_Antananarivo%2C_Madagascar.svg.png","type":"Capital City", "describe": "\nThe flag is based on the coat of arms of Antananarivo. The arms of Antananarivo were created in 1950. The shield is quartered, quadrants one and four a zebu head sable, quadrants two and three a fleur de lis or. It is surmounted by a seven-tower mural crown, the towers symbolizing the seven main cities of the island, Antsiranana, Fianarantsoa, Mahajanga, Toamasina, Antsirabé, and Toliary. The motto on the scroll below the shield is 'Ny arivo lahy tsy maty indray andro' ('Thousand men will not die in one day'), a reference to the origin of the name of the city.", "isnew": ".", "links": "https://www.fotw.info/flags/mg-antan.html"},</v>
      </c>
      <c r="HO3" s="75">
        <v>45610</v>
      </c>
      <c r="HP3" s="48" t="str" cm="1">
        <f t="array" ref="HP3">IF(_xlfn.TEXTJOIN(", ", TRUE, IF(ISNUMBER(SEARCH("BLA", BL3:BT3)), COLUMN(BL3:BT3) - COLUMN(BL3) + 1, ""))&lt;&gt;"","BLA","")</f>
        <v>BLA</v>
      </c>
      <c r="HQ3" s="48" t="str" cm="1">
        <f t="array" ref="HQ3">IF(_xlfn.TEXTJOIN(", ", TRUE, IF(ISNUMBER(SEARCH("BLU", BL3:BT3)), COLUMN(BL3:BT3) - COLUMN(BL3) + 1, ""))&lt;&gt;"","BLU","")</f>
        <v>BLU</v>
      </c>
      <c r="HR3" s="48" t="str" cm="1">
        <f t="array" ref="HR3">IF(_xlfn.TEXTJOIN(", ", TRUE, IF(ISNUMBER(SEARCH("GRE", BL3:BT3)), COLUMN(BL3:BT3) - COLUMN(BL3) + 1, ""))&lt;&gt;"","GRE","")</f>
        <v/>
      </c>
      <c r="HS3" s="48" t="str" cm="1">
        <f t="array" ref="HS3">IF(_xlfn.TEXTJOIN(", ", TRUE, IF(ISNUMBER(SEARCH("RED", BL3:BT3)), COLUMN(BL3:BT3) - COLUMN(BL3) + 1, ""))&lt;&gt;"","RED","")</f>
        <v/>
      </c>
      <c r="HT3" s="48" t="str" cm="1">
        <f t="array" ref="HT3">IF(_xlfn.TEXTJOIN(", ", TRUE, IF(ISNUMBER(SEARCH("YEL", BL3:BT3)), COLUMN(BL3:BT3) - COLUMN(BL3) + 1, ""))&lt;&gt;"","YEL","")</f>
        <v>YEL</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M3" s="45">
        <f>COUNTIF(IC3:IK3,"&gt;0")-CG3</f>
        <v>-4</v>
      </c>
      <c r="IN3" s="78" t="str">
        <f>"http://mkweb.bcgsc.ca/color-summarizer/?url="&amp;D3&amp;"&amp;precision=low&amp;num_clusters="&amp;CG3&amp;"&amp;text=1"</f>
        <v>http://mkweb.bcgsc.ca/color-summarizer/?url=https://upload.wikimedia.org/wikipedia/commons/thumb/4/4b/Flag_of_Antananarivo%2C_Madagascar.svg/320px-Flag_of_Antananarivo%2C_Madagascar.svg.png&amp;precision=low&amp;num_clusters=4&amp;text=1</v>
      </c>
      <c r="IO3" s="48" t="str">
        <f>IF(HP3&lt;&gt;"",CHAR(34)&amp;"black"&amp;CHAR(34),"")</f>
        <v>"black"</v>
      </c>
      <c r="IP3" s="48" t="str">
        <f>IF(HQ3&lt;&gt;"",CHAR(34)&amp;"blue"&amp;CHAR(34),"")</f>
        <v>"blue"</v>
      </c>
      <c r="IQ3" s="48" t="str">
        <f>IF(HR3&lt;&gt;"",CHAR(34)&amp;"green"&amp;CHAR(34),"")</f>
        <v/>
      </c>
      <c r="IR3" s="48" t="str">
        <f>IF(HS3&lt;&gt;"",CHAR(34)&amp;"red"&amp;CHAR(34),"")</f>
        <v/>
      </c>
      <c r="IS3" s="48" t="str">
        <f>IF(HT3&lt;&gt;"",CHAR(34)&amp;"yellow"&amp;CHAR(34),"")</f>
        <v>"yellow"</v>
      </c>
      <c r="IT3" s="48" t="str">
        <f>IF(HU3&lt;&gt;"",CHAR(34)&amp;"orange"&amp;CHAR(34),"")</f>
        <v/>
      </c>
      <c r="IU3" s="48" t="str">
        <f>IF(HV3&lt;&gt;"",CHAR(34)&amp;"brown"&amp;CHAR(34),"")</f>
        <v/>
      </c>
      <c r="IV3" s="48" t="str">
        <f>IF(HW3&lt;&gt;"",CHAR(34)&amp;"purple"&amp;CHAR(34),"")</f>
        <v/>
      </c>
      <c r="IW3" s="48" t="str">
        <f>IF(HX3&lt;&gt;"",CHAR(34)&amp;"white"&amp;CHAR(34),"")</f>
        <v>"white"</v>
      </c>
      <c r="IX3" s="48" t="str">
        <f>"{"&amp;CHAR(34)&amp;"url"&amp;CHAR(34)&amp;":"&amp;CHAR(34)&amp;IN3&amp;CHAR(34)&amp;","&amp;CHAR(34)&amp;"name"&amp;CHAR(34)&amp;":"&amp;CHAR(34)&amp;A3&amp;CHAR(34)&amp;"},"</f>
        <v>{"url":"http://mkweb.bcgsc.ca/color-summarizer/?url=https://upload.wikimedia.org/wikipedia/commons/thumb/4/4b/Flag_of_Antananarivo%2C_Madagascar.svg/320px-Flag_of_Antananarivo%2C_Madagascar.svg.png&amp;precision=low&amp;num_clusters=4&amp;text=1","name":"[MDG] Antananarivo"},</v>
      </c>
      <c r="IY3" s="48">
        <v>1341</v>
      </c>
    </row>
    <row r="4" spans="1:259" s="48" customFormat="1" ht="38.4" customHeight="1" thickBot="1" x14ac:dyDescent="0.35">
      <c r="A4" s="80" t="s">
        <v>861</v>
      </c>
      <c r="B4" s="40" t="e" vm="67">
        <v>#VALUE!</v>
      </c>
      <c r="C4" s="41" t="s">
        <v>173</v>
      </c>
      <c r="D4" s="42" t="s">
        <v>862</v>
      </c>
      <c r="E4" s="43" t="s">
        <v>863</v>
      </c>
      <c r="F4" s="44" t="s">
        <v>163</v>
      </c>
      <c r="G4" s="45">
        <f>COUNTIF($A$1:$A$8353,A4)</f>
        <v>1</v>
      </c>
      <c r="H4" s="46" t="s">
        <v>871</v>
      </c>
      <c r="I4" s="47" t="s">
        <v>864</v>
      </c>
      <c r="J4" s="48" t="str">
        <f>""</f>
        <v/>
      </c>
      <c r="K4" s="49"/>
      <c r="L4" s="50"/>
      <c r="M4" s="50"/>
      <c r="N4" s="51" t="s">
        <v>180</v>
      </c>
      <c r="O4" s="52" t="s">
        <v>170</v>
      </c>
      <c r="P4" s="53" t="s">
        <v>633</v>
      </c>
      <c r="Q4" s="54">
        <v>2</v>
      </c>
      <c r="R4" s="55" t="s">
        <v>180</v>
      </c>
      <c r="S4" s="56">
        <v>0</v>
      </c>
      <c r="T4" s="57" t="s">
        <v>167</v>
      </c>
      <c r="U4" s="58" t="s">
        <v>164</v>
      </c>
      <c r="V4" s="58" t="s">
        <v>164</v>
      </c>
      <c r="W4" s="58" t="s">
        <v>164</v>
      </c>
      <c r="X4" s="58" t="s">
        <v>167</v>
      </c>
      <c r="Y4" s="58" t="s">
        <v>164</v>
      </c>
      <c r="Z4" s="58" t="s">
        <v>164</v>
      </c>
      <c r="AA4" s="58" t="s">
        <v>164</v>
      </c>
      <c r="AB4" s="58" t="s">
        <v>164</v>
      </c>
      <c r="AC4" s="58" t="s">
        <v>164</v>
      </c>
      <c r="AD4" s="58" t="s">
        <v>164</v>
      </c>
      <c r="AE4" s="58" t="s">
        <v>164</v>
      </c>
      <c r="AF4" s="59" t="s">
        <v>167</v>
      </c>
      <c r="AG4" s="59" t="s">
        <v>164</v>
      </c>
      <c r="AH4" s="59" t="s">
        <v>164</v>
      </c>
      <c r="AI4" s="59" t="s">
        <v>164</v>
      </c>
      <c r="AJ4" s="59" t="s">
        <v>164</v>
      </c>
      <c r="AK4" s="59" t="s">
        <v>164</v>
      </c>
      <c r="AL4" s="59" t="s">
        <v>164</v>
      </c>
      <c r="AM4" s="59" t="s">
        <v>164</v>
      </c>
      <c r="AN4" s="59" t="s">
        <v>164</v>
      </c>
      <c r="AO4" s="59" t="s">
        <v>167</v>
      </c>
      <c r="AP4" s="59" t="s">
        <v>164</v>
      </c>
      <c r="AQ4" s="59" t="s">
        <v>164</v>
      </c>
      <c r="AR4" s="59" t="s">
        <v>164</v>
      </c>
      <c r="AS4" s="59" t="s">
        <v>164</v>
      </c>
      <c r="AT4" s="60">
        <v>0</v>
      </c>
      <c r="AU4" s="59" t="s">
        <v>497</v>
      </c>
      <c r="AV4" s="59" t="str">
        <f>IF(LEFT(A4,1)="[",LEFT(A4,5)&amp;AU4&amp;A4,"")</f>
        <v>[MDG]People[MDG] Merina People</v>
      </c>
      <c r="AW4" s="59" t="str">
        <f t="shared" si="1"/>
        <v>3b[MDG] Other[MDG] Merina People</v>
      </c>
      <c r="AX4" s="61"/>
      <c r="AY4" s="61"/>
      <c r="AZ4" s="62"/>
      <c r="BA4" s="62"/>
      <c r="BB4" s="62"/>
      <c r="BC4" s="63"/>
      <c r="BD4" s="64" t="s">
        <v>154</v>
      </c>
      <c r="BE4" s="47"/>
      <c r="BF4" s="64"/>
      <c r="BG4" s="64"/>
      <c r="BH4" s="64"/>
      <c r="BI4" s="64"/>
      <c r="BJ4" s="64"/>
      <c r="BK4" s="47"/>
      <c r="BL4" s="64" t="s">
        <v>154</v>
      </c>
      <c r="BM4" s="64" t="s">
        <v>159</v>
      </c>
      <c r="BN4" s="64" t="s">
        <v>156</v>
      </c>
      <c r="BO4" s="64" t="s">
        <v>151</v>
      </c>
      <c r="BP4" s="64"/>
      <c r="BQ4" s="64"/>
      <c r="BR4" s="64"/>
      <c r="BS4" s="64"/>
      <c r="BT4" s="64"/>
      <c r="BU4" s="65"/>
      <c r="BV4" s="66"/>
      <c r="BW4" s="66">
        <v>0</v>
      </c>
      <c r="BX4" s="47"/>
      <c r="BY4" s="48" t="s">
        <v>164</v>
      </c>
      <c r="CB4" s="6"/>
      <c r="CC4" s="6"/>
      <c r="CD4" s="67">
        <v>0</v>
      </c>
      <c r="CE4" s="67">
        <v>0</v>
      </c>
      <c r="CF4" s="67" t="e">
        <v>#REF!</v>
      </c>
      <c r="CG4" s="68" cm="1">
        <f t="array" ref="CG4">SUMPRODUCT(--(LEN(TRIM(BL4:BT4))&gt;0))</f>
        <v>4</v>
      </c>
      <c r="CH4" s="59" t="str">
        <f>IF(CG4=2,"y","n")</f>
        <v>n</v>
      </c>
      <c r="CI4" s="59" t="str">
        <f>IF(CG4=3,"y","n")</f>
        <v>n</v>
      </c>
      <c r="CJ4" s="59" t="str">
        <f>IF(CG4=4,"y","n")</f>
        <v>y</v>
      </c>
      <c r="CK4" s="59" t="str">
        <f>IF(CG4&gt;4,"y","n")</f>
        <v>n</v>
      </c>
      <c r="CL4" s="59" t="str">
        <f>IF(S4=0,"y","n")</f>
        <v>y</v>
      </c>
      <c r="CM4" s="59" t="str">
        <f>IF(S4=2,"y","n")</f>
        <v>n</v>
      </c>
      <c r="CN4" s="59" t="str">
        <f>IF(S4=3,"y","n")</f>
        <v>n</v>
      </c>
      <c r="CO4" s="59" t="str">
        <f>IF(S4&gt;=4,"y","n")</f>
        <v>n</v>
      </c>
      <c r="CP4" s="59" t="str">
        <f>IF(AT4=0,"y","n")</f>
        <v>y</v>
      </c>
      <c r="CQ4" s="59" t="str">
        <f>IF(AT4=1,"y","n")</f>
        <v>n</v>
      </c>
      <c r="CR4" s="59" t="str">
        <f>IF(AT4=2,"y","n")</f>
        <v>n</v>
      </c>
      <c r="CS4" s="59" t="str">
        <f>IF(AT4&gt;=3,"y","n")</f>
        <v>n</v>
      </c>
      <c r="CT4" s="69" t="str">
        <f>CHAR(34)&amp;A4&amp;CHAR(34)</f>
        <v>"[MDG] Merina People"</v>
      </c>
      <c r="CU4" s="70" t="str">
        <f>CHAR(34)&amp;"rgn_"&amp;R4&amp;CHAR(34)</f>
        <v>"rgn_Africa"</v>
      </c>
      <c r="CV4" s="48" t="str">
        <f>CHAR(34)&amp;D4&amp;CHAR(34)</f>
        <v>"https://upload.wikimedia.org/wikipedia/commons/thumb/e/e4/Flag_of_the_Merina_people.svg/640px-Flag_of_the_Merina_people.svg.png"</v>
      </c>
      <c r="CW4" s="48" t="str">
        <f>IF(CH4="y",CHAR(34)&amp;CH$1&amp;CHAR(34)&amp;",","")</f>
        <v/>
      </c>
      <c r="CX4" s="48" t="str">
        <f>IF(CI4="y",CHAR(34)&amp;CI$1&amp;CHAR(34)&amp;",","")</f>
        <v/>
      </c>
      <c r="CY4" s="48" t="str">
        <f>IF(CJ4="y",CHAR(34)&amp;CJ$1&amp;CHAR(34)&amp;",","")</f>
        <v>"4Color",</v>
      </c>
      <c r="CZ4" s="48" t="str">
        <f>IF(CK4="y",CHAR(34)&amp;CK$1&amp;CHAR(34)&amp;",","")</f>
        <v/>
      </c>
      <c r="DA4" s="48" t="str">
        <f>IF(Q4&gt;1,CHAR(34)&amp;"words2"&amp;CHAR(34)&amp;",","")</f>
        <v>"words2",</v>
      </c>
      <c r="DB4" s="48" t="str">
        <f>IF(Q4&gt;2,CHAR(34)&amp;"words3"&amp;CHAR(34)&amp;",","")</f>
        <v/>
      </c>
      <c r="DD4" s="48" t="str">
        <f>IF(LEN(CHAR(34)&amp;"lets"&amp;LEN(SUBSTITUTE(SUBSTITUTE(IFERROR(TRIM(SUBSTITUTE(A4,MID(A4,FIND("[",A4),FIND("]",A4)-FIND("[",A4)+1),"")),A4)," ",""),"-",""))&amp;CHAR(34)&amp;",")=9,CHAR(34)&amp;"lets"&amp;LEN(SUBSTITUTE(SUBSTITUTE(IFERROR(TRIM(SUBSTITUTE(A4,MID(A4,FIND("[",A4),FIND("]",A4)-FIND("[",A4)+1),"")),A4)," ",""),"-",""))&amp;CHAR(34)&amp;",",CHAR(34)&amp;"lets0"&amp;LEN(SUBSTITUTE(SUBSTITUTE(IFERROR(TRIM(SUBSTITUTE(A4,MID(A4,FIND("[",A4),FIND("]",A4)-FIND("[",A4)+1),"")),A4)," ",""),"-",""))&amp;CHAR(34)&amp;",")</f>
        <v>"lets12",</v>
      </c>
      <c r="DE4" s="48" t="str">
        <f>CHAR(34)&amp;"start"&amp;IFERROR(LEFT(SUBSTITUTE(A4,"["&amp;MID(A4,FIND("[",A4)+1,FIND("]",A4)-FIND("[",A4)-1)&amp;"] ",""),1),LEFT(A4,1))&amp;CHAR(34)&amp;","</f>
        <v>"startM",</v>
      </c>
      <c r="DF4" s="48" t="str">
        <f>IFERROR(IF(SEARCH("tan",A4)&gt;0,CHAR(34)&amp;"withtn"&amp;CHAR(34)&amp;",",""),"")</f>
        <v/>
      </c>
      <c r="DG4" s="48" t="str">
        <f>IFERROR(IF(SEARCH("q",A4)&gt;0,CHAR(34)&amp;"with_q"&amp;CHAR(34)&amp;",",""),"")</f>
        <v/>
      </c>
      <c r="DH4" s="48" t="str">
        <f>IFERROR(IF(SEARCH("v",A4)&gt;0,CHAR(34)&amp;"with_v"&amp;CHAR(34)&amp;",",""),"")</f>
        <v/>
      </c>
      <c r="DI4" s="48" t="str">
        <f>IFERROR(IF(SEARCH("w",A4)&gt;0,CHAR(34)&amp;"with_w"&amp;CHAR(34)&amp;",",""),"")</f>
        <v/>
      </c>
      <c r="DJ4" s="48" t="str">
        <f>IFERROR(IF(SEARCH("y",A4)&gt;0,CHAR(34)&amp;"with_y"&amp;CHAR(34)&amp;",",""),"")</f>
        <v/>
      </c>
      <c r="DK4" s="48" t="str">
        <f>IFERROR(IF(SEARCH("z",A4)&gt;0,CHAR(34)&amp;"with_z"&amp;CHAR(34)&amp;",",""),"")</f>
        <v/>
      </c>
      <c r="DL4" s="48" t="str">
        <f>IF(CG4=2, CHAR(34) &amp; _xlfn.TEXTJOIN("", TRUE, _xlfn._xlws.SORT(HP4:HX4)) &amp; CHAR(34) &amp; ",", "")</f>
        <v/>
      </c>
      <c r="DM4" s="48" t="str" cm="1">
        <f t="array" ref="DM4">IF(CG4=3,CHAR(34) &amp; _xlfn.TEXTJOIN("", TRUE, RIGHT(HP4:HX4, 2)) &amp; CHAR(34) &amp; ",", "")</f>
        <v/>
      </c>
      <c r="DN4" s="48" t="str">
        <f>IF(AND(ISNUMBER(SEARCH("18", O4)), ISERROR(SEARCH("1918", O4)), ISERROR(SEARCH("2018", O4))), CHAR(34) &amp; "year18" &amp; CHAR(34) &amp; ",", "")</f>
        <v/>
      </c>
      <c r="DO4" s="48" t="str">
        <f>IF(AND(ISNUMBER(SEARCH("19", O4)), ISERROR(SEARCH("1819", O4)),  ISERROR(SEARCH("1219", O4)),ISERROR(SEARCH("1119", O4)),ISERROR(SEARCH("1190", O4)),ISERROR(SEARCH("2019", O4))), CHAR(34) &amp; "year19" &amp; CHAR(34) &amp; ",", "")</f>
        <v/>
      </c>
      <c r="DP4" s="6" t="str">
        <f>IF(AND(ISNUMBER(SEARCH("20", O4)), ISERROR(SEARCH("1920", O4))), CHAR(34)&amp;"year00"&amp;CHAR(34)&amp;",", "")</f>
        <v/>
      </c>
      <c r="DQ4" s="6" t="str">
        <f>IF(CC4="y",CHAR(34)&amp;"soviet"&amp;CHAR(34)&amp;",","")</f>
        <v/>
      </c>
      <c r="DR4" s="6" t="str">
        <f>IF(BY4="y",CHAR(34)&amp;"dgband"&amp;CHAR(34)&amp;",","")</f>
        <v/>
      </c>
      <c r="DS4" s="6" t="str">
        <f>IF(W4="y",IF(AND(V4="n",BY4&lt;&gt;"y"),CHAR(34)&amp;"allver"&amp;CHAR(34)&amp;",",""),"")</f>
        <v/>
      </c>
      <c r="DT4" s="6" t="str">
        <f>IF(V4="y",IF(AND(W4="n",BY4&lt;&gt;"y"),CHAR(34)&amp;"allhor"&amp;CHAR(34)&amp;",",""),"")</f>
        <v/>
      </c>
      <c r="DU4" s="6" t="str">
        <f>IF(BY4="y",IF(AND(W4="n",V4="n"),CHAR(34)&amp;"alldia"&amp;CHAR(34)&amp;",",""),"")</f>
        <v/>
      </c>
      <c r="DW4" s="48" t="str">
        <f>IF(CL4="y",CHAR(34)&amp;CL$1&amp;CHAR(34)&amp;",","")</f>
        <v>"NoBand",</v>
      </c>
      <c r="DX4" s="48" t="str">
        <f>IF(CM4="y",CHAR(34)&amp;CM$1&amp;CHAR(34)&amp;",","")</f>
        <v/>
      </c>
      <c r="DY4" s="48" t="str">
        <f>IF(CN4="y",CHAR(34)&amp;CN$1&amp;CHAR(34)&amp;",","")</f>
        <v/>
      </c>
      <c r="DZ4" s="48" t="str">
        <f>IF(CO4="y",CHAR(34)&amp;CO$1&amp;CHAR(34)&amp;",","")</f>
        <v/>
      </c>
      <c r="EA4" s="48" t="str">
        <f>IF(T4="y",CHAR(34)&amp;T$1&amp;CHAR(34)&amp;",","")</f>
        <v>"Diagon",</v>
      </c>
      <c r="EB4" s="48" t="str">
        <f>IF(U4="y",CHAR(34)&amp;U$1&amp;CHAR(34)&amp;",","")</f>
        <v/>
      </c>
      <c r="EC4" s="48" t="str">
        <f>IF(V4="y",CHAR(34)&amp;V$1&amp;CHAR(34)&amp;",","")</f>
        <v/>
      </c>
      <c r="ED4" s="48" t="str">
        <f>IF(W4="y",CHAR(34)&amp;W$1&amp;CHAR(34)&amp;",","")</f>
        <v/>
      </c>
      <c r="EE4" s="48" t="str">
        <f>IF(X4="y",CHAR(34)&amp;X$1&amp;CHAR(34)&amp;",","")</f>
        <v>"Circle",</v>
      </c>
      <c r="EF4" s="48" t="str">
        <f>IF(AND(Y4&lt;&gt;"n",Y4&lt;&gt;""),CHAR(34)&amp;Y$1&amp;CHAR(34)&amp;",","")</f>
        <v/>
      </c>
      <c r="EG4" s="48" t="str">
        <f>IF(Z4="y",CHAR(34)&amp;Z$1&amp;CHAR(34)&amp;",","")</f>
        <v/>
      </c>
      <c r="EH4" s="48" t="str">
        <f>IF(AA4="y",CHAR(34)&amp;AA$1&amp;CHAR(34)&amp;",","")</f>
        <v/>
      </c>
      <c r="EI4" s="48" t="str">
        <f>IF(AB4="y",CHAR(34)&amp;AB$1&amp;CHAR(34)&amp;",","")</f>
        <v/>
      </c>
      <c r="EJ4" s="48" t="str">
        <f>IF(AC4="y",CHAR(34)&amp;AC$1&amp;CHAR(34)&amp;",","")</f>
        <v/>
      </c>
      <c r="EK4" s="48" t="str">
        <f>IF(AD4="y",CHAR(34)&amp;AD$1&amp;CHAR(34)&amp;",","")</f>
        <v/>
      </c>
      <c r="EL4" s="48" t="str">
        <f>IF(AE4="y",CHAR(34)&amp;AE$1&amp;CHAR(34)&amp;",","")</f>
        <v/>
      </c>
      <c r="EM4" s="48" t="str">
        <f>IF(AF4="y",CHAR(34)&amp;AF$1&amp;CHAR(34)&amp;",","")</f>
        <v>"Trside",</v>
      </c>
      <c r="EN4" s="48" t="str">
        <f>IF(AG4="y",CHAR(34)&amp;AG$1&amp;CHAR(34)&amp;",","")</f>
        <v/>
      </c>
      <c r="EO4" s="48" t="str">
        <f>IF(AH4="y",CHAR(34)&amp;AH$1&amp;CHAR(34)&amp;",","")</f>
        <v/>
      </c>
      <c r="EP4" s="48" t="str">
        <f>IF(AI4="y",CHAR(34)&amp;AI$1&amp;CHAR(34)&amp;",","")</f>
        <v/>
      </c>
      <c r="EQ4" s="48" t="str">
        <f>IF(AJ4="y",CHAR(34)&amp;AJ$1&amp;CHAR(34)&amp;",","")</f>
        <v/>
      </c>
      <c r="ER4" s="48" t="str">
        <f>IF(AK4="y",CHAR(34)&amp;AK$1&amp;CHAR(34)&amp;",","")</f>
        <v/>
      </c>
      <c r="ES4" s="48" t="str">
        <f>IF(AL4="y",CHAR(34)&amp;AL$1&amp;CHAR(34)&amp;",","")</f>
        <v/>
      </c>
      <c r="ET4" s="48" t="str">
        <f>IF(AM4="y",CHAR(34)&amp;AM$1&amp;CHAR(34)&amp;",","")</f>
        <v/>
      </c>
      <c r="EU4" s="48" t="str">
        <f>IF(AN4="y",CHAR(34)&amp;AN$1&amp;CHAR(34)&amp;",","")</f>
        <v/>
      </c>
      <c r="EV4" s="48" t="str">
        <f>IF(AO4="y",CHAR(34)&amp;AO$1&amp;CHAR(34)&amp;",","")</f>
        <v>"Builds",</v>
      </c>
      <c r="EW4" s="48" t="str">
        <f>IF(AP4="y",CHAR(34)&amp;AP$1&amp;CHAR(34)&amp;",","")</f>
        <v/>
      </c>
      <c r="EX4" s="48" t="str">
        <f>IF(AQ4="y",CHAR(34)&amp;AQ$1&amp;CHAR(34)&amp;",","")</f>
        <v/>
      </c>
      <c r="EY4" s="48" t="str">
        <f>IF(AR4="y",CHAR(34)&amp;AR$1&amp;CHAR(34)&amp;",","")</f>
        <v/>
      </c>
      <c r="EZ4" s="48" t="str">
        <f>IF(AS4="y",CHAR(34)&amp;AS$1&amp;CHAR(34)&amp;",","")</f>
        <v/>
      </c>
      <c r="FA4" s="48" t="str">
        <f>IF(AT4&gt;0,CHAR(34)&amp;"sta"&amp;AZ4&amp;CHAR(34)&amp;",","")</f>
        <v/>
      </c>
      <c r="FB4" s="48" t="str">
        <f>IF(AND(AT4&gt;0,BA4&lt;&gt;""),CHAR(34)&amp;"sta"&amp;BA4&amp;CHAR(34)&amp;",","")</f>
        <v/>
      </c>
      <c r="FD4" s="48" t="str">
        <f>IF(BV4="n",CHAR(34)&amp;"tcWHYE"&amp;CHAR(34)&amp;",",IF(BV4="y",CHAR(34)&amp;FD$1&amp;CHAR(34)&amp;",",""))</f>
        <v/>
      </c>
      <c r="FE4" s="48" t="str">
        <f>IF(COUNTIF(BL4:BT4,"BLU")=0,CHAR(34)&amp;"NO_BLU"&amp;CHAR(34)&amp;",", "")</f>
        <v>"NO_BLU",</v>
      </c>
      <c r="FF4" s="48" t="str">
        <f>IF(COUNTIF(BL4:BT4,"WHI")=0,CHAR(34)&amp;"NO_WHI"&amp;CHAR(34)&amp;",", "")</f>
        <v/>
      </c>
      <c r="FG4" s="48" t="str">
        <f>IF(COUNTIF(BL4:BT4,"RED")=0,CHAR(34)&amp;"NO_RED"&amp;CHAR(34)&amp;",", "")</f>
        <v/>
      </c>
      <c r="FH4" s="48" t="str">
        <f>IF(COUNTIF(BL4:BS4,"GRE")=0,CHAR(34)&amp;"NO_GRE"&amp;CHAR(34)&amp;",", "")</f>
        <v>"NO_GRE",</v>
      </c>
      <c r="FI4" s="48" t="str">
        <f>IF(COUNTIF(BL4:BT4,"YEL")=0,CHAR(34)&amp;"NO_YEL"&amp;CHAR(34)&amp;",", "")</f>
        <v>"NO_YEL",</v>
      </c>
      <c r="FJ4" s="48" t="str">
        <f>IF(COUNTIF(BL4:BT4,"BLA")=0,CHAR(34)&amp;"NO_BLA"&amp;CHAR(34)&amp;",", "")</f>
        <v/>
      </c>
      <c r="FK4" s="48" t="str">
        <f>IF(AND(FH4&lt;&gt;"",FF4&lt;&gt;""),CHAR(34)&amp;"WHGRNO"&amp;CHAR(34)&amp;",","")</f>
        <v/>
      </c>
      <c r="FL4" s="48" t="str">
        <f>IF(AND(FI4&lt;&gt;"",FF4&lt;&gt;""),CHAR(34)&amp;"WHYENO"&amp;CHAR(34)&amp;",","")</f>
        <v/>
      </c>
      <c r="FM4" s="48" t="str">
        <f>IF(AND(FJ4&lt;&gt;"",FF4&lt;&gt;""),CHAR(34)&amp;"BAWHNO"&amp;CHAR(34)&amp;",","")</f>
        <v/>
      </c>
      <c r="FN4" s="48" t="str">
        <f>IF(AND(FE4&lt;&gt;"",FF4&lt;&gt;""),CHAR(34)&amp;"BLWHNO"&amp;CHAR(34)&amp;",","")</f>
        <v/>
      </c>
      <c r="FO4" s="48" t="str">
        <f>IF(AND(FE4&lt;&gt;"",FG4&lt;&gt;""),CHAR(34)&amp;"BLRENO"&amp;CHAR(34)&amp;",","")</f>
        <v/>
      </c>
      <c r="FP4" s="48" t="str">
        <f>IF(AND(FF4&lt;&gt;"",FF4&lt;&gt;""),CHAR(34)&amp;"WHRENO"&amp;CHAR(34)&amp;",","")</f>
        <v/>
      </c>
      <c r="FQ4" s="48" t="str">
        <f>IF(LEN(BF4)=3,CHAR(34)&amp;"001"&amp;BF4&amp;CHAR(34)&amp;",","")</f>
        <v/>
      </c>
      <c r="FR4" s="48" t="str">
        <f>IF(LEN(BG4)=3,CHAR(34)&amp;"002"&amp;BG4&amp;CHAR(34)&amp;",","")</f>
        <v/>
      </c>
      <c r="FS4" s="48" t="str">
        <f>IF(LEN(BH4)=3,CHAR(34)&amp;"003"&amp;BH4&amp;CHAR(34)&amp;",","")</f>
        <v/>
      </c>
      <c r="FT4" s="48" t="str">
        <f>CHAR(34)&amp;"myr"&amp;BD4&amp;CHAR(34)&amp;","</f>
        <v>"myrRED",</v>
      </c>
      <c r="FU4" s="48" t="str">
        <f>IF(AY4="y",CHAR(34)&amp;"island"&amp;CHAR(34)&amp;",","")</f>
        <v/>
      </c>
      <c r="FV4" s="48" t="str">
        <f>IF(BZ4="y",CHAR(34)&amp;"landlo"&amp;CHAR(34)&amp;",","")</f>
        <v/>
      </c>
      <c r="FW4" s="48" t="str">
        <f>IF(CA4="y",CHAR(34)&amp;"eunion"&amp;CHAR(34)&amp;",","")</f>
        <v/>
      </c>
      <c r="FY4" s="48" t="str">
        <f>IFERROR(IF(SEARCH("Arabic",CB4)&gt;0,CHAR(34)&amp;"arabic"&amp;CHAR(34)&amp;",",""),"")</f>
        <v/>
      </c>
      <c r="FZ4" s="48" t="str">
        <f>IFERROR(IF(SEARCH("English",CB4)&gt;0,CHAR(34)&amp;"englis"&amp;CHAR(34)&amp;",",""),"")</f>
        <v/>
      </c>
      <c r="GA4" s="48" t="str">
        <f>IFERROR(IF(SEARCH("French",CB4)&gt;0,CHAR(34)&amp;"french"&amp;CHAR(34)&amp;",",""),"")</f>
        <v/>
      </c>
      <c r="GB4" s="48" t="str">
        <f>IFERROR(IF(SEARCH("Spanish",CB4)&gt;0,CHAR(34)&amp;"spanis"&amp;CHAR(34)&amp;",",""),"")</f>
        <v/>
      </c>
      <c r="GE4" s="48" t="str">
        <f>IFERROR(IF(SEARCH("Dutch",CB4)&gt;0,CHAR(34)&amp;"dutchs"&amp;CHAR(34)&amp;",",""),"")</f>
        <v/>
      </c>
      <c r="GF4" s="48" t="str">
        <f>IFERROR(IF(SEARCH("Historical",AU4)&gt;0,CHAR(34)&amp;"histor"&amp;CHAR(34)&amp;",",""),"")</f>
        <v/>
      </c>
      <c r="GG4" s="48" t="str">
        <f>IF(BU4="y",CHAR(34)&amp;"unjack"&amp;CHAR(34)&amp;",","")</f>
        <v/>
      </c>
      <c r="GH4" s="48" t="str">
        <f>IF(CD4=1,CHAR(34)&amp;"southc"&amp;CHAR(34)&amp;",","")</f>
        <v/>
      </c>
      <c r="GI4" s="48" t="str">
        <f>IF(CE4=1,CHAR(34)&amp;"hasmap"&amp;CHAR(34)&amp;",","")</f>
        <v/>
      </c>
      <c r="GJ4" s="48" t="str">
        <f>IF(CP4="y",CHAR(34)&amp;CP$1&amp;CHAR(34)&amp;",","")</f>
        <v>"NoStar",</v>
      </c>
      <c r="GK4" s="48" t="str">
        <f>IF(GJ4="",CHAR(34)&amp;"HasSta"&amp;CHAR(34)&amp;",","")</f>
        <v/>
      </c>
      <c r="GL4" s="48" t="str">
        <f>IF(CQ4="y",CHAR(34)&amp;CQ$1&amp;CHAR(34)&amp;",","")</f>
        <v/>
      </c>
      <c r="GM4" s="48" t="str">
        <f>IF(CR4="y",CHAR(34)&amp;CR$1&amp;CHAR(34)&amp;",","")</f>
        <v/>
      </c>
      <c r="GN4" s="48" t="str">
        <f>IF(CS4="y",CHAR(34)&amp;CS$1&amp;CHAR(34)&amp;",","")</f>
        <v/>
      </c>
      <c r="GP4" s="48" t="str">
        <f>CHAR(34)&amp;AU4&amp;CHAR(34)</f>
        <v>"People"</v>
      </c>
      <c r="GS4" s="48" t="str">
        <f>SUBSTITUTE("["&amp;_xlfn.CONCAT(CW4:GN4)&amp;"]",",]","]")</f>
        <v>["4Color","words2","lets12","startM","NoBand","Diagon","Circle","Trside","Builds","NO_BLU","NO_GRE","NO_YEL","myrRED","NoStar"]</v>
      </c>
      <c r="GT4" s="48" t="str">
        <f>IF(BL4&lt;&gt;"",CHAR(34)&amp;"cl_"&amp;BL4&amp;CHAR(34)&amp;",","")</f>
        <v>"cl_RED",</v>
      </c>
      <c r="GU4" s="48" t="str">
        <f>IF(BM4&lt;&gt;"",CHAR(34)&amp;"cl_"&amp;BM4&amp;CHAR(34)&amp;",","")</f>
        <v>"cl_WHI",</v>
      </c>
      <c r="GV4" s="48" t="str">
        <f>IF(BN4&lt;&gt;"",CHAR(34)&amp;"cl_"&amp;BN4&amp;CHAR(34)&amp;",","")</f>
        <v>"cl_ORA",</v>
      </c>
      <c r="GW4" s="48" t="str">
        <f>IF(BO4&lt;&gt;"",CHAR(34)&amp;"cl_"&amp;BO4&amp;CHAR(34)&amp;",","")</f>
        <v>"cl_BLA",</v>
      </c>
      <c r="GX4" s="48" t="str">
        <f>IF(BP4&lt;&gt;"",CHAR(34)&amp;"cl_"&amp;BP4&amp;CHAR(34)&amp;",","")</f>
        <v/>
      </c>
      <c r="GY4" s="48" t="str">
        <f>IF(BQ4&lt;&gt;"",CHAR(34)&amp;"cl_"&amp;BQ4&amp;CHAR(34)&amp;",","")</f>
        <v/>
      </c>
      <c r="GZ4" s="48" t="str">
        <f>IF(BR4&lt;&gt;"",CHAR(34)&amp;"cl_"&amp;BR4&amp;CHAR(34)&amp;",","")</f>
        <v/>
      </c>
      <c r="HA4" s="48" t="str">
        <f>IF(BS4&lt;&gt;"",CHAR(34)&amp;"cl_"&amp;BS4&amp;CHAR(34)&amp;",","")</f>
        <v/>
      </c>
      <c r="HB4" s="48" t="str">
        <f>IF(BT4&lt;&gt;"",CHAR(34)&amp;"cl_"&amp;BT4&amp;CHAR(34)&amp;",","")</f>
        <v/>
      </c>
      <c r="HC4" s="48" t="str">
        <f>SUBSTITUTE("["&amp;_xlfn.CONCAT(GT4:HB4)&amp;"]",",]","]")</f>
        <v>["cl_RED","cl_WHI","cl_ORA","cl_BLA"]</v>
      </c>
      <c r="HE4" s="71"/>
      <c r="HF4" s="72" t="str">
        <f>"{couname:"&amp;CT4&amp;(IF(HK4&lt;&gt;"",",subtype:"&amp;CHAR(34)&amp;HK4&amp;CHAR(34),""))&amp;",year:"&amp;HJ4&amp;",region:"&amp;CU4&amp;",Colors:"&amp;HC4&amp;",Items:"&amp;GS4&amp;",Flag:"&amp;CV4&amp;",HDFlag:"&amp;CHAR(34)&amp;E4&amp;CHAR(34)&amp;",type:"&amp;GP4&amp;", describe: "&amp;HH4&amp;", isnew:"&amp;CHAR(34)&amp;F4&amp;CHAR(34)&amp;", links: "&amp;HL4&amp;"},"</f>
        <v>{couname:"[MDG] Merina People",year:"???",region:"rgn_Africa",Colors:["cl_RED","cl_WHI","cl_ORA","cl_BLA"],Items:["4Color","words2","lets12","startM","NoBand","Diagon","Circle","Trside","Builds","NO_BLU","NO_GRE","NO_YEL","myrRED","NoStar"],Flag:"https://upload.wikimedia.org/wikipedia/commons/thumb/e/e4/Flag_of_the_Merina_people.svg/640px-Flag_of_the_Merina_people.svg.png",HDFlag:"https://upload.wikimedia.org/wikipedia/commons/thumb/e/e4/Flag_of_the_Merina_people.svg/2560px-Flag_of_the_Merina_people.svg.png",type:"People", describe: "\nNot available", isnew:".", links: "https://en.wikipedia.org/wiki/Merina_people"},</v>
      </c>
      <c r="HG4" s="73" t="str">
        <f>"{couname:"&amp;CT4&amp;(IF(HK4&lt;&gt;"",",subtype:"&amp;CHAR(34)&amp;HK4&amp;CHAR(34),""))&amp;",year:"&amp;HJ4&amp;",region:"&amp;CU4&amp;",Colors:"&amp;HC4&amp;",Items:"&amp;GS4&amp;",Flag:"&amp;CV4&amp;",HDFlag:"&amp;CHAR(34)&amp;E4&amp;CHAR(34)&amp;",type:"&amp;GP4&amp;", describe: "&amp;HI4&amp;", links: "&amp;HL4&amp;"},"</f>
        <v>{couname:"[MDG] Merina People",year:"???",region:"rgn_Africa",Colors:["cl_RED","cl_WHI","cl_ORA","cl_BLA"],Items:["4Color","words2","lets12","startM","NoBand","Diagon","Circle","Trside","Builds","NO_BLU","NO_GRE","NO_YEL","myrRED","NoStar"],Flag:"https://upload.wikimedia.org/wikipedia/commons/thumb/e/e4/Flag_of_the_Merina_people.svg/640px-Flag_of_the_Merina_people.svg.png",HDFlag:"https://upload.wikimedia.org/wikipedia/commons/thumb/e/e4/Flag_of_the_Merina_people.svg/2560px-Flag_of_the_Merina_people.svg.png",type:"People", describe: "\nNot available", links: "https://en.wikipedia.org/wiki/Merina_people"},</v>
      </c>
      <c r="HH4" s="48" t="str">
        <f>IF(P4&lt;&gt;"",CHAR(34)&amp;"\n"&amp;P4&amp;CHAR(34),CHAR(34)&amp;CHAR(34))</f>
        <v>"\nNot available"</v>
      </c>
      <c r="HI4" s="48" t="str">
        <f>IF(J4=0,CHAR(34)&amp;CHAR(34),HH4)</f>
        <v>"\nNot available"</v>
      </c>
      <c r="HJ4" s="48" t="str">
        <f>CHAR(34)&amp;O4&amp;CHAR(34)</f>
        <v>"???"</v>
      </c>
      <c r="HL4" s="48" t="str">
        <f>CHAR(34)&amp;I4&amp;CHAR(34)</f>
        <v>"https://en.wikipedia.org/wiki/Merina_people"</v>
      </c>
      <c r="HM4" s="72"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"&amp;HH4&amp;", "&amp;CHAR(34)&amp;"isnew"&amp;CHAR(34)&amp;": "&amp;CHAR(34)&amp;F4&amp;CHAR(34)&amp;", "&amp;CHAR(34)&amp;"links"&amp;CHAR(34)&amp;": "&amp;HL4&amp;"},"</f>
        <v>{"couname":"[MDG] Merina People","subtype":"[MDG] Other","year":"???","region":"rgn_Africa","Colors":["cl_RED","cl_WHI","cl_ORA","cl_BLA"],"Items":["4Color","words2","lets12","startM","NoBand","Diagon","Circle","Trside","Builds","NO_BLU","NO_GRE","NO_YEL","myrRED","NoStar"],"Flag":"https://upload.wikimedia.org/wikipedia/commons/thumb/e/e4/Flag_of_the_Merina_people.svg/640px-Flag_of_the_Merina_people.svg.png","HDFlag":"https://upload.wikimedia.org/wikipedia/commons/thumb/e/e4/Flag_of_the_Merina_people.svg/2560px-Flag_of_the_Merina_people.svg.png","type":"People", "describe": "\nNot available", "isnew": ".", "links": "https://en.wikipedia.org/wiki/Merina_people"},</v>
      </c>
      <c r="HN4" s="74"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"&amp;HI4&amp;", "&amp;CHAR(34)&amp;"isnew"&amp;CHAR(34)&amp;": "&amp;CHAR(34)&amp;F4&amp;CHAR(34)&amp;", "&amp;CHAR(34)&amp;"links"&amp;CHAR(34)&amp;": "&amp;HL4&amp;"},"</f>
        <v>{"couname":"[MDG] Merina People","subtype":"[MDG] Other","year":"???","region":"rgn_Africa","Colors":["cl_RED","cl_WHI","cl_ORA","cl_BLA"],"Items":["4Color","words2","lets12","startM","NoBand","Diagon","Circle","Trside","Builds","NO_BLU","NO_GRE","NO_YEL","myrRED","NoStar"],"Flag":"https://upload.wikimedia.org/wikipedia/commons/thumb/e/e4/Flag_of_the_Merina_people.svg/640px-Flag_of_the_Merina_people.svg.png","HDFlag":"https://upload.wikimedia.org/wikipedia/commons/thumb/e/e4/Flag_of_the_Merina_people.svg/2560px-Flag_of_the_Merina_people.svg.png","type":"People", "describe": "\nNot available", "isnew": ".", "links": "https://en.wikipedia.org/wiki/Merina_people"},</v>
      </c>
      <c r="HO4" s="75">
        <v>45596</v>
      </c>
      <c r="HP4" s="48" t="str" cm="1">
        <f t="array" ref="HP4">IF(_xlfn.TEXTJOIN(", ", TRUE, IF(ISNUMBER(SEARCH("BLA", BL4:BT4)), COLUMN(BL4:BT4) - COLUMN(BL4) + 1, ""))&lt;&gt;"","BLA","")</f>
        <v>BLA</v>
      </c>
      <c r="HQ4" s="48" t="str" cm="1">
        <f t="array" ref="HQ4">IF(_xlfn.TEXTJOIN(", ", TRUE, IF(ISNUMBER(SEARCH("BLU", BL4:BT4)), COLUMN(BL4:BT4) - COLUMN(BL4) + 1, ""))&lt;&gt;"","BLU","")</f>
        <v/>
      </c>
      <c r="HR4" s="48" t="str" cm="1">
        <f t="array" ref="HR4">IF(_xlfn.TEXTJOIN(", ", TRUE, IF(ISNUMBER(SEARCH("GRE", BL4:BT4)), COLUMN(BL4:BT4) - COLUMN(BL4) + 1, ""))&lt;&gt;"","GRE","")</f>
        <v/>
      </c>
      <c r="HS4" s="48" t="str" cm="1">
        <f t="array" ref="HS4">IF(_xlfn.TEXTJOIN(", ", TRUE, IF(ISNUMBER(SEARCH("RED", BL4:BT4)), COLUMN(BL4:BT4) - COLUMN(BL4) + 1, ""))&lt;&gt;"","RED","")</f>
        <v>RED</v>
      </c>
      <c r="HT4" s="48" t="str" cm="1">
        <f t="array" ref="HT4">IF(_xlfn.TEXTJOIN(", ", TRUE, IF(ISNUMBER(SEARCH("YEL", BL4:BT4)), COLUMN(BL4:BT4) - COLUMN(BL4) + 1, ""))&lt;&gt;"","YEL","")</f>
        <v/>
      </c>
      <c r="HU4" s="48" t="str" cm="1">
        <f t="array" ref="HU4">IF(_xlfn.TEXTJOIN(", ", TRUE, IF(ISNUMBER(SEARCH("ORA", BL4:BT4)), COLUMN(BL4:BT4) - COLUMN(BL4) + 1, ""))&lt;&gt;"","ORA","")</f>
        <v>ORA</v>
      </c>
      <c r="HV4" s="48" t="str" cm="1">
        <f t="array" ref="HV4">IF(_xlfn.TEXTJOIN(", ", TRUE, IF(ISNUMBER(SEARCH("BRO", BL4:BT4)), COLUMN(BL4:BT4) - COLUMN(BL4) + 1, ""))&lt;&gt;"","BRO","")</f>
        <v/>
      </c>
      <c r="HW4" s="48" t="str" cm="1">
        <f t="array" ref="HW4">IF(_xlfn.TEXTJOIN(", ", TRUE, IF(ISNUMBER(SEARCH("PUR", BL4:BT4)), COLUMN(BL4:BT4) - COLUMN(BL4) + 1, ""))&lt;&gt;"","PUR","")</f>
        <v/>
      </c>
      <c r="HX4" s="48" t="str" cm="1">
        <f t="array" ref="HX4">IF(_xlfn.TEXTJOIN(", ", TRUE, IF(ISNUMBER(SEARCH("WHI", BL4:BT4)), COLUMN(BL4:BT4) - COLUMN(BL4) + 1, ""))&lt;&gt;"","WHI","")</f>
        <v>WHI</v>
      </c>
      <c r="HY4" s="76"/>
      <c r="HZ4" s="76"/>
      <c r="IA4" s="6"/>
      <c r="IB4" s="6"/>
      <c r="IC4" s="77"/>
      <c r="ID4" s="77"/>
      <c r="IE4" s="77"/>
      <c r="IF4" s="77"/>
      <c r="IG4" s="77"/>
      <c r="IH4" s="77"/>
      <c r="II4" s="77"/>
      <c r="IJ4" s="77"/>
      <c r="IK4" s="77"/>
      <c r="IM4" s="45">
        <f>COUNTIF(IC4:IK4,"&gt;0")-CG4</f>
        <v>-4</v>
      </c>
      <c r="IN4" s="78" t="str">
        <f>"http://mkweb.bcgsc.ca/color-summarizer/?url="&amp;D4&amp;"&amp;precision=low&amp;num_clusters="&amp;CG4&amp;"&amp;text=1"</f>
        <v>http://mkweb.bcgsc.ca/color-summarizer/?url=https://upload.wikimedia.org/wikipedia/commons/thumb/e/e4/Flag_of_the_Merina_people.svg/640px-Flag_of_the_Merina_people.svg.png&amp;precision=low&amp;num_clusters=4&amp;text=1</v>
      </c>
      <c r="IO4" s="48" t="str">
        <f>IF(HP4&lt;&gt;"",CHAR(34)&amp;"black"&amp;CHAR(34),"")</f>
        <v>"black"</v>
      </c>
      <c r="IP4" s="48" t="str">
        <f>IF(HQ4&lt;&gt;"",CHAR(34)&amp;"blue"&amp;CHAR(34),"")</f>
        <v/>
      </c>
      <c r="IQ4" s="48" t="str">
        <f>IF(HR4&lt;&gt;"",CHAR(34)&amp;"green"&amp;CHAR(34),"")</f>
        <v/>
      </c>
      <c r="IR4" s="48" t="str">
        <f>IF(HS4&lt;&gt;"",CHAR(34)&amp;"red"&amp;CHAR(34),"")</f>
        <v>"red"</v>
      </c>
      <c r="IS4" s="48" t="str">
        <f>IF(HT4&lt;&gt;"",CHAR(34)&amp;"yellow"&amp;CHAR(34),"")</f>
        <v/>
      </c>
      <c r="IT4" s="48" t="str">
        <f>IF(HU4&lt;&gt;"",CHAR(34)&amp;"orange"&amp;CHAR(34),"")</f>
        <v>"orange"</v>
      </c>
      <c r="IU4" s="48" t="str">
        <f>IF(HV4&lt;&gt;"",CHAR(34)&amp;"brown"&amp;CHAR(34),"")</f>
        <v/>
      </c>
      <c r="IV4" s="48" t="str">
        <f>IF(HW4&lt;&gt;"",CHAR(34)&amp;"purple"&amp;CHAR(34),"")</f>
        <v/>
      </c>
      <c r="IW4" s="48" t="str">
        <f>IF(HX4&lt;&gt;"",CHAR(34)&amp;"white"&amp;CHAR(34),"")</f>
        <v>"white"</v>
      </c>
      <c r="IX4" s="48" t="str">
        <f>"{"&amp;CHAR(34)&amp;"url"&amp;CHAR(34)&amp;":"&amp;CHAR(34)&amp;IN4&amp;CHAR(34)&amp;","&amp;CHAR(34)&amp;"name"&amp;CHAR(34)&amp;":"&amp;CHAR(34)&amp;A4&amp;CHAR(34)&amp;"},"</f>
        <v>{"url":"http://mkweb.bcgsc.ca/color-summarizer/?url=https://upload.wikimedia.org/wikipedia/commons/thumb/e/e4/Flag_of_the_Merina_people.svg/640px-Flag_of_the_Merina_people.svg.png&amp;precision=low&amp;num_clusters=4&amp;text=1","name":"[MDG] Merina People"},</v>
      </c>
      <c r="IY4" s="48">
        <v>1342</v>
      </c>
    </row>
    <row r="5" spans="1:259" ht="38.4" customHeight="1" x14ac:dyDescent="0.3">
      <c r="F5" s="82"/>
      <c r="G5" s="82"/>
      <c r="H5" s="82"/>
      <c r="I5" s="82"/>
      <c r="J5" s="82"/>
      <c r="K5" s="82"/>
    </row>
    <row r="6" spans="1:259" ht="38.4" customHeight="1" x14ac:dyDescent="0.3">
      <c r="F6" s="82"/>
      <c r="G6" s="82"/>
      <c r="H6" s="82"/>
      <c r="I6" s="82"/>
      <c r="J6" s="82"/>
      <c r="K6" s="82"/>
    </row>
  </sheetData>
  <autoFilter ref="A1:IY1" xr:uid="{A1051193-A95B-4CFB-A73C-F0184620C81F}">
    <sortState xmlns:xlrd2="http://schemas.microsoft.com/office/spreadsheetml/2017/richdata2" ref="A2:IY5">
      <sortCondition ref="AW1"/>
    </sortState>
  </autoFilter>
  <conditionalFormatting sqref="H1 CW1:GS1 IA1:IB1">
    <cfRule type="cellIs" dxfId="3452" priority="118" operator="greaterThan">
      <formula>0</formula>
    </cfRule>
  </conditionalFormatting>
  <conditionalFormatting sqref="H1 H7:H1048576">
    <cfRule type="cellIs" dxfId="3451" priority="84" stopIfTrue="1" operator="notEqual">
      <formula>""</formula>
    </cfRule>
  </conditionalFormatting>
  <conditionalFormatting sqref="T1:BK1">
    <cfRule type="cellIs" dxfId="3450" priority="121" operator="greaterThan">
      <formula>0</formula>
    </cfRule>
  </conditionalFormatting>
  <conditionalFormatting sqref="BV1:BW1 BV5:BW1048576">
    <cfRule type="cellIs" dxfId="3449" priority="120" operator="equal">
      <formula>"nc"</formula>
    </cfRule>
  </conditionalFormatting>
  <conditionalFormatting sqref="HF1:HG1">
    <cfRule type="cellIs" dxfId="3448" priority="122" operator="greaterThan">
      <formula>0</formula>
    </cfRule>
  </conditionalFormatting>
  <conditionalFormatting sqref="HK1">
    <cfRule type="cellIs" dxfId="3447" priority="119" operator="greaterThan">
      <formula>0</formula>
    </cfRule>
  </conditionalFormatting>
  <conditionalFormatting sqref="HP1:HX1">
    <cfRule type="cellIs" dxfId="3446" priority="96" operator="equal">
      <formula>"PIN"</formula>
    </cfRule>
    <cfRule type="cellIs" dxfId="3445" priority="97" operator="equal">
      <formula>"ORA"</formula>
    </cfRule>
    <cfRule type="cellIs" dxfId="3444" priority="98" operator="equal">
      <formula>"GRA"</formula>
    </cfRule>
    <cfRule type="cellIs" dxfId="3443" priority="99" operator="equal">
      <formula>"PUR"</formula>
    </cfRule>
    <cfRule type="cellIs" dxfId="3442" priority="100" operator="equal">
      <formula>"BRO"</formula>
    </cfRule>
    <cfRule type="cellIs" dxfId="3441" priority="101" operator="equal">
      <formula>"YEL"</formula>
    </cfRule>
    <cfRule type="cellIs" dxfId="3440" priority="102" operator="equal">
      <formula>"BLU"</formula>
    </cfRule>
    <cfRule type="cellIs" dxfId="3439" priority="103" operator="equal">
      <formula>"WHI"</formula>
    </cfRule>
    <cfRule type="cellIs" dxfId="3438" priority="104" operator="equal">
      <formula>"GRE"</formula>
    </cfRule>
    <cfRule type="cellIs" dxfId="3437" priority="105" operator="equal">
      <formula>"RED"</formula>
    </cfRule>
    <cfRule type="cellIs" dxfId="3436" priority="106" operator="equal">
      <formula>"BLA"</formula>
    </cfRule>
  </conditionalFormatting>
  <conditionalFormatting sqref="IC1:IK1">
    <cfRule type="cellIs" dxfId="3435" priority="107" operator="equal">
      <formula>"PIN"</formula>
    </cfRule>
    <cfRule type="cellIs" dxfId="3434" priority="108" operator="equal">
      <formula>"ORA"</formula>
    </cfRule>
    <cfRule type="cellIs" dxfId="3433" priority="109" operator="equal">
      <formula>"GRA"</formula>
    </cfRule>
    <cfRule type="cellIs" dxfId="3432" priority="110" operator="equal">
      <formula>"PUR"</formula>
    </cfRule>
    <cfRule type="cellIs" dxfId="3431" priority="111" operator="equal">
      <formula>"BRO"</formula>
    </cfRule>
    <cfRule type="cellIs" dxfId="3430" priority="112" operator="equal">
      <formula>"YEL"</formula>
    </cfRule>
    <cfRule type="cellIs" dxfId="3429" priority="113" operator="equal">
      <formula>"BLU"</formula>
    </cfRule>
    <cfRule type="cellIs" dxfId="3428" priority="114" operator="equal">
      <formula>"WHI"</formula>
    </cfRule>
    <cfRule type="cellIs" dxfId="3427" priority="115" operator="equal">
      <formula>"GRE"</formula>
    </cfRule>
    <cfRule type="cellIs" dxfId="3426" priority="116" operator="equal">
      <formula>"RED"</formula>
    </cfRule>
    <cfRule type="cellIs" dxfId="3425" priority="117" operator="equal">
      <formula>"BLA"</formula>
    </cfRule>
  </conditionalFormatting>
  <conditionalFormatting sqref="IO1:IW1">
    <cfRule type="cellIs" dxfId="3424" priority="85" operator="equal">
      <formula>"PIN"</formula>
    </cfRule>
    <cfRule type="cellIs" dxfId="3423" priority="86" operator="equal">
      <formula>"ORA"</formula>
    </cfRule>
    <cfRule type="cellIs" dxfId="3422" priority="87" operator="equal">
      <formula>"GRA"</formula>
    </cfRule>
    <cfRule type="cellIs" dxfId="3421" priority="88" operator="equal">
      <formula>"PUR"</formula>
    </cfRule>
    <cfRule type="cellIs" dxfId="3420" priority="89" operator="equal">
      <formula>"BRO"</formula>
    </cfRule>
    <cfRule type="cellIs" dxfId="3419" priority="90" operator="equal">
      <formula>"YEL"</formula>
    </cfRule>
    <cfRule type="cellIs" dxfId="3418" priority="91" operator="equal">
      <formula>"BLU"</formula>
    </cfRule>
    <cfRule type="cellIs" dxfId="3417" priority="92" operator="equal">
      <formula>"WHI"</formula>
    </cfRule>
    <cfRule type="cellIs" dxfId="3416" priority="93" operator="equal">
      <formula>"GRE"</formula>
    </cfRule>
    <cfRule type="cellIs" dxfId="3415" priority="94" operator="equal">
      <formula>"RED"</formula>
    </cfRule>
    <cfRule type="cellIs" dxfId="3414" priority="95" operator="equal">
      <formula>"BLA"</formula>
    </cfRule>
  </conditionalFormatting>
  <conditionalFormatting sqref="H3:H4">
    <cfRule type="cellIs" dxfId="3413" priority="76" stopIfTrue="1" operator="notEqual">
      <formula>""</formula>
    </cfRule>
  </conditionalFormatting>
  <conditionalFormatting sqref="R3:R4 CU3:CU4">
    <cfRule type="cellIs" dxfId="3412" priority="79" operator="greaterThan">
      <formula>0</formula>
    </cfRule>
  </conditionalFormatting>
  <conditionalFormatting sqref="T3:AS4 CH3:CS4">
    <cfRule type="cellIs" dxfId="3411" priority="73" stopIfTrue="1" operator="equal">
      <formula>"n"</formula>
    </cfRule>
    <cfRule type="cellIs" dxfId="3410" priority="74" stopIfTrue="1" operator="equal">
      <formula>"y"</formula>
    </cfRule>
    <cfRule type="cellIs" dxfId="3409" priority="75" operator="greaterThan">
      <formula>0</formula>
    </cfRule>
  </conditionalFormatting>
  <conditionalFormatting sqref="AZ3:BB4">
    <cfRule type="expression" dxfId="3408" priority="60">
      <formula>$AT3=0</formula>
    </cfRule>
  </conditionalFormatting>
  <conditionalFormatting sqref="CD3:CF4 BX3:CA4 AZ3:BU4">
    <cfRule type="cellIs" dxfId="3407" priority="61" operator="equal">
      <formula>"PIN"</formula>
    </cfRule>
    <cfRule type="cellIs" dxfId="3406" priority="62" operator="equal">
      <formula>"ORA"</formula>
    </cfRule>
    <cfRule type="cellIs" dxfId="3405" priority="63" operator="equal">
      <formula>"GRA"</formula>
    </cfRule>
    <cfRule type="cellIs" dxfId="3404" priority="64" operator="equal">
      <formula>"PUR"</formula>
    </cfRule>
    <cfRule type="cellIs" dxfId="3403" priority="65" operator="equal">
      <formula>"BRO"</formula>
    </cfRule>
    <cfRule type="cellIs" dxfId="3402" priority="66" operator="equal">
      <formula>"YEL"</formula>
    </cfRule>
    <cfRule type="cellIs" dxfId="3401" priority="67" operator="equal">
      <formula>"BLU"</formula>
    </cfRule>
    <cfRule type="cellIs" dxfId="3400" priority="68" operator="equal">
      <formula>"WHI"</formula>
    </cfRule>
    <cfRule type="cellIs" dxfId="3399" priority="69" operator="equal">
      <formula>"GRE"</formula>
    </cfRule>
    <cfRule type="cellIs" dxfId="3398" priority="70" operator="equal">
      <formula>"RED"</formula>
    </cfRule>
    <cfRule type="cellIs" dxfId="3397" priority="71" operator="equal">
      <formula>"BLA"</formula>
    </cfRule>
  </conditionalFormatting>
  <conditionalFormatting sqref="BV3:BV4">
    <cfRule type="cellIs" dxfId="3396" priority="78" operator="equal">
      <formula>"nc"</formula>
    </cfRule>
  </conditionalFormatting>
  <conditionalFormatting sqref="CD3:CF4 BX3:CA4">
    <cfRule type="cellIs" dxfId="3395" priority="77" operator="equal">
      <formula>"y"</formula>
    </cfRule>
  </conditionalFormatting>
  <conditionalFormatting sqref="CD3:CF4 BZ3:CA4">
    <cfRule type="cellIs" dxfId="3394" priority="72" operator="greaterThan">
      <formula>0</formula>
    </cfRule>
  </conditionalFormatting>
  <conditionalFormatting sqref="IC3:IK4">
    <cfRule type="expression" dxfId="3393" priority="59">
      <formula>$IL3&gt;0</formula>
    </cfRule>
  </conditionalFormatting>
  <conditionalFormatting sqref="IC3:IC4">
    <cfRule type="cellIs" dxfId="3392" priority="53" stopIfTrue="1" operator="greaterThan">
      <formula>0</formula>
    </cfRule>
  </conditionalFormatting>
  <conditionalFormatting sqref="ID3:ID4">
    <cfRule type="cellIs" dxfId="3391" priority="51" stopIfTrue="1" operator="greaterThan">
      <formula>0</formula>
    </cfRule>
  </conditionalFormatting>
  <conditionalFormatting sqref="II3:II4 IE3:IF4">
    <cfRule type="cellIs" dxfId="3390" priority="58" operator="greaterThan">
      <formula>0</formula>
    </cfRule>
  </conditionalFormatting>
  <conditionalFormatting sqref="II3:II4 IF3:IF4">
    <cfRule type="cellIs" dxfId="3389" priority="52" stopIfTrue="1" operator="greaterThan">
      <formula>0</formula>
    </cfRule>
  </conditionalFormatting>
  <conditionalFormatting sqref="IG3:IG4">
    <cfRule type="cellIs" dxfId="3388" priority="57" operator="greaterThan">
      <formula>0</formula>
    </cfRule>
  </conditionalFormatting>
  <conditionalFormatting sqref="IH3:II4">
    <cfRule type="cellIs" dxfId="3387" priority="56" operator="greaterThan">
      <formula>0</formula>
    </cfRule>
  </conditionalFormatting>
  <conditionalFormatting sqref="IJ3:IJ4">
    <cfRule type="cellIs" dxfId="3386" priority="55" operator="greaterThan">
      <formula>0</formula>
    </cfRule>
  </conditionalFormatting>
  <conditionalFormatting sqref="IK3:IK4">
    <cfRule type="cellIs" dxfId="3385" priority="54" operator="greaterThan">
      <formula>0</formula>
    </cfRule>
  </conditionalFormatting>
  <conditionalFormatting sqref="IF3:IF4">
    <cfRule type="cellIs" dxfId="3384" priority="50" stopIfTrue="1" operator="greaterThan">
      <formula>0</formula>
    </cfRule>
  </conditionalFormatting>
  <conditionalFormatting sqref="IM3:IM4">
    <cfRule type="cellIs" dxfId="3383" priority="49" operator="equal">
      <formula>0</formula>
    </cfRule>
  </conditionalFormatting>
  <conditionalFormatting sqref="BX3:CA4 CD3:CF4">
    <cfRule type="cellIs" dxfId="3382" priority="37" operator="equal">
      <formula>"y"</formula>
    </cfRule>
    <cfRule type="cellIs" dxfId="3381" priority="38" operator="equal">
      <formula>"PIN"</formula>
    </cfRule>
    <cfRule type="cellIs" dxfId="3380" priority="39" operator="equal">
      <formula>"ORA"</formula>
    </cfRule>
    <cfRule type="cellIs" dxfId="3379" priority="40" operator="equal">
      <formula>"GRA"</formula>
    </cfRule>
    <cfRule type="cellIs" dxfId="3378" priority="41" operator="equal">
      <formula>"PUR"</formula>
    </cfRule>
    <cfRule type="cellIs" dxfId="3377" priority="42" operator="equal">
      <formula>"BRO"</formula>
    </cfRule>
    <cfRule type="cellIs" dxfId="3376" priority="43" operator="equal">
      <formula>"YEL"</formula>
    </cfRule>
    <cfRule type="cellIs" dxfId="3375" priority="44" operator="equal">
      <formula>"BLU"</formula>
    </cfRule>
    <cfRule type="cellIs" dxfId="3374" priority="45" operator="equal">
      <formula>"WHI"</formula>
    </cfRule>
    <cfRule type="cellIs" dxfId="3373" priority="46" operator="equal">
      <formula>"GRE"</formula>
    </cfRule>
    <cfRule type="cellIs" dxfId="3372" priority="47" operator="equal">
      <formula>"RED"</formula>
    </cfRule>
    <cfRule type="cellIs" dxfId="3371" priority="48" operator="equal">
      <formula>"BLA"</formula>
    </cfRule>
  </conditionalFormatting>
  <conditionalFormatting sqref="AT3:AT4">
    <cfRule type="colorScale" priority="80">
      <colorScale>
        <cfvo type="min"/>
        <cfvo type="max"/>
        <color rgb="FFFCFCFF"/>
        <color theme="8" tint="0.39997558519241921"/>
      </colorScale>
    </cfRule>
  </conditionalFormatting>
  <conditionalFormatting sqref="S3:S4">
    <cfRule type="colorScale" priority="81">
      <colorScale>
        <cfvo type="min"/>
        <cfvo type="max"/>
        <color rgb="FFFCFCFF"/>
        <color rgb="FF754BFB"/>
      </colorScale>
    </cfRule>
  </conditionalFormatting>
  <conditionalFormatting sqref="J3:J4">
    <cfRule type="colorScale" priority="82">
      <colorScale>
        <cfvo type="min"/>
        <cfvo type="percentile" val="50"/>
        <cfvo type="max"/>
        <color rgb="FFF8696B"/>
        <color rgb="FFFFEB84"/>
        <color rgb="FF63BE7B"/>
      </colorScale>
    </cfRule>
  </conditionalFormatting>
  <conditionalFormatting sqref="CG3:CG4">
    <cfRule type="colorScale" priority="83">
      <colorScale>
        <cfvo type="min"/>
        <cfvo type="max"/>
        <color rgb="FFFCFCFF"/>
        <color rgb="FF63BE7B"/>
      </colorScale>
    </cfRule>
  </conditionalFormatting>
  <conditionalFormatting sqref="H2">
    <cfRule type="cellIs" dxfId="3370" priority="30" stopIfTrue="1" operator="notEqual">
      <formula>""</formula>
    </cfRule>
  </conditionalFormatting>
  <conditionalFormatting sqref="R2 CU2">
    <cfRule type="cellIs" dxfId="3369" priority="32" operator="greaterThan">
      <formula>0</formula>
    </cfRule>
  </conditionalFormatting>
  <conditionalFormatting sqref="T2:AS2 CH2:CS2">
    <cfRule type="cellIs" dxfId="3368" priority="27" stopIfTrue="1" operator="equal">
      <formula>"n"</formula>
    </cfRule>
    <cfRule type="cellIs" dxfId="3367" priority="28" stopIfTrue="1" operator="equal">
      <formula>"y"</formula>
    </cfRule>
    <cfRule type="cellIs" dxfId="3366" priority="29" operator="greaterThan">
      <formula>0</formula>
    </cfRule>
  </conditionalFormatting>
  <conditionalFormatting sqref="AZ2:BB2">
    <cfRule type="expression" dxfId="3365" priority="14">
      <formula>$AT2=0</formula>
    </cfRule>
  </conditionalFormatting>
  <conditionalFormatting sqref="AZ2:BU2">
    <cfRule type="cellIs" dxfId="3364" priority="15" operator="equal">
      <formula>"PIN"</formula>
    </cfRule>
    <cfRule type="cellIs" dxfId="3363" priority="16" operator="equal">
      <formula>"ORA"</formula>
    </cfRule>
    <cfRule type="cellIs" dxfId="3362" priority="17" operator="equal">
      <formula>"GRA"</formula>
    </cfRule>
    <cfRule type="cellIs" dxfId="3361" priority="18" operator="equal">
      <formula>"PUR"</formula>
    </cfRule>
    <cfRule type="cellIs" dxfId="3360" priority="19" operator="equal">
      <formula>"BRO"</formula>
    </cfRule>
    <cfRule type="cellIs" dxfId="3359" priority="20" operator="equal">
      <formula>"YEL"</formula>
    </cfRule>
    <cfRule type="cellIs" dxfId="3358" priority="21" operator="equal">
      <formula>"BLU"</formula>
    </cfRule>
    <cfRule type="cellIs" dxfId="3357" priority="22" operator="equal">
      <formula>"WHI"</formula>
    </cfRule>
    <cfRule type="cellIs" dxfId="3356" priority="23" operator="equal">
      <formula>"GRE"</formula>
    </cfRule>
    <cfRule type="cellIs" dxfId="3355" priority="24" operator="equal">
      <formula>"RED"</formula>
    </cfRule>
    <cfRule type="cellIs" dxfId="3354" priority="25" operator="equal">
      <formula>"BLA"</formula>
    </cfRule>
  </conditionalFormatting>
  <conditionalFormatting sqref="BV2">
    <cfRule type="cellIs" dxfId="3353" priority="31" operator="equal">
      <formula>"nc"</formula>
    </cfRule>
  </conditionalFormatting>
  <conditionalFormatting sqref="CD2:CF2 BZ2:CA2">
    <cfRule type="cellIs" dxfId="3352" priority="26" operator="greaterThan">
      <formula>0</formula>
    </cfRule>
  </conditionalFormatting>
  <conditionalFormatting sqref="IC2:IK2">
    <cfRule type="expression" dxfId="3351" priority="13">
      <formula>$IL2&gt;0</formula>
    </cfRule>
  </conditionalFormatting>
  <conditionalFormatting sqref="BX2:CA2 CD2:CF2">
    <cfRule type="cellIs" dxfId="3350" priority="1" operator="equal">
      <formula>"y"</formula>
    </cfRule>
    <cfRule type="cellIs" dxfId="3349" priority="2" operator="equal">
      <formula>"PIN"</formula>
    </cfRule>
    <cfRule type="cellIs" dxfId="3348" priority="3" operator="equal">
      <formula>"ORA"</formula>
    </cfRule>
    <cfRule type="cellIs" dxfId="3347" priority="4" operator="equal">
      <formula>"GRA"</formula>
    </cfRule>
    <cfRule type="cellIs" dxfId="3346" priority="5" operator="equal">
      <formula>"PUR"</formula>
    </cfRule>
    <cfRule type="cellIs" dxfId="3345" priority="6" operator="equal">
      <formula>"BRO"</formula>
    </cfRule>
    <cfRule type="cellIs" dxfId="3344" priority="7" operator="equal">
      <formula>"YEL"</formula>
    </cfRule>
    <cfRule type="cellIs" dxfId="3343" priority="8" operator="equal">
      <formula>"BLU"</formula>
    </cfRule>
    <cfRule type="cellIs" dxfId="3342" priority="9" operator="equal">
      <formula>"WHI"</formula>
    </cfRule>
    <cfRule type="cellIs" dxfId="3341" priority="10" operator="equal">
      <formula>"GRE"</formula>
    </cfRule>
    <cfRule type="cellIs" dxfId="3340" priority="11" operator="equal">
      <formula>"RED"</formula>
    </cfRule>
    <cfRule type="cellIs" dxfId="3339" priority="12" operator="equal">
      <formula>"BLA"</formula>
    </cfRule>
  </conditionalFormatting>
  <conditionalFormatting sqref="J2">
    <cfRule type="colorScale" priority="33">
      <colorScale>
        <cfvo type="min"/>
        <cfvo type="percentile" val="50"/>
        <cfvo type="max"/>
        <color rgb="FFF8696B"/>
        <color rgb="FFFFEB84"/>
        <color rgb="FF63BE7B"/>
      </colorScale>
    </cfRule>
  </conditionalFormatting>
  <conditionalFormatting sqref="S2">
    <cfRule type="colorScale" priority="34">
      <colorScale>
        <cfvo type="min"/>
        <cfvo type="max"/>
        <color rgb="FFFCFCFF"/>
        <color rgb="FF754BFB"/>
      </colorScale>
    </cfRule>
  </conditionalFormatting>
  <conditionalFormatting sqref="AT2">
    <cfRule type="colorScale" priority="35">
      <colorScale>
        <cfvo type="min"/>
        <cfvo type="max"/>
        <color rgb="FFFCFCFF"/>
        <color theme="8" tint="0.39997558519241921"/>
      </colorScale>
    </cfRule>
  </conditionalFormatting>
  <conditionalFormatting sqref="CG2">
    <cfRule type="colorScale" priority="36">
      <colorScale>
        <cfvo type="min"/>
        <cfvo type="max"/>
        <color rgb="FFFCFCFF"/>
        <color rgb="FF63BE7B"/>
      </colorScale>
    </cfRule>
  </conditionalFormatting>
  <hyperlinks>
    <hyperlink ref="I4" r:id="rId1" xr:uid="{2F516F34-FD1C-4A26-8070-CFC39313640F}"/>
    <hyperlink ref="A2" r:id="rId2" display="https://fbref.com/en/country/MAD/Madagascar-Football" xr:uid="{BE12F143-CDFA-442D-9300-5A1E8A74F65B}"/>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45057" r:id="rId6"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45058" r:id="rId7"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45059" r:id="rId8"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833084-9B26-4858-8895-A6F5009A8E2D}">
  <sheetPr codeName="Sheet68"/>
  <dimension ref="A1:IY6"/>
  <sheetViews>
    <sheetView zoomScale="70" zoomScaleNormal="70" workbookViewId="0">
      <pane xSplit="5" ySplit="1" topLeftCell="F2" activePane="bottomRight" state="frozen"/>
      <selection pane="topRight" activeCell="F1" sqref="F1"/>
      <selection pane="bottomLeft" activeCell="A2" sqref="A2"/>
      <selection pane="bottomRight" activeCell="I5" sqref="I5"/>
    </sheetView>
  </sheetViews>
  <sheetFormatPr defaultRowHeight="38.4" customHeight="1" x14ac:dyDescent="0.3"/>
  <cols>
    <col min="1" max="1" width="52.44140625" style="81" bestFit="1" customWidth="1"/>
    <col min="2" max="2" width="10.109375" style="81" customWidth="1"/>
    <col min="3" max="3" width="7.44140625" style="82" customWidth="1"/>
    <col min="4" max="4" width="4.77734375" style="83" customWidth="1"/>
    <col min="5" max="5" width="4.5546875" style="83" customWidth="1"/>
    <col min="6" max="6" width="5.77734375" style="83" customWidth="1"/>
    <col min="7" max="7" width="7.44140625" style="81" customWidth="1"/>
    <col min="8" max="8" width="11.44140625" style="81" customWidth="1"/>
    <col min="9" max="9" width="10" style="81" customWidth="1"/>
    <col min="10" max="10" width="4.21875" style="81" customWidth="1"/>
    <col min="11" max="11" width="5.6640625" style="83" customWidth="1"/>
    <col min="12" max="12" width="2.88671875" style="83" customWidth="1"/>
    <col min="13" max="13" width="6.44140625" style="83" customWidth="1"/>
    <col min="14" max="14" width="4.5546875" style="83" customWidth="1"/>
    <col min="15" max="15" width="10.5546875" style="84" customWidth="1"/>
    <col min="16" max="16" width="6.88671875" style="83" customWidth="1"/>
    <col min="17" max="17" width="4.77734375" style="83" customWidth="1"/>
    <col min="18" max="18" width="13.109375" style="82" customWidth="1"/>
    <col min="19" max="19" width="6.77734375" style="82" customWidth="1"/>
    <col min="20" max="46" width="8.44140625" style="81" customWidth="1"/>
    <col min="47" max="47" width="24.5546875" style="81" customWidth="1"/>
    <col min="48" max="51" width="16.6640625" style="81" customWidth="1"/>
    <col min="52" max="52" width="6.5546875" style="81" customWidth="1"/>
    <col min="53" max="54" width="5.88671875" style="81" customWidth="1"/>
    <col min="55" max="55" width="1.33203125" style="81" customWidth="1"/>
    <col min="56" max="56" width="7.44140625" style="81" customWidth="1"/>
    <col min="57" max="57" width="2.33203125" style="81" customWidth="1"/>
    <col min="58" max="62" width="6.109375" style="81" customWidth="1"/>
    <col min="63" max="63" width="2.33203125" style="81" customWidth="1"/>
    <col min="64" max="64" width="7" style="81" bestFit="1" customWidth="1"/>
    <col min="65" max="65" width="6.44140625" style="81" bestFit="1" customWidth="1"/>
    <col min="66" max="66" width="7.109375" style="81" bestFit="1" customWidth="1"/>
    <col min="67" max="71" width="6.44140625" style="81" bestFit="1" customWidth="1"/>
    <col min="72" max="73" width="6.44140625" style="81" customWidth="1"/>
    <col min="74" max="75" width="13.44140625" style="81" customWidth="1"/>
    <col min="76" max="84" width="14.6640625" style="81" customWidth="1"/>
    <col min="85" max="85" width="6.44140625" style="81" customWidth="1"/>
    <col min="86" max="87" width="11.6640625" style="81" bestFit="1" customWidth="1"/>
    <col min="88" max="88" width="11.6640625" style="81" customWidth="1"/>
    <col min="89" max="89" width="12.77734375" style="81" bestFit="1" customWidth="1"/>
    <col min="90" max="90" width="16.44140625" style="82" bestFit="1" customWidth="1"/>
    <col min="91" max="92" width="14.88671875" style="82" bestFit="1" customWidth="1"/>
    <col min="93" max="93" width="16" style="82" bestFit="1" customWidth="1"/>
    <col min="94" max="97" width="7.77734375" style="81" customWidth="1"/>
    <col min="98" max="98" width="33.21875" style="81" customWidth="1"/>
    <col min="99" max="99" width="18" style="81" customWidth="1"/>
    <col min="100" max="100" width="75.6640625" style="81" customWidth="1"/>
    <col min="101" max="125" width="33" style="81" customWidth="1"/>
    <col min="126" max="126" width="8.88671875" style="81"/>
    <col min="127" max="128" width="9.44140625" style="81" bestFit="1" customWidth="1"/>
    <col min="129" max="129" width="10.77734375" style="81" bestFit="1" customWidth="1"/>
    <col min="130" max="134" width="10.77734375" style="81" customWidth="1"/>
    <col min="135" max="135" width="10.109375" style="81" bestFit="1" customWidth="1"/>
    <col min="136" max="136" width="7.77734375" style="81" bestFit="1" customWidth="1"/>
    <col min="137" max="137" width="7.77734375" style="81" customWidth="1"/>
    <col min="138" max="138" width="9" style="81" bestFit="1" customWidth="1"/>
    <col min="139" max="139" width="11.33203125" style="81" bestFit="1" customWidth="1"/>
    <col min="140" max="140" width="9.109375" style="81" bestFit="1" customWidth="1"/>
    <col min="141" max="141" width="9" style="81" bestFit="1" customWidth="1"/>
    <col min="142" max="142" width="12" style="81" bestFit="1" customWidth="1"/>
    <col min="143" max="166" width="12" style="81" customWidth="1"/>
    <col min="167" max="167" width="17.21875" style="81" customWidth="1"/>
    <col min="168" max="191" width="12" style="81" customWidth="1"/>
    <col min="192" max="192" width="8.5546875" style="81" bestFit="1" customWidth="1"/>
    <col min="193" max="193" width="8.5546875" style="81" customWidth="1"/>
    <col min="194" max="194" width="7.109375" style="81" bestFit="1" customWidth="1"/>
    <col min="195" max="195" width="7.5546875" style="81" bestFit="1" customWidth="1"/>
    <col min="196" max="196" width="8.5546875" style="81" bestFit="1" customWidth="1"/>
    <col min="197" max="200" width="8.5546875" style="81" customWidth="1"/>
    <col min="201" max="201" width="188.88671875" style="81" customWidth="1"/>
    <col min="202" max="202" width="9.5546875" style="81" bestFit="1" customWidth="1"/>
    <col min="203" max="203" width="10.44140625" style="81" bestFit="1" customWidth="1"/>
    <col min="204" max="204" width="11.109375" style="81" bestFit="1" customWidth="1"/>
    <col min="205" max="205" width="10.44140625" style="81" bestFit="1" customWidth="1"/>
    <col min="206" max="210" width="10.44140625" style="81" customWidth="1"/>
    <col min="211" max="211" width="45.44140625" style="81" customWidth="1"/>
    <col min="212" max="212" width="47.5546875" style="81" bestFit="1" customWidth="1"/>
    <col min="213" max="213" width="9.33203125" style="85" customWidth="1"/>
    <col min="214" max="214" width="119.5546875" style="81" customWidth="1"/>
    <col min="215" max="215" width="69.6640625" style="81" customWidth="1"/>
    <col min="216" max="218" width="8.88671875" style="81"/>
    <col min="219" max="219" width="37.109375" style="81" customWidth="1"/>
    <col min="220" max="220" width="16.33203125" style="81" customWidth="1"/>
    <col min="221" max="222" width="8.88671875" style="81"/>
    <col min="223" max="223" width="10.109375" style="81" bestFit="1" customWidth="1"/>
    <col min="224" max="232" width="10.88671875" style="81" customWidth="1"/>
    <col min="233" max="234" width="30.77734375" style="81" customWidth="1"/>
    <col min="235" max="235" width="5.109375" style="81" customWidth="1"/>
    <col min="236" max="236" width="3" style="81" customWidth="1"/>
    <col min="237" max="245" width="6.77734375" style="86" customWidth="1"/>
    <col min="246" max="247" width="8.88671875" style="81"/>
    <col min="248" max="248" width="61.5546875" style="81" customWidth="1"/>
    <col min="249" max="253" width="8.88671875" style="81"/>
    <col min="254" max="254" width="9" style="81" customWidth="1"/>
    <col min="255" max="16384" width="8.88671875" style="8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926</v>
      </c>
      <c r="B2" s="40" t="e" vm="68">
        <v>#VALUE!</v>
      </c>
      <c r="C2" s="41">
        <v>1</v>
      </c>
      <c r="D2" s="42" t="s">
        <v>927</v>
      </c>
      <c r="E2" s="43" t="s">
        <v>928</v>
      </c>
      <c r="F2" s="44" t="s">
        <v>163</v>
      </c>
      <c r="G2" s="45">
        <f>COUNTIF($A$1:$A$8345,A2)</f>
        <v>1</v>
      </c>
      <c r="H2" s="46"/>
      <c r="I2" s="47" t="s">
        <v>929</v>
      </c>
      <c r="J2" s="48" t="str">
        <f>""</f>
        <v/>
      </c>
      <c r="K2" s="49">
        <v>1260379</v>
      </c>
      <c r="L2" s="50">
        <v>1300000</v>
      </c>
      <c r="M2" s="50" t="s">
        <v>933</v>
      </c>
      <c r="N2" s="51" t="s">
        <v>180</v>
      </c>
      <c r="O2" s="52" t="s">
        <v>930</v>
      </c>
      <c r="P2" s="53" t="s">
        <v>931</v>
      </c>
      <c r="Q2" s="54">
        <v>1</v>
      </c>
      <c r="R2" s="55" t="s">
        <v>180</v>
      </c>
      <c r="S2" s="56">
        <v>4</v>
      </c>
      <c r="T2" s="57" t="s">
        <v>164</v>
      </c>
      <c r="U2" s="58" t="s">
        <v>164</v>
      </c>
      <c r="V2" s="58" t="s">
        <v>167</v>
      </c>
      <c r="W2" s="58" t="s">
        <v>164</v>
      </c>
      <c r="X2" s="58" t="s">
        <v>164</v>
      </c>
      <c r="Y2" s="58" t="s">
        <v>164</v>
      </c>
      <c r="Z2" s="58" t="s">
        <v>164</v>
      </c>
      <c r="AA2" s="58" t="s">
        <v>164</v>
      </c>
      <c r="AB2" s="58" t="s">
        <v>164</v>
      </c>
      <c r="AC2" s="58" t="s">
        <v>164</v>
      </c>
      <c r="AD2" s="58" t="s">
        <v>164</v>
      </c>
      <c r="AE2" s="58" t="s">
        <v>164</v>
      </c>
      <c r="AF2" s="59" t="s">
        <v>164</v>
      </c>
      <c r="AG2" s="59" t="s">
        <v>164</v>
      </c>
      <c r="AH2" s="59" t="s">
        <v>164</v>
      </c>
      <c r="AI2" s="59" t="s">
        <v>164</v>
      </c>
      <c r="AJ2" s="59" t="s">
        <v>164</v>
      </c>
      <c r="AK2" s="59" t="s">
        <v>167</v>
      </c>
      <c r="AL2" s="59" t="s">
        <v>164</v>
      </c>
      <c r="AM2" s="59" t="s">
        <v>164</v>
      </c>
      <c r="AN2" s="59" t="s">
        <v>164</v>
      </c>
      <c r="AO2" s="59" t="s">
        <v>164</v>
      </c>
      <c r="AP2" s="59" t="s">
        <v>164</v>
      </c>
      <c r="AQ2" s="59" t="s">
        <v>164</v>
      </c>
      <c r="AR2" s="59" t="s">
        <v>164</v>
      </c>
      <c r="AS2" s="59" t="s">
        <v>164</v>
      </c>
      <c r="AT2" s="60">
        <v>0</v>
      </c>
      <c r="AU2" s="59"/>
      <c r="AV2" s="59" t="str">
        <f>IF(LEFT(A2,1)="[",LEFT(A2,5)&amp;AU2&amp;A2,"")</f>
        <v/>
      </c>
      <c r="AW2" s="59" t="str">
        <f t="shared" ref="AW2" si="0">C2&amp;H2&amp;A2</f>
        <v>1Mauritius</v>
      </c>
      <c r="AX2" s="61" t="str">
        <f>_xlfn.TEXTJOIN(";",TRUE,AU2:AW2)</f>
        <v>1Mauritius</v>
      </c>
      <c r="AY2" s="61" t="s">
        <v>167</v>
      </c>
      <c r="AZ2" s="62"/>
      <c r="BA2" s="62"/>
      <c r="BB2" s="62"/>
      <c r="BC2" s="63"/>
      <c r="BD2" s="64" t="s">
        <v>169</v>
      </c>
      <c r="BE2" s="47"/>
      <c r="BF2" s="64" t="s">
        <v>154</v>
      </c>
      <c r="BG2" s="64"/>
      <c r="BH2" s="64" t="s">
        <v>153</v>
      </c>
      <c r="BI2" s="64" t="s">
        <v>152</v>
      </c>
      <c r="BJ2" s="64" t="s">
        <v>155</v>
      </c>
      <c r="BK2" s="47"/>
      <c r="BL2" s="64" t="s">
        <v>154</v>
      </c>
      <c r="BM2" s="64" t="s">
        <v>155</v>
      </c>
      <c r="BN2" s="64" t="s">
        <v>153</v>
      </c>
      <c r="BO2" s="64" t="s">
        <v>152</v>
      </c>
      <c r="BP2" s="64"/>
      <c r="BQ2" s="64"/>
      <c r="BR2" s="64"/>
      <c r="BS2" s="64"/>
      <c r="BT2" s="64"/>
      <c r="BU2" s="65"/>
      <c r="BV2" s="66" t="s">
        <v>165</v>
      </c>
      <c r="BW2" s="66">
        <v>0</v>
      </c>
      <c r="BX2" s="47"/>
      <c r="CB2" s="6" t="s">
        <v>932</v>
      </c>
      <c r="CC2" s="6"/>
      <c r="CD2" s="67">
        <v>0</v>
      </c>
      <c r="CE2" s="67">
        <v>0</v>
      </c>
      <c r="CF2" s="67" t="e">
        <v>#REF!</v>
      </c>
      <c r="CG2" s="68" cm="1">
        <f t="array" ref="CG2">SUMPRODUCT(--(LEN(TRIM(BL2:BT2))&gt;0))</f>
        <v>4</v>
      </c>
      <c r="CH2" s="59" t="str">
        <f>IF(CG2=2,"y","n")</f>
        <v>n</v>
      </c>
      <c r="CI2" s="59" t="str">
        <f>IF(CG2=3,"y","n")</f>
        <v>n</v>
      </c>
      <c r="CJ2" s="59" t="str">
        <f>IF(CG2=4,"y","n")</f>
        <v>y</v>
      </c>
      <c r="CK2" s="59" t="str">
        <f>IF(CG2&gt;4,"y","n")</f>
        <v>n</v>
      </c>
      <c r="CL2" s="59" t="str">
        <f>IF(S2=0,"y","n")</f>
        <v>n</v>
      </c>
      <c r="CM2" s="59" t="str">
        <f>IF(S2=2,"y","n")</f>
        <v>n</v>
      </c>
      <c r="CN2" s="59" t="str">
        <f>IF(S2=3,"y","n")</f>
        <v>n</v>
      </c>
      <c r="CO2" s="59" t="str">
        <f>IF(S2&gt;=4,"y","n")</f>
        <v>y</v>
      </c>
      <c r="CP2" s="59" t="str">
        <f>IF(AT2=0,"y","n")</f>
        <v>y</v>
      </c>
      <c r="CQ2" s="59" t="str">
        <f>IF(AT2=1,"y","n")</f>
        <v>n</v>
      </c>
      <c r="CR2" s="59" t="str">
        <f>IF(AT2=2,"y","n")</f>
        <v>n</v>
      </c>
      <c r="CS2" s="59" t="str">
        <f>IF(AT2&gt;=3,"y","n")</f>
        <v>n</v>
      </c>
      <c r="CT2" s="69" t="str">
        <f>CHAR(34)&amp;A2&amp;CHAR(34)</f>
        <v>"Mauritius"</v>
      </c>
      <c r="CU2" s="70" t="str">
        <f>CHAR(34)&amp;"rgn_"&amp;R2&amp;CHAR(34)</f>
        <v>"rgn_Africa"</v>
      </c>
      <c r="CV2" s="48" t="str">
        <f>CHAR(34)&amp;D2&amp;CHAR(34)</f>
        <v>"https://i.ibb.co/ZXvX95X/Mauritius-Flag.png"</v>
      </c>
      <c r="CW2" s="48" t="str">
        <f>IF(CH2="y",CHAR(34)&amp;CH$1&amp;CHAR(34)&amp;",","")</f>
        <v/>
      </c>
      <c r="CX2" s="48" t="str">
        <f>IF(CI2="y",CHAR(34)&amp;CI$1&amp;CHAR(34)&amp;",","")</f>
        <v/>
      </c>
      <c r="CY2" s="48" t="str">
        <f>IF(CJ2="y",CHAR(34)&amp;CJ$1&amp;CHAR(34)&amp;",","")</f>
        <v>"4Color",</v>
      </c>
      <c r="CZ2" s="48" t="str">
        <f>IF(CK2="y",CHAR(34)&amp;CK$1&amp;CHAR(34)&amp;",","")</f>
        <v/>
      </c>
      <c r="DA2" s="48" t="str">
        <f>IF(Q2&gt;1,CHAR(34)&amp;"words2"&amp;CHAR(34)&amp;",","")</f>
        <v/>
      </c>
      <c r="DB2" s="48" t="str">
        <f>IF(Q2&gt;2,CHAR(34)&amp;"words3"&amp;CHAR(34)&amp;",","")</f>
        <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"lets09",</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"startM",</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
      </c>
      <c r="DS2" s="6" t="str">
        <f>IF(W2="y",IF(AND(V2="n",BY2&lt;&gt;"y"),CHAR(34)&amp;"allver"&amp;CHAR(34)&amp;",",""),"")</f>
        <v/>
      </c>
      <c r="DT2" s="6" t="str">
        <f>IF(V2="y",IF(AND(W2="n",BY2&lt;&gt;"y"),CHAR(34)&amp;"allhor"&amp;CHAR(34)&amp;",",""),"")</f>
        <v>"allhor",</v>
      </c>
      <c r="DU2" s="6" t="str">
        <f>IF(BY2="y",IF(AND(W2="n",V2="n"),CHAR(34)&amp;"alldia"&amp;CHAR(34)&amp;",",""),"")</f>
        <v/>
      </c>
      <c r="DV2" s="48" t="str">
        <f>IF(IA2&lt;&gt;"",(IF(IA2="y",CHAR(34)&amp;"largec"&amp;CHAR(34)&amp;",",CHAR(34)&amp;"smallc"&amp;CHAR(34)&amp;",")),"")</f>
        <v/>
      </c>
      <c r="DW2" s="48" t="str">
        <f>IF(CL2="y",CHAR(34)&amp;CL$1&amp;CHAR(34)&amp;",","")</f>
        <v/>
      </c>
      <c r="DX2" s="48" t="str">
        <f>IF(CM2="y",CHAR(34)&amp;CM$1&amp;CHAR(34)&amp;",","")</f>
        <v/>
      </c>
      <c r="DY2" s="48" t="str">
        <f>IF(CN2="y",CHAR(34)&amp;CN$1&amp;CHAR(34)&amp;",","")</f>
        <v/>
      </c>
      <c r="DZ2" s="48" t="str">
        <f>IF(CO2="y",CHAR(34)&amp;CO$1&amp;CHAR(34)&amp;",","")</f>
        <v>"4+Band",</v>
      </c>
      <c r="EA2" s="48" t="str">
        <f>IF(T2="y",CHAR(34)&amp;T$1&amp;CHAR(34)&amp;",","")</f>
        <v/>
      </c>
      <c r="EB2" s="48" t="str">
        <f>IF(U2="y",CHAR(34)&amp;U$1&amp;CHAR(34)&amp;",","")</f>
        <v/>
      </c>
      <c r="EC2" s="48" t="str">
        <f>IF(V2="y",CHAR(34)&amp;V$1&amp;CHAR(34)&amp;",","")</f>
        <v>"Horizo",</v>
      </c>
      <c r="ED2" s="48" t="str">
        <f>IF(W2="y",CHAR(34)&amp;W$1&amp;CHAR(34)&amp;",","")</f>
        <v/>
      </c>
      <c r="EE2" s="48" t="str">
        <f>IF(X2="y",CHAR(34)&amp;X$1&amp;CHAR(34)&amp;",","")</f>
        <v/>
      </c>
      <c r="EF2" s="48" t="str">
        <f>IF(AND(Y2&lt;&gt;"n",Y2&lt;&gt;""),CHAR(34)&amp;Y$1&amp;CHAR(34)&amp;",","")</f>
        <v/>
      </c>
      <c r="EG2" s="48" t="str">
        <f>IF(Z2="y",CHAR(34)&amp;Z$1&amp;CHAR(34)&amp;",","")</f>
        <v/>
      </c>
      <c r="EH2" s="48" t="str">
        <f>IF(AA2="y",CHAR(34)&amp;AA$1&amp;CHAR(34)&amp;",","")</f>
        <v/>
      </c>
      <c r="EI2" s="48" t="str">
        <f>IF(AB2="y",CHAR(34)&amp;AB$1&amp;CHAR(34)&amp;",","")</f>
        <v/>
      </c>
      <c r="EJ2" s="48" t="str">
        <f>IF(AC2="y",CHAR(34)&amp;AC$1&amp;CHAR(34)&amp;",","")</f>
        <v/>
      </c>
      <c r="EK2" s="48" t="str">
        <f>IF(AD2="y",CHAR(34)&amp;AD$1&amp;CHAR(34)&amp;",","")</f>
        <v/>
      </c>
      <c r="EL2" s="48" t="str">
        <f>IF(AE2="y",CHAR(34)&amp;AE$1&amp;CHAR(34)&amp;",","")</f>
        <v/>
      </c>
      <c r="EM2" s="48" t="str">
        <f>IF(AF2="y",CHAR(34)&amp;AF$1&amp;CHAR(34)&amp;",","")</f>
        <v/>
      </c>
      <c r="EN2" s="48" t="str">
        <f>IF(AG2="y",CHAR(34)&amp;AG$1&amp;CHAR(34)&amp;",","")</f>
        <v/>
      </c>
      <c r="EO2" s="48" t="str">
        <f>IF(AH2="y",CHAR(34)&amp;AH$1&amp;CHAR(34)&amp;",","")</f>
        <v/>
      </c>
      <c r="EP2" s="48" t="str">
        <f>IF(AI2="y",CHAR(34)&amp;AI$1&amp;CHAR(34)&amp;",","")</f>
        <v/>
      </c>
      <c r="EQ2" s="48" t="str">
        <f>IF(AJ2="y",CHAR(34)&amp;AJ$1&amp;CHAR(34)&amp;",","")</f>
        <v/>
      </c>
      <c r="ER2" s="48" t="str">
        <f>IF(AK2="y",CHAR(34)&amp;AK$1&amp;CHAR(34)&amp;",","")</f>
        <v>"OnlyBa",</v>
      </c>
      <c r="ES2" s="48" t="str">
        <f>IF(AL2="y",CHAR(34)&amp;AL$1&amp;CHAR(34)&amp;",","")</f>
        <v/>
      </c>
      <c r="ET2" s="48" t="str">
        <f>IF(AM2="y",CHAR(34)&amp;AM$1&amp;CHAR(34)&amp;",","")</f>
        <v/>
      </c>
      <c r="EU2" s="48" t="str">
        <f>IF(AN2="y",CHAR(34)&amp;AN$1&amp;CHAR(34)&amp;",","")</f>
        <v/>
      </c>
      <c r="EV2" s="48" t="str">
        <f>IF(AO2="y",CHAR(34)&amp;AO$1&amp;CHAR(34)&amp;",","")</f>
        <v/>
      </c>
      <c r="EW2" s="48" t="str">
        <f>IF(AP2="y",CHAR(34)&amp;AP$1&amp;CHAR(34)&amp;",","")</f>
        <v/>
      </c>
      <c r="EX2" s="48" t="str">
        <f>IF(AQ2="y",CHAR(34)&amp;AQ$1&amp;CHAR(34)&amp;",","")</f>
        <v/>
      </c>
      <c r="EY2" s="48" t="str">
        <f>IF(AR2="y",CHAR(34)&amp;AR$1&amp;CHAR(34)&amp;",","")</f>
        <v/>
      </c>
      <c r="EZ2" s="48" t="str">
        <f>IF(AS2="y",CHAR(34)&amp;AS$1&amp;CHAR(34)&amp;",","")</f>
        <v/>
      </c>
      <c r="FA2" s="48" t="str">
        <f>IF(AT2&gt;0,CHAR(34)&amp;"sta"&amp;AZ2&amp;CHAR(34)&amp;",","")</f>
        <v/>
      </c>
      <c r="FB2" s="48" t="str">
        <f>IF(AND(AT2&gt;0,BA2&lt;&gt;""),CHAR(34)&amp;"sta"&amp;BA2&amp;CHAR(34)&amp;",","")</f>
        <v/>
      </c>
      <c r="FC2" s="48" t="str">
        <f>IF(AND(AT2&gt;0,BB2&lt;&gt;""),CHAR(34)&amp;"sta"&amp;BB2&amp;CHAR(34)&amp;",","")</f>
        <v/>
      </c>
      <c r="FD2" s="48" t="str">
        <f>IF(BV2="n",CHAR(34)&amp;"tcWHYE"&amp;CHAR(34)&amp;",",IF(BV2="y",CHAR(34)&amp;FD$1&amp;CHAR(34)&amp;",",""))</f>
        <v/>
      </c>
      <c r="FE2" s="48" t="str">
        <f>IF(COUNTIF(BL2:BT2,"BLU")=0,CHAR(34)&amp;"NO_BLU"&amp;CHAR(34)&amp;",", "")</f>
        <v/>
      </c>
      <c r="FF2" s="48" t="str">
        <f>IF(COUNTIF(BL2:BT2,"WHI")=0,CHAR(34)&amp;"NO_WHI"&amp;CHAR(34)&amp;",", "")</f>
        <v>"NO_WHI",</v>
      </c>
      <c r="FG2" s="48" t="str">
        <f>IF(COUNTIF(BL2:BT2,"RED")=0,CHAR(34)&amp;"NO_RED"&amp;CHAR(34)&amp;",", "")</f>
        <v/>
      </c>
      <c r="FH2" s="48" t="str">
        <f>IF(COUNTIF(BL2:BS2,"GRE")=0,CHAR(34)&amp;"NO_GRE"&amp;CHAR(34)&amp;",", "")</f>
        <v/>
      </c>
      <c r="FI2" s="48" t="str">
        <f>IF(COUNTIF(BL2:BT2,"YEL")=0,CHAR(34)&amp;"NO_YEL"&amp;CHAR(34)&amp;",", "")</f>
        <v/>
      </c>
      <c r="FJ2" s="48" t="str">
        <f>IF(COUNTIF(BL2:BT2,"BLA")=0,CHAR(34)&amp;"NO_BLA"&amp;CHAR(34)&amp;",", "")</f>
        <v>"NO_BLA",</v>
      </c>
      <c r="FK2" s="48" t="str">
        <f>IF(AND(FH2&lt;&gt;"",FF2&lt;&gt;""),CHAR(34)&amp;"WHGRNO"&amp;CHAR(34)&amp;",","")</f>
        <v/>
      </c>
      <c r="FL2" s="48" t="str">
        <f>IF(AND(FI2&lt;&gt;"",FF2&lt;&gt;""),CHAR(34)&amp;"WHYENO"&amp;CHAR(34)&amp;",","")</f>
        <v/>
      </c>
      <c r="FM2" s="48" t="str">
        <f>IF(AND(FJ2&lt;&gt;"",FF2&lt;&gt;""),CHAR(34)&amp;"BAWHNO"&amp;CHAR(34)&amp;",","")</f>
        <v>"BAWHNO",</v>
      </c>
      <c r="FN2" s="48" t="str">
        <f>IF(AND(FE2&lt;&gt;"",FF2&lt;&gt;""),CHAR(34)&amp;"BLWHNO"&amp;CHAR(34)&amp;",","")</f>
        <v/>
      </c>
      <c r="FO2" s="48" t="str">
        <f>IF(AND(FE2&lt;&gt;"",FG2&lt;&gt;""),CHAR(34)&amp;"BLRENO"&amp;CHAR(34)&amp;",","")</f>
        <v/>
      </c>
      <c r="FP2" s="48" t="str">
        <f>IF(AND(FF2&lt;&gt;"",FF2&lt;&gt;""),CHAR(34)&amp;"WHRENO"&amp;CHAR(34)&amp;",","")</f>
        <v>"WHRENO",</v>
      </c>
      <c r="FQ2" s="48" t="str">
        <f>IF(LEN(BF2)=3,CHAR(34)&amp;"001"&amp;BF2&amp;CHAR(34)&amp;",","")</f>
        <v>"001RED",</v>
      </c>
      <c r="FR2" s="48" t="str">
        <f>IF(LEN(BG2)=3,CHAR(34)&amp;"002"&amp;BG2&amp;CHAR(34)&amp;",","")</f>
        <v/>
      </c>
      <c r="FS2" s="48" t="str">
        <f>IF(LEN(BH2)=3,CHAR(34)&amp;"003"&amp;BH2&amp;CHAR(34)&amp;",","")</f>
        <v>"003GRE",</v>
      </c>
      <c r="FT2" s="48" t="str">
        <f>CHAR(34)&amp;"myr"&amp;BD2&amp;CHAR(34)&amp;","</f>
        <v>"myrEQ",</v>
      </c>
      <c r="FU2" s="48" t="str">
        <f>IF(AY2="y",CHAR(34)&amp;"island"&amp;CHAR(34)&amp;",","")</f>
        <v>"island",</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"englis",</v>
      </c>
      <c r="GA2" s="48" t="str">
        <f>IFERROR(IF(SEARCH("French",CB2)&gt;0,CHAR(34)&amp;"french"&amp;CHAR(34)&amp;",",""),"")</f>
        <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"NoStar",</v>
      </c>
      <c r="GK2" s="48" t="str">
        <f>IF(GJ2="",CHAR(34)&amp;"HasSta"&amp;CHAR(34)&amp;",","")</f>
        <v/>
      </c>
      <c r="GL2" s="48" t="str">
        <f>IF(CQ2="y",CHAR(34)&amp;CQ$1&amp;CHAR(34)&amp;",","")</f>
        <v/>
      </c>
      <c r="GM2" s="48" t="str">
        <f>IF(CR2="y",CHAR(34)&amp;CR$1&amp;CHAR(34)&amp;",","")</f>
        <v/>
      </c>
      <c r="GN2" s="48" t="str">
        <f>IF(CS2="y",CHAR(34)&amp;CS$1&amp;CHAR(34)&amp;",","")</f>
        <v/>
      </c>
      <c r="GP2" s="48" t="str">
        <f>CHAR(34)&amp;AU2&amp;CHAR(34)</f>
        <v>""</v>
      </c>
      <c r="GS2" s="48" t="str">
        <f>SUBSTITUTE("["&amp;_xlfn.CONCAT(CW2:GN2)&amp;"]",",]","]")</f>
        <v>["4Color","lets09","startM","year19","allhor","4+Band","Horizo","OnlyBa","NO_WHI","NO_BLA","BAWHNO","WHRENO","001RED","003GRE","myrEQ","island","englis","NoStar"]</v>
      </c>
      <c r="GT2" s="48" t="str">
        <f>IF(BL2&lt;&gt;"",CHAR(34)&amp;"cl_"&amp;BL2&amp;CHAR(34)&amp;",","")</f>
        <v>"cl_RED",</v>
      </c>
      <c r="GU2" s="48" t="str">
        <f>IF(BM2&lt;&gt;"",CHAR(34)&amp;"cl_"&amp;BM2&amp;CHAR(34)&amp;",","")</f>
        <v>"cl_YEL",</v>
      </c>
      <c r="GV2" s="48" t="str">
        <f>IF(BN2&lt;&gt;"",CHAR(34)&amp;"cl_"&amp;BN2&amp;CHAR(34)&amp;",","")</f>
        <v>"cl_GRE",</v>
      </c>
      <c r="GW2" s="48" t="str">
        <f>IF(BO2&lt;&gt;"",CHAR(34)&amp;"cl_"&amp;BO2&amp;CHAR(34)&amp;",","")</f>
        <v>"cl_BLU",</v>
      </c>
      <c r="GX2" s="48" t="str">
        <f>IF(BP2&lt;&gt;"",CHAR(34)&amp;"cl_"&amp;BP2&amp;CHAR(34)&amp;",","")</f>
        <v/>
      </c>
      <c r="GY2" s="48" t="str">
        <f>IF(BQ2&lt;&gt;"",CHAR(34)&amp;"cl_"&amp;BQ2&amp;CHAR(34)&amp;",","")</f>
        <v/>
      </c>
      <c r="GZ2" s="48" t="str">
        <f>IF(BR2&lt;&gt;"",CHAR(34)&amp;"cl_"&amp;BR2&amp;CHAR(34)&amp;",","")</f>
        <v/>
      </c>
      <c r="HA2" s="48" t="str">
        <f>IF(BS2&lt;&gt;"",CHAR(34)&amp;"cl_"&amp;BS2&amp;CHAR(34)&amp;",","")</f>
        <v/>
      </c>
      <c r="HB2" s="48" t="str">
        <f>IF(BT2&lt;&gt;"",CHAR(34)&amp;"cl_"&amp;BT2&amp;CHAR(34)&amp;",","")</f>
        <v/>
      </c>
      <c r="HC2" s="48" t="str">
        <f>SUBSTITUTE("["&amp;_xlfn.CONCAT(GT2:HB2)&amp;"]",",]","]")</f>
        <v>["cl_RED","cl_YEL","cl_GRE","cl_BLU"]</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{couname:"Mauritius",year:"1968 ",region:"rgn_Africa",Colors:["cl_RED","cl_YEL","cl_GRE","cl_BLU"],Items:["4Color","lets09","startM","year19","allhor","4+Band","Horizo","OnlyBa","NO_WHI","NO_BLA","BAWHNO","WHRENO","001RED","003GRE","myrEQ","island","englis","NoStar"],Flag:"https://i.ibb.co/ZXvX95X/Mauritius-Flag.png",HDFlag:"https://upload.wikimedia.org/wikipedia/commons/thumb/7/77/Flag_of_Mauritius.svg/2560px-Flag_of_Mauritius.svg.png",type:"", describe: "\n\n • Red represents the struggle for freedom and independence.\n\n • Blue represents the Indian Ocean, in which Mauritius is situated.\n\n • Yellow represents the light of freedom shining over the island.\n\n • Green represents the agriculture of Mauritius and its colour throughout the 12 months of the year.", isnew:".", links: "https://en.wikipedia.org/wiki/Flag_of_Mauritius"},</v>
      </c>
      <c r="HG2" s="73" t="str">
        <f>"{couname:"&amp;CT2&amp;(IF(HK2&lt;&gt;"",",subtype:"&amp;CHAR(34)&amp;HK2&amp;CHAR(34),""))&amp;",year:"&amp;HJ2&amp;",region:"&amp;CU2&amp;",Colors:"&amp;HC2&amp;",Items:"&amp;GS2&amp;",Flag:"&amp;CV2&amp;",HDFlag:"&amp;CHAR(34)&amp;E2&amp;CHAR(34)&amp;",type:"&amp;GP2&amp;", describe: "&amp;HI2&amp;", links: "&amp;HL2&amp;"},"</f>
        <v>{couname:"Mauritius",year:"1968 ",region:"rgn_Africa",Colors:["cl_RED","cl_YEL","cl_GRE","cl_BLU"],Items:["4Color","lets09","startM","year19","allhor","4+Band","Horizo","OnlyBa","NO_WHI","NO_BLA","BAWHNO","WHRENO","001RED","003GRE","myrEQ","island","englis","NoStar"],Flag:"https://i.ibb.co/ZXvX95X/Mauritius-Flag.png",HDFlag:"https://upload.wikimedia.org/wikipedia/commons/thumb/7/77/Flag_of_Mauritius.svg/2560px-Flag_of_Mauritius.svg.png",type:"", describe: "\n\n • Red represents the struggle for freedom and independence.\n\n • Blue represents the Indian Ocean, in which Mauritius is situated.\n\n • Yellow represents the light of freedom shining over the island.\n\n • Green represents the agriculture of Mauritius and its colour throughout the 12 months of the year.", links: "https://en.wikipedia.org/wiki/Flag_of_Mauritius"},</v>
      </c>
      <c r="HH2" s="48" t="str">
        <f>IF(P2&lt;&gt;"",CHAR(34)&amp;"\n"&amp;P2&amp;CHAR(34),CHAR(34)&amp;CHAR(34))</f>
        <v>"\n\n • Red represents the struggle for freedom and independence.\n\n • Blue represents the Indian Ocean, in which Mauritius is situated.\n\n • Yellow represents the light of freedom shining over the island.\n\n • Green represents the agriculture of Mauritius and its colour throughout the 12 months of the year."</v>
      </c>
      <c r="HI2" s="48" t="str">
        <f>IF(J2=0,CHAR(34)&amp;CHAR(34),HH2)</f>
        <v>"\n\n • Red represents the struggle for freedom and independence.\n\n • Blue represents the Indian Ocean, in which Mauritius is situated.\n\n • Yellow represents the light of freedom shining over the island.\n\n • Green represents the agriculture of Mauritius and its colour throughout the 12 months of the year."</v>
      </c>
      <c r="HJ2" s="48" t="str">
        <f>CHAR(34)&amp;O2&amp;CHAR(34)</f>
        <v>"1968 "</v>
      </c>
      <c r="HL2" s="48" t="str">
        <f>CHAR(34)&amp;I2&amp;CHAR(34)</f>
        <v>"https://en.wikipedia.org/wiki/Flag_of_Mauritius"</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{"couname":"Mauritius","year":"1968 ","region":"rgn_Africa","Colors":["cl_RED","cl_YEL","cl_GRE","cl_BLU"],"Items":["4Color","lets09","startM","year19","allhor","4+Band","Horizo","OnlyBa","NO_WHI","NO_BLA","BAWHNO","WHRENO","001RED","003GRE","myrEQ","island","englis","NoStar"],"Flag":"https://i.ibb.co/ZXvX95X/Mauritius-Flag.png","HDFlag":"https://upload.wikimedia.org/wikipedia/commons/thumb/7/77/Flag_of_Mauritius.svg/2560px-Flag_of_Mauritius.svg.png","type":"", "describe": "\n\n • Red represents the struggle for freedom and independence.\n\n • Blue represents the Indian Ocean, in which Mauritius is situated.\n\n • Yellow represents the light of freedom shining over the island.\n\n • Green represents the agriculture of Mauritius and its colour throughout the 12 months of the year.", "isnew": ".", "links": "https://en.wikipedia.org/wiki/Flag_of_Mauritius"},</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{"couname":"Mauritius","year":"1968 ","region":"rgn_Africa","Colors":["cl_RED","cl_YEL","cl_GRE","cl_BLU"],"Items":["4Color","lets09","startM","year19","allhor","4+Band","Horizo","OnlyBa","NO_WHI","NO_BLA","BAWHNO","WHRENO","001RED","003GRE","myrEQ","island","englis","NoStar"],"Flag":"https://i.ibb.co/ZXvX95X/Mauritius-Flag.png","HDFlag":"https://upload.wikimedia.org/wikipedia/commons/thumb/7/77/Flag_of_Mauritius.svg/2560px-Flag_of_Mauritius.svg.png","type":"", "describe": "\n\n • Red represents the struggle for freedom and independence.\n\n • Blue represents the Indian Ocean, in which Mauritius is situated.\n\n • Yellow represents the light of freedom shining over the island.\n\n • Green represents the agriculture of Mauritius and its colour throughout the 12 months of the year.", "isnew": ".", "links": "https://en.wikipedia.org/wiki/Flag_of_Mauritius"},</v>
      </c>
      <c r="HO2" s="75"/>
      <c r="HP2" s="48" t="str" cm="1">
        <f t="array" ref="HP2">IF(_xlfn.TEXTJOIN(", ", TRUE, IF(ISNUMBER(SEARCH("BLA", BL2:BT2)), COLUMN(BL2:BT2) - COLUMN(BL2) + 1, ""))&lt;&gt;"","BLA","")</f>
        <v/>
      </c>
      <c r="HQ2" s="48" t="str" cm="1">
        <f t="array" ref="HQ2">IF(_xlfn.TEXTJOIN(", ", TRUE, IF(ISNUMBER(SEARCH("BLU", BL2:BT2)), COLUMN(BL2:BT2) - COLUMN(BL2) + 1, ""))&lt;&gt;"","BLU","")</f>
        <v>BLU</v>
      </c>
      <c r="HR2" s="48" t="str" cm="1">
        <f t="array" ref="HR2">IF(_xlfn.TEXTJOIN(", ", TRUE, IF(ISNUMBER(SEARCH("GRE", BL2:BT2)), COLUMN(BL2:BT2) - COLUMN(BL2) + 1, ""))&lt;&gt;"","GRE","")</f>
        <v>GRE</v>
      </c>
      <c r="HS2" s="48" t="str" cm="1">
        <f t="array" ref="HS2">IF(_xlfn.TEXTJOIN(", ", TRUE, IF(ISNUMBER(SEARCH("RED", BL2:BT2)), COLUMN(BL2:BT2) - COLUMN(BL2) + 1, ""))&lt;&gt;"","RED","")</f>
        <v>RED</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
      </c>
      <c r="HY2" s="76"/>
      <c r="HZ2" s="76"/>
      <c r="IA2" s="6"/>
      <c r="IB2" s="6"/>
      <c r="IC2" s="77"/>
      <c r="ID2" s="77"/>
      <c r="IE2" s="77"/>
      <c r="IF2" s="77"/>
      <c r="IG2" s="77"/>
      <c r="IH2" s="77"/>
      <c r="II2" s="77"/>
      <c r="IJ2" s="77"/>
      <c r="IK2" s="77"/>
      <c r="IL2" s="48">
        <f>SUM(IC2:IK2)</f>
        <v>0</v>
      </c>
      <c r="IM2" s="45">
        <f>COUNTIF(IC2:IK2,"&gt;0")-CG2</f>
        <v>-4</v>
      </c>
      <c r="IN2" s="78" t="str">
        <f>"http://mkweb.bcgsc.ca/color-summarizer/?url="&amp;D2&amp;"&amp;precision=low&amp;num_clusters="&amp;CG2&amp;"&amp;text=1"</f>
        <v>http://mkweb.bcgsc.ca/color-summarizer/?url=https://i.ibb.co/ZXvX95X/Mauritius-Flag.png&amp;precision=low&amp;num_clusters=4&amp;text=1</v>
      </c>
      <c r="IO2" s="48" t="str">
        <f>IF(HP2&lt;&gt;"",CHAR(34)&amp;"black"&amp;CHAR(34),"")</f>
        <v/>
      </c>
      <c r="IP2" s="48" t="str">
        <f>IF(HQ2&lt;&gt;"",CHAR(34)&amp;"blue"&amp;CHAR(34),"")</f>
        <v>"blue"</v>
      </c>
      <c r="IQ2" s="48" t="str">
        <f>IF(HR2&lt;&gt;"",CHAR(34)&amp;"green"&amp;CHAR(34),"")</f>
        <v>"green"</v>
      </c>
      <c r="IR2" s="48" t="str">
        <f>IF(HS2&lt;&gt;"",CHAR(34)&amp;"red"&amp;CHAR(34),"")</f>
        <v>"red"</v>
      </c>
      <c r="IS2" s="48" t="str">
        <f>IF(HT2&lt;&gt;"",CHAR(34)&amp;"yellow"&amp;CHAR(34),"")</f>
        <v>"yellow"</v>
      </c>
      <c r="IT2" s="48" t="str">
        <f>IF(HU2&lt;&gt;"",CHAR(34)&amp;"orange"&amp;CHAR(34),"")</f>
        <v/>
      </c>
      <c r="IU2" s="48" t="str">
        <f>IF(HV2&lt;&gt;"",CHAR(34)&amp;"brown"&amp;CHAR(34),"")</f>
        <v/>
      </c>
      <c r="IV2" s="48" t="str">
        <f>IF(HW2&lt;&gt;"",CHAR(34)&amp;"purple"&amp;CHAR(34),"")</f>
        <v/>
      </c>
      <c r="IW2" s="48" t="str">
        <f>IF(HX2&lt;&gt;"",CHAR(34)&amp;"white"&amp;CHAR(34),"")</f>
        <v/>
      </c>
      <c r="IX2" s="48" t="str">
        <f>"{"&amp;CHAR(34)&amp;"url"&amp;CHAR(34)&amp;":"&amp;CHAR(34)&amp;IN2&amp;CHAR(34)&amp;","&amp;CHAR(34)&amp;"name"&amp;CHAR(34)&amp;":"&amp;CHAR(34)&amp;A2&amp;CHAR(34)&amp;"},"</f>
        <v>{"url":"http://mkweb.bcgsc.ca/color-summarizer/?url=https://i.ibb.co/ZXvX95X/Mauritius-Flag.png&amp;precision=low&amp;num_clusters=4&amp;text=1","name":"Mauritius"},</v>
      </c>
      <c r="IY2" s="48">
        <v>136</v>
      </c>
    </row>
    <row r="3" spans="1:259" s="48" customFormat="1" ht="38.4" customHeight="1" thickBot="1" x14ac:dyDescent="0.35">
      <c r="A3" s="79" t="s">
        <v>921</v>
      </c>
      <c r="B3" s="40" t="e" vm="69">
        <v>#VALUE!</v>
      </c>
      <c r="C3" s="41">
        <v>2</v>
      </c>
      <c r="D3" s="42" t="s">
        <v>922</v>
      </c>
      <c r="E3" s="43" t="s">
        <v>923</v>
      </c>
      <c r="F3" s="44" t="s">
        <v>163</v>
      </c>
      <c r="G3" s="45">
        <f>COUNTIF($A$1:$A$8346,A3)</f>
        <v>1</v>
      </c>
      <c r="H3" s="46"/>
      <c r="I3" s="47" t="s">
        <v>924</v>
      </c>
      <c r="J3" s="48" t="str">
        <f>""</f>
        <v/>
      </c>
      <c r="K3" s="49"/>
      <c r="L3" s="50"/>
      <c r="M3" s="50"/>
      <c r="N3" s="51" t="s">
        <v>180</v>
      </c>
      <c r="O3" s="52" t="s">
        <v>170</v>
      </c>
      <c r="P3" s="53" t="s">
        <v>925</v>
      </c>
      <c r="Q3" s="54">
        <v>2</v>
      </c>
      <c r="R3" s="55" t="s">
        <v>180</v>
      </c>
      <c r="S3" s="56">
        <v>0</v>
      </c>
      <c r="T3" s="57" t="s">
        <v>164</v>
      </c>
      <c r="U3" s="58" t="s">
        <v>164</v>
      </c>
      <c r="V3" s="58" t="s">
        <v>164</v>
      </c>
      <c r="W3" s="58" t="s">
        <v>164</v>
      </c>
      <c r="X3" s="58" t="s">
        <v>164</v>
      </c>
      <c r="Y3" s="58" t="s">
        <v>164</v>
      </c>
      <c r="Z3" s="58" t="s">
        <v>164</v>
      </c>
      <c r="AA3" s="58" t="s">
        <v>164</v>
      </c>
      <c r="AB3" s="58" t="s">
        <v>164</v>
      </c>
      <c r="AC3" s="58" t="s">
        <v>164</v>
      </c>
      <c r="AD3" s="58" t="s">
        <v>164</v>
      </c>
      <c r="AE3" s="58" t="s">
        <v>164</v>
      </c>
      <c r="AF3" s="59" t="s">
        <v>164</v>
      </c>
      <c r="AG3" s="59" t="s">
        <v>164</v>
      </c>
      <c r="AH3" s="59" t="s">
        <v>167</v>
      </c>
      <c r="AI3" s="59" t="s">
        <v>164</v>
      </c>
      <c r="AJ3" s="59" t="s">
        <v>164</v>
      </c>
      <c r="AK3" s="59" t="s">
        <v>164</v>
      </c>
      <c r="AL3" s="59" t="s">
        <v>164</v>
      </c>
      <c r="AM3" s="59" t="s">
        <v>164</v>
      </c>
      <c r="AN3" s="59" t="s">
        <v>164</v>
      </c>
      <c r="AO3" s="59" t="s">
        <v>164</v>
      </c>
      <c r="AP3" s="59" t="s">
        <v>164</v>
      </c>
      <c r="AQ3" s="59" t="s">
        <v>164</v>
      </c>
      <c r="AR3" s="59" t="s">
        <v>164</v>
      </c>
      <c r="AS3" s="59" t="s">
        <v>164</v>
      </c>
      <c r="AT3" s="60">
        <v>0</v>
      </c>
      <c r="AU3" s="59" t="s">
        <v>256</v>
      </c>
      <c r="AV3" s="59" t="str">
        <f>IF(LEFT(A3,1)="[",LEFT(A3,5)&amp;AU3&amp;A3,"")</f>
        <v>[MUS]City[MUS] Port Louis</v>
      </c>
      <c r="AW3" s="59" t="str">
        <f t="shared" ref="AW3" si="1">C3&amp;H3&amp;A3</f>
        <v>2[MUS] Port Louis</v>
      </c>
      <c r="AX3" s="61"/>
      <c r="AY3" s="61"/>
      <c r="AZ3" s="62"/>
      <c r="BA3" s="62"/>
      <c r="BB3" s="62"/>
      <c r="BC3" s="63"/>
      <c r="BD3" s="64" t="s">
        <v>152</v>
      </c>
      <c r="BE3" s="47"/>
      <c r="BF3" s="64"/>
      <c r="BG3" s="64"/>
      <c r="BH3" s="64"/>
      <c r="BI3" s="64"/>
      <c r="BJ3" s="64"/>
      <c r="BK3" s="47"/>
      <c r="BL3" s="64" t="s">
        <v>152</v>
      </c>
      <c r="BM3" s="64" t="s">
        <v>159</v>
      </c>
      <c r="BN3" s="64" t="s">
        <v>155</v>
      </c>
      <c r="BO3" s="64" t="s">
        <v>151</v>
      </c>
      <c r="BP3" s="64"/>
      <c r="BQ3" s="64"/>
      <c r="BR3" s="64"/>
      <c r="BS3" s="64"/>
      <c r="BT3" s="64"/>
      <c r="BU3" s="65"/>
      <c r="BV3" s="66"/>
      <c r="BW3" s="66">
        <v>0</v>
      </c>
      <c r="BX3" s="47"/>
      <c r="CB3" s="6"/>
      <c r="CC3" s="6"/>
      <c r="CD3" s="67">
        <v>0</v>
      </c>
      <c r="CE3" s="67">
        <v>0</v>
      </c>
      <c r="CF3" s="67" t="e">
        <v>#REF!</v>
      </c>
      <c r="CG3" s="68" cm="1">
        <f t="array" ref="CG3">SUMPRODUCT(--(LEN(TRIM(BL3:BT3))&gt;0))</f>
        <v>4</v>
      </c>
      <c r="CH3" s="59" t="str">
        <f>IF(CG3=2,"y","n")</f>
        <v>n</v>
      </c>
      <c r="CI3" s="59" t="str">
        <f>IF(CG3=3,"y","n")</f>
        <v>n</v>
      </c>
      <c r="CJ3" s="59" t="str">
        <f>IF(CG3=4,"y","n")</f>
        <v>y</v>
      </c>
      <c r="CK3" s="59" t="str">
        <f>IF(CG3&gt;4,"y","n")</f>
        <v>n</v>
      </c>
      <c r="CL3" s="59" t="str">
        <f>IF(S3=0,"y","n")</f>
        <v>y</v>
      </c>
      <c r="CM3" s="59" t="str">
        <f>IF(S3=2,"y","n")</f>
        <v>n</v>
      </c>
      <c r="CN3" s="59" t="str">
        <f>IF(S3=3,"y","n")</f>
        <v>n</v>
      </c>
      <c r="CO3" s="59" t="str">
        <f>IF(S3&gt;=4,"y","n")</f>
        <v>n</v>
      </c>
      <c r="CP3" s="59" t="str">
        <f>IF(AT3=0,"y","n")</f>
        <v>y</v>
      </c>
      <c r="CQ3" s="59" t="str">
        <f>IF(AT3=1,"y","n")</f>
        <v>n</v>
      </c>
      <c r="CR3" s="59" t="str">
        <f>IF(AT3=2,"y","n")</f>
        <v>n</v>
      </c>
      <c r="CS3" s="59" t="str">
        <f>IF(AT3&gt;=3,"y","n")</f>
        <v>n</v>
      </c>
      <c r="CT3" s="69" t="str">
        <f>CHAR(34)&amp;A3&amp;CHAR(34)</f>
        <v>"[MUS] Port Louis"</v>
      </c>
      <c r="CU3" s="70" t="str">
        <f>CHAR(34)&amp;"rgn_"&amp;R3&amp;CHAR(34)</f>
        <v>"rgn_Africa"</v>
      </c>
      <c r="CV3" s="48" t="str">
        <f>CHAR(34)&amp;D3&amp;CHAR(34)</f>
        <v>"https://upload.wikimedia.org/wikipedia/commons/thumb/3/31/Flag_of_Port_Louis%2C_Mauritius.svg/640px-Flag_of_Port_Louis%2C_Mauritius.svg.png"</v>
      </c>
      <c r="CW3" s="48" t="str">
        <f>IF(CH3="y",CHAR(34)&amp;CH$1&amp;CHAR(34)&amp;",","")</f>
        <v/>
      </c>
      <c r="CX3" s="48" t="str">
        <f>IF(CI3="y",CHAR(34)&amp;CI$1&amp;CHAR(34)&amp;",","")</f>
        <v/>
      </c>
      <c r="CY3" s="48" t="str">
        <f>IF(CJ3="y",CHAR(34)&amp;CJ$1&amp;CHAR(34)&amp;",","")</f>
        <v>"4Color",</v>
      </c>
      <c r="CZ3" s="48" t="str">
        <f>IF(CK3="y",CHAR(34)&amp;CK$1&amp;CHAR(34)&amp;",","")</f>
        <v/>
      </c>
      <c r="DA3" s="48" t="str">
        <f>IF(Q3&gt;1,CHAR(34)&amp;"words2"&amp;CHAR(34)&amp;",","")</f>
        <v>"words2",</v>
      </c>
      <c r="DB3" s="48" t="str">
        <f>IF(Q3&gt;2,CHAR(34)&amp;"words3"&amp;CHAR(34)&amp;",","")</f>
        <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"lets09",</v>
      </c>
      <c r="DE3" s="48" t="str">
        <f>CHAR(34)&amp;"start"&amp;IFERROR(LEFT(SUBSTITUTE(A3,"["&amp;MID(A3,FIND("[",A3)+1,FIND("]",A3)-FIND("[",A3)-1)&amp;"] ",""),1),LEFT(A3,1))&amp;CHAR(34)&amp;","</f>
        <v>"startP",</v>
      </c>
      <c r="DF3" s="48" t="str">
        <f>IFERROR(IF(SEARCH("tan",A3)&gt;0,CHAR(34)&amp;"withtn"&amp;CHAR(34)&amp;",",""),"")</f>
        <v/>
      </c>
      <c r="DG3" s="48" t="str">
        <f>IFERROR(IF(SEARCH("q",A3)&gt;0,CHAR(34)&amp;"with_q"&amp;CHAR(34)&amp;",",""),"")</f>
        <v/>
      </c>
      <c r="DH3" s="48" t="str">
        <f>IFERROR(IF(SEARCH("v",A3)&gt;0,CHAR(34)&amp;"with_v"&amp;CHAR(34)&amp;",",""),"")</f>
        <v/>
      </c>
      <c r="DI3" s="48" t="str">
        <f>IFERROR(IF(SEARCH("w",A3)&gt;0,CHAR(34)&amp;"with_w"&amp;CHAR(34)&amp;",",""),"")</f>
        <v/>
      </c>
      <c r="DJ3" s="48" t="str">
        <f>IFERROR(IF(SEARCH("y",A3)&gt;0,CHAR(34)&amp;"with_y"&amp;CHAR(34)&amp;",",""),"")</f>
        <v/>
      </c>
      <c r="DK3" s="48" t="str">
        <f>IFERROR(IF(SEARCH("z",A3)&gt;0,CHAR(34)&amp;"with_z"&amp;CHAR(34)&amp;",",""),"")</f>
        <v/>
      </c>
      <c r="DL3" s="48" t="str">
        <f>IF(CG3=2, CHAR(34) &amp; _xlfn.TEXTJOIN("", TRUE, _xlfn._xlws.SORT(HP3:HX3)) &amp; CHAR(34) &amp; ",", "")</f>
        <v/>
      </c>
      <c r="DM3" s="48" t="str" cm="1">
        <f t="array" ref="DM3">IF(CG3=3,CHAR(34) &amp; _xlfn.TEXTJOIN("", TRUE, RIGHT(HP3:HX3, 2)) &amp; CHAR(34) &amp; ",", "")</f>
        <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
      </c>
      <c r="DP3" s="6" t="str">
        <f>IF(AND(ISNUMBER(SEARCH("20", O3)), ISERROR(SEARCH("1920", O3))), CHAR(34)&amp;"year00"&amp;CHAR(34)&amp;",", "")</f>
        <v/>
      </c>
      <c r="DQ3" s="6" t="str">
        <f>IF(CC3="y",CHAR(34)&amp;"soviet"&amp;CHAR(34)&amp;",","")</f>
        <v/>
      </c>
      <c r="DR3" s="6" t="str">
        <f>IF(BY3="y",CHAR(34)&amp;"dgband"&amp;CHAR(34)&amp;",","")</f>
        <v/>
      </c>
      <c r="DS3" s="6" t="str">
        <f>IF(W3="y",IF(AND(V3="n",BY3&lt;&gt;"y"),CHAR(34)&amp;"allver"&amp;CHAR(34)&amp;",",""),"")</f>
        <v/>
      </c>
      <c r="DT3" s="6" t="str">
        <f>IF(V3="y",IF(AND(W3="n",BY3&lt;&gt;"y"),CHAR(34)&amp;"allhor"&amp;CHAR(34)&amp;",",""),"")</f>
        <v/>
      </c>
      <c r="DU3" s="6" t="str">
        <f>IF(BY3="y",IF(AND(W3="n",V3="n"),CHAR(34)&amp;"alldia"&amp;CHAR(34)&amp;",",""),"")</f>
        <v/>
      </c>
      <c r="DW3" s="48" t="str">
        <f>IF(CL3="y",CHAR(34)&amp;CL$1&amp;CHAR(34)&amp;",","")</f>
        <v>"NoBand",</v>
      </c>
      <c r="DX3" s="48" t="str">
        <f>IF(CM3="y",CHAR(34)&amp;CM$1&amp;CHAR(34)&amp;",","")</f>
        <v/>
      </c>
      <c r="DY3" s="48" t="str">
        <f>IF(CN3="y",CHAR(34)&amp;CN$1&amp;CHAR(34)&amp;",","")</f>
        <v/>
      </c>
      <c r="DZ3" s="48" t="str">
        <f>IF(CO3="y",CHAR(34)&amp;CO$1&amp;CHAR(34)&amp;",","")</f>
        <v/>
      </c>
      <c r="EA3" s="48" t="str">
        <f>IF(T3="y",CHAR(34)&amp;T$1&amp;CHAR(34)&amp;",","")</f>
        <v/>
      </c>
      <c r="EB3" s="48" t="str">
        <f>IF(U3="y",CHAR(34)&amp;U$1&amp;CHAR(34)&amp;",","")</f>
        <v/>
      </c>
      <c r="EC3" s="48" t="str">
        <f>IF(V3="y",CHAR(34)&amp;V$1&amp;CHAR(34)&amp;",","")</f>
        <v/>
      </c>
      <c r="ED3" s="48" t="str">
        <f>IF(W3="y",CHAR(34)&amp;W$1&amp;CHAR(34)&amp;",","")</f>
        <v/>
      </c>
      <c r="EE3" s="48" t="str">
        <f>IF(X3="y",CHAR(34)&amp;X$1&amp;CHAR(34)&amp;",","")</f>
        <v/>
      </c>
      <c r="EF3" s="48" t="str">
        <f>IF(AND(Y3&lt;&gt;"n",Y3&lt;&gt;""),CHAR(34)&amp;Y$1&amp;CHAR(34)&amp;",","")</f>
        <v/>
      </c>
      <c r="EG3" s="48" t="str">
        <f>IF(Z3="y",CHAR(34)&amp;Z$1&amp;CHAR(34)&amp;",","")</f>
        <v/>
      </c>
      <c r="EH3" s="48" t="str">
        <f>IF(AA3="y",CHAR(34)&amp;AA$1&amp;CHAR(34)&amp;",","")</f>
        <v/>
      </c>
      <c r="EI3" s="48" t="str">
        <f>IF(AB3="y",CHAR(34)&amp;AB$1&amp;CHAR(34)&amp;",","")</f>
        <v/>
      </c>
      <c r="EJ3" s="48" t="str">
        <f>IF(AC3="y",CHAR(34)&amp;AC$1&amp;CHAR(34)&amp;",","")</f>
        <v/>
      </c>
      <c r="EK3" s="48" t="str">
        <f>IF(AD3="y",CHAR(34)&amp;AD$1&amp;CHAR(34)&amp;",","")</f>
        <v/>
      </c>
      <c r="EL3" s="48" t="str">
        <f>IF(AE3="y",CHAR(34)&amp;AE$1&amp;CHAR(34)&amp;",","")</f>
        <v/>
      </c>
      <c r="EM3" s="48" t="str">
        <f>IF(AF3="y",CHAR(34)&amp;AF$1&amp;CHAR(34)&amp;",","")</f>
        <v/>
      </c>
      <c r="EN3" s="48" t="str">
        <f>IF(AG3="y",CHAR(34)&amp;AG$1&amp;CHAR(34)&amp;",","")</f>
        <v/>
      </c>
      <c r="EO3" s="48" t="str">
        <f>IF(AH3="y",CHAR(34)&amp;AH$1&amp;CHAR(34)&amp;",","")</f>
        <v>"Center",</v>
      </c>
      <c r="EP3" s="48" t="str">
        <f>IF(AI3="y",CHAR(34)&amp;AI$1&amp;CHAR(34)&amp;",","")</f>
        <v/>
      </c>
      <c r="EQ3" s="48" t="str">
        <f>IF(AJ3="y",CHAR(34)&amp;AJ$1&amp;CHAR(34)&amp;",","")</f>
        <v/>
      </c>
      <c r="ER3" s="48" t="str">
        <f>IF(AK3="y",CHAR(34)&amp;AK$1&amp;CHAR(34)&amp;",","")</f>
        <v/>
      </c>
      <c r="ES3" s="48" t="str">
        <f>IF(AL3="y",CHAR(34)&amp;AL$1&amp;CHAR(34)&amp;",","")</f>
        <v/>
      </c>
      <c r="ET3" s="48" t="str">
        <f>IF(AM3="y",CHAR(34)&amp;AM$1&amp;CHAR(34)&amp;",","")</f>
        <v/>
      </c>
      <c r="EU3" s="48" t="str">
        <f>IF(AN3="y",CHAR(34)&amp;AN$1&amp;CHAR(34)&amp;",","")</f>
        <v/>
      </c>
      <c r="EV3" s="48" t="str">
        <f>IF(AO3="y",CHAR(34)&amp;AO$1&amp;CHAR(34)&amp;",","")</f>
        <v/>
      </c>
      <c r="EW3" s="48" t="str">
        <f>IF(AP3="y",CHAR(34)&amp;AP$1&amp;CHAR(34)&amp;",","")</f>
        <v/>
      </c>
      <c r="EX3" s="48" t="str">
        <f>IF(AQ3="y",CHAR(34)&amp;AQ$1&amp;CHAR(34)&amp;",","")</f>
        <v/>
      </c>
      <c r="EY3" s="48" t="str">
        <f>IF(AR3="y",CHAR(34)&amp;AR$1&amp;CHAR(34)&amp;",","")</f>
        <v/>
      </c>
      <c r="EZ3" s="48" t="str">
        <f>IF(AS3="y",CHAR(34)&amp;AS$1&amp;CHAR(34)&amp;",","")</f>
        <v/>
      </c>
      <c r="FA3" s="48" t="str">
        <f>IF(AT3&gt;0,CHAR(34)&amp;"sta"&amp;AZ3&amp;CHAR(34)&amp;",","")</f>
        <v/>
      </c>
      <c r="FB3" s="48" t="str">
        <f>IF(AND(AT3&gt;0,BA3&lt;&gt;""),CHAR(34)&amp;"sta"&amp;BA3&amp;CHAR(34)&amp;",","")</f>
        <v/>
      </c>
      <c r="FD3" s="48" t="str">
        <f>IF(BV3="n",CHAR(34)&amp;"tcWHYE"&amp;CHAR(34)&amp;",",IF(BV3="y",CHAR(34)&amp;FD$1&amp;CHAR(34)&amp;",",""))</f>
        <v/>
      </c>
      <c r="FE3" s="48" t="str">
        <f>IF(COUNTIF(BL3:BT3,"BLU")=0,CHAR(34)&amp;"NO_BLU"&amp;CHAR(34)&amp;",", "")</f>
        <v/>
      </c>
      <c r="FF3" s="48" t="str">
        <f>IF(COUNTIF(BL3:BT3,"WHI")=0,CHAR(34)&amp;"NO_WHI"&amp;CHAR(34)&amp;",", "")</f>
        <v/>
      </c>
      <c r="FG3" s="48" t="str">
        <f>IF(COUNTIF(BL3:BT3,"RED")=0,CHAR(34)&amp;"NO_RED"&amp;CHAR(34)&amp;",", "")</f>
        <v>"NO_RED",</v>
      </c>
      <c r="FH3" s="48" t="str">
        <f>IF(COUNTIF(BL3:BS3,"GRE")=0,CHAR(34)&amp;"NO_GRE"&amp;CHAR(34)&amp;",", "")</f>
        <v>"NO_GRE",</v>
      </c>
      <c r="FI3" s="48" t="str">
        <f>IF(COUNTIF(BL3:BT3,"YEL")=0,CHAR(34)&amp;"NO_YEL"&amp;CHAR(34)&amp;",", "")</f>
        <v/>
      </c>
      <c r="FJ3" s="48" t="str">
        <f>IF(COUNTIF(BL3:BT3,"BLA")=0,CHAR(34)&amp;"NO_BLA"&amp;CHAR(34)&amp;",", "")</f>
        <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
      </c>
      <c r="FQ3" s="48" t="str">
        <f>IF(LEN(BF3)=3,CHAR(34)&amp;"001"&amp;BF3&amp;CHAR(34)&amp;",","")</f>
        <v/>
      </c>
      <c r="FR3" s="48" t="str">
        <f>IF(LEN(BG3)=3,CHAR(34)&amp;"002"&amp;BG3&amp;CHAR(34)&amp;",","")</f>
        <v/>
      </c>
      <c r="FS3" s="48" t="str">
        <f>IF(LEN(BH3)=3,CHAR(34)&amp;"003"&amp;BH3&amp;CHAR(34)&amp;",","")</f>
        <v/>
      </c>
      <c r="FT3" s="48" t="str">
        <f>CHAR(34)&amp;"myr"&amp;BD3&amp;CHAR(34)&amp;","</f>
        <v>"myrBLU",</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
      </c>
      <c r="GG3" s="48" t="str">
        <f>IF(BU3="y",CHAR(34)&amp;"unjack"&amp;CHAR(34)&amp;",","")</f>
        <v/>
      </c>
      <c r="GH3" s="48" t="str">
        <f>IF(CD3=1,CHAR(34)&amp;"southc"&amp;CHAR(34)&amp;",","")</f>
        <v/>
      </c>
      <c r="GI3" s="48" t="str">
        <f>IF(CE3=1,CHAR(34)&amp;"hasmap"&amp;CHAR(34)&amp;",","")</f>
        <v/>
      </c>
      <c r="GJ3" s="48" t="str">
        <f>IF(CP3="y",CHAR(34)&amp;CP$1&amp;CHAR(34)&amp;",","")</f>
        <v>"NoStar",</v>
      </c>
      <c r="GK3" s="48" t="str">
        <f>IF(GJ3="",CHAR(34)&amp;"HasSta"&amp;CHAR(34)&amp;",","")</f>
        <v/>
      </c>
      <c r="GL3" s="48" t="str">
        <f>IF(CQ3="y",CHAR(34)&amp;CQ$1&amp;CHAR(34)&amp;",","")</f>
        <v/>
      </c>
      <c r="GM3" s="48" t="str">
        <f>IF(CR3="y",CHAR(34)&amp;CR$1&amp;CHAR(34)&amp;",","")</f>
        <v/>
      </c>
      <c r="GN3" s="48" t="str">
        <f>IF(CS3="y",CHAR(34)&amp;CS$1&amp;CHAR(34)&amp;",","")</f>
        <v/>
      </c>
      <c r="GP3" s="48" t="str">
        <f>CHAR(34)&amp;AU3&amp;CHAR(34)</f>
        <v>"City"</v>
      </c>
      <c r="GS3" s="48" t="str">
        <f>SUBSTITUTE("["&amp;_xlfn.CONCAT(CW3:GN3)&amp;"]",",]","]")</f>
        <v>["4Color","words2","lets09","startP","NoBand","Center","NO_RED","NO_GRE","myrBLU","NoStar"]</v>
      </c>
      <c r="GT3" s="48" t="str">
        <f>IF(BL3&lt;&gt;"",CHAR(34)&amp;"cl_"&amp;BL3&amp;CHAR(34)&amp;",","")</f>
        <v>"cl_BLU",</v>
      </c>
      <c r="GU3" s="48" t="str">
        <f>IF(BM3&lt;&gt;"",CHAR(34)&amp;"cl_"&amp;BM3&amp;CHAR(34)&amp;",","")</f>
        <v>"cl_WHI",</v>
      </c>
      <c r="GV3" s="48" t="str">
        <f>IF(BN3&lt;&gt;"",CHAR(34)&amp;"cl_"&amp;BN3&amp;CHAR(34)&amp;",","")</f>
        <v>"cl_YEL",</v>
      </c>
      <c r="GW3" s="48" t="str">
        <f>IF(BO3&lt;&gt;"",CHAR(34)&amp;"cl_"&amp;BO3&amp;CHAR(34)&amp;",","")</f>
        <v>"cl_BLA",</v>
      </c>
      <c r="GX3" s="48" t="str">
        <f>IF(BP3&lt;&gt;"",CHAR(34)&amp;"cl_"&amp;BP3&amp;CHAR(34)&amp;",","")</f>
        <v/>
      </c>
      <c r="GY3" s="48" t="str">
        <f>IF(BQ3&lt;&gt;"",CHAR(34)&amp;"cl_"&amp;BQ3&amp;CHAR(34)&amp;",","")</f>
        <v/>
      </c>
      <c r="GZ3" s="48" t="str">
        <f>IF(BR3&lt;&gt;"",CHAR(34)&amp;"cl_"&amp;BR3&amp;CHAR(34)&amp;",","")</f>
        <v/>
      </c>
      <c r="HA3" s="48" t="str">
        <f>IF(BS3&lt;&gt;"",CHAR(34)&amp;"cl_"&amp;BS3&amp;CHAR(34)&amp;",","")</f>
        <v/>
      </c>
      <c r="HB3" s="48" t="str">
        <f>IF(BT3&lt;&gt;"",CHAR(34)&amp;"cl_"&amp;BT3&amp;CHAR(34)&amp;",","")</f>
        <v/>
      </c>
      <c r="HC3" s="48" t="str">
        <f>SUBSTITUTE("["&amp;_xlfn.CONCAT(GT3:HB3)&amp;"]",",]","]")</f>
        <v>["cl_BLU","cl_WHI","cl_YEL","cl_BLA"]</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{couname:"[MUS] Port Louis",year:"???",region:"rgn_Africa",Colors:["cl_BLU","cl_WHI","cl_YEL","cl_BLA"],Items:["4Color","words2","lets09","startP","NoBand","Center","NO_RED","NO_GRE","myrBLU","NoStar"],Flag:"https://upload.wikimedia.org/wikipedia/commons/thumb/3/31/Flag_of_Port_Louis%2C_Mauritius.svg/640px-Flag_of_Port_Louis%2C_Mauritius.svg.png",HDFlag:"https://upload.wikimedia.org/wikipedia/commons/thumb/3/31/Flag_of_Port_Louis%2C_Mauritius.svg/2560px-Flag_of_Port_Louis%2C_Mauritius.svg.png",type:"City", describe: "\nA banner of the coat of arms of Port Louis. Four white anchors and five gold fleur-de-lis arranged on a field of dark blue.", isnew:".", links: "https://en.wikipedia.org/wiki/List_of_Mauritian_flags"},</v>
      </c>
      <c r="HG3" s="73" t="str">
        <f>"{couname:"&amp;CT3&amp;(IF(HK3&lt;&gt;"",",subtype:"&amp;CHAR(34)&amp;HK3&amp;CHAR(34),""))&amp;",year:"&amp;HJ3&amp;",region:"&amp;CU3&amp;",Colors:"&amp;HC3&amp;",Items:"&amp;GS3&amp;",Flag:"&amp;CV3&amp;",HDFlag:"&amp;CHAR(34)&amp;E3&amp;CHAR(34)&amp;",type:"&amp;GP3&amp;", describe: "&amp;HI3&amp;", links: "&amp;HL3&amp;"},"</f>
        <v>{couname:"[MUS] Port Louis",year:"???",region:"rgn_Africa",Colors:["cl_BLU","cl_WHI","cl_YEL","cl_BLA"],Items:["4Color","words2","lets09","startP","NoBand","Center","NO_RED","NO_GRE","myrBLU","NoStar"],Flag:"https://upload.wikimedia.org/wikipedia/commons/thumb/3/31/Flag_of_Port_Louis%2C_Mauritius.svg/640px-Flag_of_Port_Louis%2C_Mauritius.svg.png",HDFlag:"https://upload.wikimedia.org/wikipedia/commons/thumb/3/31/Flag_of_Port_Louis%2C_Mauritius.svg/2560px-Flag_of_Port_Louis%2C_Mauritius.svg.png",type:"City", describe: "\nA banner of the coat of arms of Port Louis. Four white anchors and five gold fleur-de-lis arranged on a field of dark blue.", links: "https://en.wikipedia.org/wiki/List_of_Mauritian_flags"},</v>
      </c>
      <c r="HH3" s="48" t="str">
        <f>IF(P3&lt;&gt;"",CHAR(34)&amp;"\n"&amp;P3&amp;CHAR(34),CHAR(34)&amp;CHAR(34))</f>
        <v>"\nA banner of the coat of arms of Port Louis. Four white anchors and five gold fleur-de-lis arranged on a field of dark blue."</v>
      </c>
      <c r="HI3" s="48" t="str">
        <f>IF(J3=0,CHAR(34)&amp;CHAR(34),HH3)</f>
        <v>"\nA banner of the coat of arms of Port Louis. Four white anchors and five gold fleur-de-lis arranged on a field of dark blue."</v>
      </c>
      <c r="HJ3" s="48" t="str">
        <f>CHAR(34)&amp;O3&amp;CHAR(34)</f>
        <v>"???"</v>
      </c>
      <c r="HL3" s="48" t="str">
        <f>CHAR(34)&amp;I3&amp;CHAR(34)</f>
        <v>"https://en.wikipedia.org/wiki/List_of_Mauritian_flags"</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{"couname":"[MUS] Port Louis","year":"???","region":"rgn_Africa","Colors":["cl_BLU","cl_WHI","cl_YEL","cl_BLA"],"Items":["4Color","words2","lets09","startP","NoBand","Center","NO_RED","NO_GRE","myrBLU","NoStar"],"Flag":"https://upload.wikimedia.org/wikipedia/commons/thumb/3/31/Flag_of_Port_Louis%2C_Mauritius.svg/640px-Flag_of_Port_Louis%2C_Mauritius.svg.png","HDFlag":"https://upload.wikimedia.org/wikipedia/commons/thumb/3/31/Flag_of_Port_Louis%2C_Mauritius.svg/2560px-Flag_of_Port_Louis%2C_Mauritius.svg.png","type":"City", "describe": "\nA banner of the coat of arms of Port Louis. Four white anchors and five gold fleur-de-lis arranged on a field of dark blue.", "isnew": ".", "links": "https://en.wikipedia.org/wiki/List_of_Mauritian_flags"},</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{"couname":"[MUS] Port Louis","year":"???","region":"rgn_Africa","Colors":["cl_BLU","cl_WHI","cl_YEL","cl_BLA"],"Items":["4Color","words2","lets09","startP","NoBand","Center","NO_RED","NO_GRE","myrBLU","NoStar"],"Flag":"https://upload.wikimedia.org/wikipedia/commons/thumb/3/31/Flag_of_Port_Louis%2C_Mauritius.svg/640px-Flag_of_Port_Louis%2C_Mauritius.svg.png","HDFlag":"https://upload.wikimedia.org/wikipedia/commons/thumb/3/31/Flag_of_Port_Louis%2C_Mauritius.svg/2560px-Flag_of_Port_Louis%2C_Mauritius.svg.png","type":"City", "describe": "\nA banner of the coat of arms of Port Louis. Four white anchors and five gold fleur-de-lis arranged on a field of dark blue.", "isnew": ".", "links": "https://en.wikipedia.org/wiki/List_of_Mauritian_flags"},</v>
      </c>
      <c r="HO3" s="75">
        <v>45610</v>
      </c>
      <c r="HP3" s="48" t="str" cm="1">
        <f t="array" ref="HP3">IF(_xlfn.TEXTJOIN(", ", TRUE, IF(ISNUMBER(SEARCH("BLA", BL3:BT3)), COLUMN(BL3:BT3) - COLUMN(BL3) + 1, ""))&lt;&gt;"","BLA","")</f>
        <v>BLA</v>
      </c>
      <c r="HQ3" s="48" t="str" cm="1">
        <f t="array" ref="HQ3">IF(_xlfn.TEXTJOIN(", ", TRUE, IF(ISNUMBER(SEARCH("BLU", BL3:BT3)), COLUMN(BL3:BT3) - COLUMN(BL3) + 1, ""))&lt;&gt;"","BLU","")</f>
        <v>BLU</v>
      </c>
      <c r="HR3" s="48" t="str" cm="1">
        <f t="array" ref="HR3">IF(_xlfn.TEXTJOIN(", ", TRUE, IF(ISNUMBER(SEARCH("GRE", BL3:BT3)), COLUMN(BL3:BT3) - COLUMN(BL3) + 1, ""))&lt;&gt;"","GRE","")</f>
        <v/>
      </c>
      <c r="HS3" s="48" t="str" cm="1">
        <f t="array" ref="HS3">IF(_xlfn.TEXTJOIN(", ", TRUE, IF(ISNUMBER(SEARCH("RED", BL3:BT3)), COLUMN(BL3:BT3) - COLUMN(BL3) + 1, ""))&lt;&gt;"","RED","")</f>
        <v/>
      </c>
      <c r="HT3" s="48" t="str" cm="1">
        <f t="array" ref="HT3">IF(_xlfn.TEXTJOIN(", ", TRUE, IF(ISNUMBER(SEARCH("YEL", BL3:BT3)), COLUMN(BL3:BT3) - COLUMN(BL3) + 1, ""))&lt;&gt;"","YEL","")</f>
        <v>YEL</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M3" s="45">
        <f>COUNTIF(IC3:IK3,"&gt;0")-CG3</f>
        <v>-4</v>
      </c>
      <c r="IN3" s="78" t="str">
        <f>"http://mkweb.bcgsc.ca/color-summarizer/?url="&amp;D3&amp;"&amp;precision=low&amp;num_clusters="&amp;CG3&amp;"&amp;text=1"</f>
        <v>http://mkweb.bcgsc.ca/color-summarizer/?url=https://upload.wikimedia.org/wikipedia/commons/thumb/3/31/Flag_of_Port_Louis%2C_Mauritius.svg/640px-Flag_of_Port_Louis%2C_Mauritius.svg.png&amp;precision=low&amp;num_clusters=4&amp;text=1</v>
      </c>
      <c r="IO3" s="48" t="str">
        <f>IF(HP3&lt;&gt;"",CHAR(34)&amp;"black"&amp;CHAR(34),"")</f>
        <v>"black"</v>
      </c>
      <c r="IP3" s="48" t="str">
        <f>IF(HQ3&lt;&gt;"",CHAR(34)&amp;"blue"&amp;CHAR(34),"")</f>
        <v>"blue"</v>
      </c>
      <c r="IQ3" s="48" t="str">
        <f>IF(HR3&lt;&gt;"",CHAR(34)&amp;"green"&amp;CHAR(34),"")</f>
        <v/>
      </c>
      <c r="IR3" s="48" t="str">
        <f>IF(HS3&lt;&gt;"",CHAR(34)&amp;"red"&amp;CHAR(34),"")</f>
        <v/>
      </c>
      <c r="IS3" s="48" t="str">
        <f>IF(HT3&lt;&gt;"",CHAR(34)&amp;"yellow"&amp;CHAR(34),"")</f>
        <v>"yellow"</v>
      </c>
      <c r="IT3" s="48" t="str">
        <f>IF(HU3&lt;&gt;"",CHAR(34)&amp;"orange"&amp;CHAR(34),"")</f>
        <v/>
      </c>
      <c r="IU3" s="48" t="str">
        <f>IF(HV3&lt;&gt;"",CHAR(34)&amp;"brown"&amp;CHAR(34),"")</f>
        <v/>
      </c>
      <c r="IV3" s="48" t="str">
        <f>IF(HW3&lt;&gt;"",CHAR(34)&amp;"purple"&amp;CHAR(34),"")</f>
        <v/>
      </c>
      <c r="IW3" s="48" t="str">
        <f>IF(HX3&lt;&gt;"",CHAR(34)&amp;"white"&amp;CHAR(34),"")</f>
        <v>"white"</v>
      </c>
      <c r="IX3" s="48" t="str">
        <f>"{"&amp;CHAR(34)&amp;"url"&amp;CHAR(34)&amp;":"&amp;CHAR(34)&amp;IN3&amp;CHAR(34)&amp;","&amp;CHAR(34)&amp;"name"&amp;CHAR(34)&amp;":"&amp;CHAR(34)&amp;A3&amp;CHAR(34)&amp;"},"</f>
        <v>{"url":"http://mkweb.bcgsc.ca/color-summarizer/?url=https://upload.wikimedia.org/wikipedia/commons/thumb/3/31/Flag_of_Port_Louis%2C_Mauritius.svg/640px-Flag_of_Port_Louis%2C_Mauritius.svg.png&amp;precision=low&amp;num_clusters=4&amp;text=1","name":"[MUS] Port Louis"},</v>
      </c>
      <c r="IY3" s="48">
        <v>1353</v>
      </c>
    </row>
    <row r="4" spans="1:259" ht="38.4" customHeight="1" x14ac:dyDescent="0.3">
      <c r="F4" s="82"/>
      <c r="G4" s="82"/>
      <c r="H4" s="82"/>
      <c r="I4" s="82"/>
      <c r="J4" s="82"/>
      <c r="K4" s="82"/>
    </row>
    <row r="5" spans="1:259" ht="38.4" customHeight="1" x14ac:dyDescent="0.3">
      <c r="F5" s="82"/>
      <c r="G5" s="82"/>
      <c r="H5" s="82"/>
      <c r="I5" s="82"/>
      <c r="J5" s="82"/>
      <c r="K5" s="82"/>
    </row>
    <row r="6" spans="1:259" ht="38.4" customHeight="1" x14ac:dyDescent="0.3">
      <c r="F6" s="82"/>
      <c r="G6" s="82"/>
      <c r="H6" s="82"/>
      <c r="I6" s="82"/>
      <c r="J6" s="82"/>
      <c r="K6" s="82"/>
    </row>
  </sheetData>
  <autoFilter ref="A1:IY1" xr:uid="{A1051193-A95B-4CFB-A73C-F0184620C81F}">
    <sortState xmlns:xlrd2="http://schemas.microsoft.com/office/spreadsheetml/2017/richdata2" ref="A2:IY5">
      <sortCondition ref="AW1"/>
    </sortState>
  </autoFilter>
  <conditionalFormatting sqref="H1 CW1:GS1 IA1:IB1">
    <cfRule type="cellIs" dxfId="3338" priority="118" operator="greaterThan">
      <formula>0</formula>
    </cfRule>
  </conditionalFormatting>
  <conditionalFormatting sqref="H1 H7:H1048576">
    <cfRule type="cellIs" dxfId="3337" priority="84" stopIfTrue="1" operator="notEqual">
      <formula>""</formula>
    </cfRule>
  </conditionalFormatting>
  <conditionalFormatting sqref="T1:BK1">
    <cfRule type="cellIs" dxfId="3336" priority="121" operator="greaterThan">
      <formula>0</formula>
    </cfRule>
  </conditionalFormatting>
  <conditionalFormatting sqref="BV1:BW1 BV4:BW1048576">
    <cfRule type="cellIs" dxfId="3335" priority="120" operator="equal">
      <formula>"nc"</formula>
    </cfRule>
  </conditionalFormatting>
  <conditionalFormatting sqref="HF1:HG1">
    <cfRule type="cellIs" dxfId="3334" priority="122" operator="greaterThan">
      <formula>0</formula>
    </cfRule>
  </conditionalFormatting>
  <conditionalFormatting sqref="HK1">
    <cfRule type="cellIs" dxfId="3333" priority="119" operator="greaterThan">
      <formula>0</formula>
    </cfRule>
  </conditionalFormatting>
  <conditionalFormatting sqref="HP1:HX1">
    <cfRule type="cellIs" dxfId="3332" priority="96" operator="equal">
      <formula>"PIN"</formula>
    </cfRule>
    <cfRule type="cellIs" dxfId="3331" priority="97" operator="equal">
      <formula>"ORA"</formula>
    </cfRule>
    <cfRule type="cellIs" dxfId="3330" priority="98" operator="equal">
      <formula>"GRA"</formula>
    </cfRule>
    <cfRule type="cellIs" dxfId="3329" priority="99" operator="equal">
      <formula>"PUR"</formula>
    </cfRule>
    <cfRule type="cellIs" dxfId="3328" priority="100" operator="equal">
      <formula>"BRO"</formula>
    </cfRule>
    <cfRule type="cellIs" dxfId="3327" priority="101" operator="equal">
      <formula>"YEL"</formula>
    </cfRule>
    <cfRule type="cellIs" dxfId="3326" priority="102" operator="equal">
      <formula>"BLU"</formula>
    </cfRule>
    <cfRule type="cellIs" dxfId="3325" priority="103" operator="equal">
      <formula>"WHI"</formula>
    </cfRule>
    <cfRule type="cellIs" dxfId="3324" priority="104" operator="equal">
      <formula>"GRE"</formula>
    </cfRule>
    <cfRule type="cellIs" dxfId="3323" priority="105" operator="equal">
      <formula>"RED"</formula>
    </cfRule>
    <cfRule type="cellIs" dxfId="3322" priority="106" operator="equal">
      <formula>"BLA"</formula>
    </cfRule>
  </conditionalFormatting>
  <conditionalFormatting sqref="IC1:IK1">
    <cfRule type="cellIs" dxfId="3321" priority="107" operator="equal">
      <formula>"PIN"</formula>
    </cfRule>
    <cfRule type="cellIs" dxfId="3320" priority="108" operator="equal">
      <formula>"ORA"</formula>
    </cfRule>
    <cfRule type="cellIs" dxfId="3319" priority="109" operator="equal">
      <formula>"GRA"</formula>
    </cfRule>
    <cfRule type="cellIs" dxfId="3318" priority="110" operator="equal">
      <formula>"PUR"</formula>
    </cfRule>
    <cfRule type="cellIs" dxfId="3317" priority="111" operator="equal">
      <formula>"BRO"</formula>
    </cfRule>
    <cfRule type="cellIs" dxfId="3316" priority="112" operator="equal">
      <formula>"YEL"</formula>
    </cfRule>
    <cfRule type="cellIs" dxfId="3315" priority="113" operator="equal">
      <formula>"BLU"</formula>
    </cfRule>
    <cfRule type="cellIs" dxfId="3314" priority="114" operator="equal">
      <formula>"WHI"</formula>
    </cfRule>
    <cfRule type="cellIs" dxfId="3313" priority="115" operator="equal">
      <formula>"GRE"</formula>
    </cfRule>
    <cfRule type="cellIs" dxfId="3312" priority="116" operator="equal">
      <formula>"RED"</formula>
    </cfRule>
    <cfRule type="cellIs" dxfId="3311" priority="117" operator="equal">
      <formula>"BLA"</formula>
    </cfRule>
  </conditionalFormatting>
  <conditionalFormatting sqref="IO1:IW1">
    <cfRule type="cellIs" dxfId="3310" priority="85" operator="equal">
      <formula>"PIN"</formula>
    </cfRule>
    <cfRule type="cellIs" dxfId="3309" priority="86" operator="equal">
      <formula>"ORA"</formula>
    </cfRule>
    <cfRule type="cellIs" dxfId="3308" priority="87" operator="equal">
      <formula>"GRA"</formula>
    </cfRule>
    <cfRule type="cellIs" dxfId="3307" priority="88" operator="equal">
      <formula>"PUR"</formula>
    </cfRule>
    <cfRule type="cellIs" dxfId="3306" priority="89" operator="equal">
      <formula>"BRO"</formula>
    </cfRule>
    <cfRule type="cellIs" dxfId="3305" priority="90" operator="equal">
      <formula>"YEL"</formula>
    </cfRule>
    <cfRule type="cellIs" dxfId="3304" priority="91" operator="equal">
      <formula>"BLU"</formula>
    </cfRule>
    <cfRule type="cellIs" dxfId="3303" priority="92" operator="equal">
      <formula>"WHI"</formula>
    </cfRule>
    <cfRule type="cellIs" dxfId="3302" priority="93" operator="equal">
      <formula>"GRE"</formula>
    </cfRule>
    <cfRule type="cellIs" dxfId="3301" priority="94" operator="equal">
      <formula>"RED"</formula>
    </cfRule>
    <cfRule type="cellIs" dxfId="3300" priority="95" operator="equal">
      <formula>"BLA"</formula>
    </cfRule>
  </conditionalFormatting>
  <conditionalFormatting sqref="H3">
    <cfRule type="cellIs" dxfId="3299" priority="76" stopIfTrue="1" operator="notEqual">
      <formula>""</formula>
    </cfRule>
  </conditionalFormatting>
  <conditionalFormatting sqref="R3 CU3">
    <cfRule type="cellIs" dxfId="3298" priority="79" operator="greaterThan">
      <formula>0</formula>
    </cfRule>
  </conditionalFormatting>
  <conditionalFormatting sqref="T3:AS3 CH3:CS3">
    <cfRule type="cellIs" dxfId="3297" priority="73" stopIfTrue="1" operator="equal">
      <formula>"n"</formula>
    </cfRule>
    <cfRule type="cellIs" dxfId="3296" priority="74" stopIfTrue="1" operator="equal">
      <formula>"y"</formula>
    </cfRule>
    <cfRule type="cellIs" dxfId="3295" priority="75" operator="greaterThan">
      <formula>0</formula>
    </cfRule>
  </conditionalFormatting>
  <conditionalFormatting sqref="AZ3:BB3">
    <cfRule type="expression" dxfId="3294" priority="60">
      <formula>$AT3=0</formula>
    </cfRule>
  </conditionalFormatting>
  <conditionalFormatting sqref="CD3:CF3 BX3:CA3 AZ3:BU3">
    <cfRule type="cellIs" dxfId="3293" priority="61" operator="equal">
      <formula>"PIN"</formula>
    </cfRule>
    <cfRule type="cellIs" dxfId="3292" priority="62" operator="equal">
      <formula>"ORA"</formula>
    </cfRule>
    <cfRule type="cellIs" dxfId="3291" priority="63" operator="equal">
      <formula>"GRA"</formula>
    </cfRule>
    <cfRule type="cellIs" dxfId="3290" priority="64" operator="equal">
      <formula>"PUR"</formula>
    </cfRule>
    <cfRule type="cellIs" dxfId="3289" priority="65" operator="equal">
      <formula>"BRO"</formula>
    </cfRule>
    <cfRule type="cellIs" dxfId="3288" priority="66" operator="equal">
      <formula>"YEL"</formula>
    </cfRule>
    <cfRule type="cellIs" dxfId="3287" priority="67" operator="equal">
      <formula>"BLU"</formula>
    </cfRule>
    <cfRule type="cellIs" dxfId="3286" priority="68" operator="equal">
      <formula>"WHI"</formula>
    </cfRule>
    <cfRule type="cellIs" dxfId="3285" priority="69" operator="equal">
      <formula>"GRE"</formula>
    </cfRule>
    <cfRule type="cellIs" dxfId="3284" priority="70" operator="equal">
      <formula>"RED"</formula>
    </cfRule>
    <cfRule type="cellIs" dxfId="3283" priority="71" operator="equal">
      <formula>"BLA"</formula>
    </cfRule>
  </conditionalFormatting>
  <conditionalFormatting sqref="BV3">
    <cfRule type="cellIs" dxfId="3282" priority="78" operator="equal">
      <formula>"nc"</formula>
    </cfRule>
  </conditionalFormatting>
  <conditionalFormatting sqref="CD3:CF3 BX3:CA3">
    <cfRule type="cellIs" dxfId="3281" priority="77" operator="equal">
      <formula>"y"</formula>
    </cfRule>
  </conditionalFormatting>
  <conditionalFormatting sqref="CD3:CF3 BZ3:CA3">
    <cfRule type="cellIs" dxfId="3280" priority="72" operator="greaterThan">
      <formula>0</formula>
    </cfRule>
  </conditionalFormatting>
  <conditionalFormatting sqref="IC3:IK3">
    <cfRule type="expression" dxfId="3279" priority="59">
      <formula>$IL3&gt;0</formula>
    </cfRule>
  </conditionalFormatting>
  <conditionalFormatting sqref="IC3">
    <cfRule type="cellIs" dxfId="3278" priority="53" stopIfTrue="1" operator="greaterThan">
      <formula>0</formula>
    </cfRule>
  </conditionalFormatting>
  <conditionalFormatting sqref="ID3">
    <cfRule type="cellIs" dxfId="3277" priority="51" stopIfTrue="1" operator="greaterThan">
      <formula>0</formula>
    </cfRule>
  </conditionalFormatting>
  <conditionalFormatting sqref="II3 IE3:IF3">
    <cfRule type="cellIs" dxfId="3276" priority="58" operator="greaterThan">
      <formula>0</formula>
    </cfRule>
  </conditionalFormatting>
  <conditionalFormatting sqref="II3 IF3">
    <cfRule type="cellIs" dxfId="3275" priority="52" stopIfTrue="1" operator="greaterThan">
      <formula>0</formula>
    </cfRule>
  </conditionalFormatting>
  <conditionalFormatting sqref="IG3">
    <cfRule type="cellIs" dxfId="3274" priority="57" operator="greaterThan">
      <formula>0</formula>
    </cfRule>
  </conditionalFormatting>
  <conditionalFormatting sqref="IH3:II3">
    <cfRule type="cellIs" dxfId="3273" priority="56" operator="greaterThan">
      <formula>0</formula>
    </cfRule>
  </conditionalFormatting>
  <conditionalFormatting sqref="IJ3">
    <cfRule type="cellIs" dxfId="3272" priority="55" operator="greaterThan">
      <formula>0</formula>
    </cfRule>
  </conditionalFormatting>
  <conditionalFormatting sqref="IK3">
    <cfRule type="cellIs" dxfId="3271" priority="54" operator="greaterThan">
      <formula>0</formula>
    </cfRule>
  </conditionalFormatting>
  <conditionalFormatting sqref="IF3">
    <cfRule type="cellIs" dxfId="3270" priority="50" stopIfTrue="1" operator="greaterThan">
      <formula>0</formula>
    </cfRule>
  </conditionalFormatting>
  <conditionalFormatting sqref="IM3">
    <cfRule type="cellIs" dxfId="3269" priority="49" operator="equal">
      <formula>0</formula>
    </cfRule>
  </conditionalFormatting>
  <conditionalFormatting sqref="BX3:CA3 CD3:CF3">
    <cfRule type="cellIs" dxfId="3268" priority="37" operator="equal">
      <formula>"y"</formula>
    </cfRule>
    <cfRule type="cellIs" dxfId="3267" priority="38" operator="equal">
      <formula>"PIN"</formula>
    </cfRule>
    <cfRule type="cellIs" dxfId="3266" priority="39" operator="equal">
      <formula>"ORA"</formula>
    </cfRule>
    <cfRule type="cellIs" dxfId="3265" priority="40" operator="equal">
      <formula>"GRA"</formula>
    </cfRule>
    <cfRule type="cellIs" dxfId="3264" priority="41" operator="equal">
      <formula>"PUR"</formula>
    </cfRule>
    <cfRule type="cellIs" dxfId="3263" priority="42" operator="equal">
      <formula>"BRO"</formula>
    </cfRule>
    <cfRule type="cellIs" dxfId="3262" priority="43" operator="equal">
      <formula>"YEL"</formula>
    </cfRule>
    <cfRule type="cellIs" dxfId="3261" priority="44" operator="equal">
      <formula>"BLU"</formula>
    </cfRule>
    <cfRule type="cellIs" dxfId="3260" priority="45" operator="equal">
      <formula>"WHI"</formula>
    </cfRule>
    <cfRule type="cellIs" dxfId="3259" priority="46" operator="equal">
      <formula>"GRE"</formula>
    </cfRule>
    <cfRule type="cellIs" dxfId="3258" priority="47" operator="equal">
      <formula>"RED"</formula>
    </cfRule>
    <cfRule type="cellIs" dxfId="3257" priority="48" operator="equal">
      <formula>"BLA"</formula>
    </cfRule>
  </conditionalFormatting>
  <conditionalFormatting sqref="AT3">
    <cfRule type="colorScale" priority="80">
      <colorScale>
        <cfvo type="min"/>
        <cfvo type="max"/>
        <color rgb="FFFCFCFF"/>
        <color theme="8" tint="0.39997558519241921"/>
      </colorScale>
    </cfRule>
  </conditionalFormatting>
  <conditionalFormatting sqref="S3">
    <cfRule type="colorScale" priority="81">
      <colorScale>
        <cfvo type="min"/>
        <cfvo type="max"/>
        <color rgb="FFFCFCFF"/>
        <color rgb="FF754BFB"/>
      </colorScale>
    </cfRule>
  </conditionalFormatting>
  <conditionalFormatting sqref="J3">
    <cfRule type="colorScale" priority="82">
      <colorScale>
        <cfvo type="min"/>
        <cfvo type="percentile" val="50"/>
        <cfvo type="max"/>
        <color rgb="FFF8696B"/>
        <color rgb="FFFFEB84"/>
        <color rgb="FF63BE7B"/>
      </colorScale>
    </cfRule>
  </conditionalFormatting>
  <conditionalFormatting sqref="CG3">
    <cfRule type="colorScale" priority="83">
      <colorScale>
        <cfvo type="min"/>
        <cfvo type="max"/>
        <color rgb="FFFCFCFF"/>
        <color rgb="FF63BE7B"/>
      </colorScale>
    </cfRule>
  </conditionalFormatting>
  <conditionalFormatting sqref="H2">
    <cfRule type="cellIs" dxfId="3256" priority="30" stopIfTrue="1" operator="notEqual">
      <formula>""</formula>
    </cfRule>
  </conditionalFormatting>
  <conditionalFormatting sqref="R2 CU2">
    <cfRule type="cellIs" dxfId="3255" priority="32" operator="greaterThan">
      <formula>0</formula>
    </cfRule>
  </conditionalFormatting>
  <conditionalFormatting sqref="T2:AS2 CH2:CS2">
    <cfRule type="cellIs" dxfId="3254" priority="27" stopIfTrue="1" operator="equal">
      <formula>"n"</formula>
    </cfRule>
    <cfRule type="cellIs" dxfId="3253" priority="28" stopIfTrue="1" operator="equal">
      <formula>"y"</formula>
    </cfRule>
    <cfRule type="cellIs" dxfId="3252" priority="29" operator="greaterThan">
      <formula>0</formula>
    </cfRule>
  </conditionalFormatting>
  <conditionalFormatting sqref="AZ2:BB2">
    <cfRule type="expression" dxfId="3251" priority="14">
      <formula>$AT2=0</formula>
    </cfRule>
  </conditionalFormatting>
  <conditionalFormatting sqref="AZ2:BU2">
    <cfRule type="cellIs" dxfId="3250" priority="15" operator="equal">
      <formula>"PIN"</formula>
    </cfRule>
    <cfRule type="cellIs" dxfId="3249" priority="16" operator="equal">
      <formula>"ORA"</formula>
    </cfRule>
    <cfRule type="cellIs" dxfId="3248" priority="17" operator="equal">
      <formula>"GRA"</formula>
    </cfRule>
    <cfRule type="cellIs" dxfId="3247" priority="18" operator="equal">
      <formula>"PUR"</formula>
    </cfRule>
    <cfRule type="cellIs" dxfId="3246" priority="19" operator="equal">
      <formula>"BRO"</formula>
    </cfRule>
    <cfRule type="cellIs" dxfId="3245" priority="20" operator="equal">
      <formula>"YEL"</formula>
    </cfRule>
    <cfRule type="cellIs" dxfId="3244" priority="21" operator="equal">
      <formula>"BLU"</formula>
    </cfRule>
    <cfRule type="cellIs" dxfId="3243" priority="22" operator="equal">
      <formula>"WHI"</formula>
    </cfRule>
    <cfRule type="cellIs" dxfId="3242" priority="23" operator="equal">
      <formula>"GRE"</formula>
    </cfRule>
    <cfRule type="cellIs" dxfId="3241" priority="24" operator="equal">
      <formula>"RED"</formula>
    </cfRule>
    <cfRule type="cellIs" dxfId="3240" priority="25" operator="equal">
      <formula>"BLA"</formula>
    </cfRule>
  </conditionalFormatting>
  <conditionalFormatting sqref="BV2">
    <cfRule type="cellIs" dxfId="3239" priority="31" operator="equal">
      <formula>"nc"</formula>
    </cfRule>
  </conditionalFormatting>
  <conditionalFormatting sqref="CD2:CF2 BZ2:CA2">
    <cfRule type="cellIs" dxfId="3238" priority="26" operator="greaterThan">
      <formula>0</formula>
    </cfRule>
  </conditionalFormatting>
  <conditionalFormatting sqref="IC2:IK2">
    <cfRule type="expression" dxfId="3237" priority="13">
      <formula>$IL2&gt;0</formula>
    </cfRule>
  </conditionalFormatting>
  <conditionalFormatting sqref="BX2:CA2 CD2:CF2">
    <cfRule type="cellIs" dxfId="3236" priority="1" operator="equal">
      <formula>"y"</formula>
    </cfRule>
    <cfRule type="cellIs" dxfId="3235" priority="2" operator="equal">
      <formula>"PIN"</formula>
    </cfRule>
    <cfRule type="cellIs" dxfId="3234" priority="3" operator="equal">
      <formula>"ORA"</formula>
    </cfRule>
    <cfRule type="cellIs" dxfId="3233" priority="4" operator="equal">
      <formula>"GRA"</formula>
    </cfRule>
    <cfRule type="cellIs" dxfId="3232" priority="5" operator="equal">
      <formula>"PUR"</formula>
    </cfRule>
    <cfRule type="cellIs" dxfId="3231" priority="6" operator="equal">
      <formula>"BRO"</formula>
    </cfRule>
    <cfRule type="cellIs" dxfId="3230" priority="7" operator="equal">
      <formula>"YEL"</formula>
    </cfRule>
    <cfRule type="cellIs" dxfId="3229" priority="8" operator="equal">
      <formula>"BLU"</formula>
    </cfRule>
    <cfRule type="cellIs" dxfId="3228" priority="9" operator="equal">
      <formula>"WHI"</formula>
    </cfRule>
    <cfRule type="cellIs" dxfId="3227" priority="10" operator="equal">
      <formula>"GRE"</formula>
    </cfRule>
    <cfRule type="cellIs" dxfId="3226" priority="11" operator="equal">
      <formula>"RED"</formula>
    </cfRule>
    <cfRule type="cellIs" dxfId="3225" priority="12" operator="equal">
      <formula>"BLA"</formula>
    </cfRule>
  </conditionalFormatting>
  <conditionalFormatting sqref="J2">
    <cfRule type="colorScale" priority="33">
      <colorScale>
        <cfvo type="min"/>
        <cfvo type="percentile" val="50"/>
        <cfvo type="max"/>
        <color rgb="FFF8696B"/>
        <color rgb="FFFFEB84"/>
        <color rgb="FF63BE7B"/>
      </colorScale>
    </cfRule>
  </conditionalFormatting>
  <conditionalFormatting sqref="S2">
    <cfRule type="colorScale" priority="34">
      <colorScale>
        <cfvo type="min"/>
        <cfvo type="max"/>
        <color rgb="FFFCFCFF"/>
        <color rgb="FF754BFB"/>
      </colorScale>
    </cfRule>
  </conditionalFormatting>
  <conditionalFormatting sqref="AT2">
    <cfRule type="colorScale" priority="35">
      <colorScale>
        <cfvo type="min"/>
        <cfvo type="max"/>
        <color rgb="FFFCFCFF"/>
        <color theme="8" tint="0.39997558519241921"/>
      </colorScale>
    </cfRule>
  </conditionalFormatting>
  <conditionalFormatting sqref="CG2">
    <cfRule type="colorScale" priority="36">
      <colorScale>
        <cfvo type="min"/>
        <cfvo type="max"/>
        <color rgb="FFFCFCFF"/>
        <color rgb="FF63BE7B"/>
      </colorScale>
    </cfRule>
  </conditionalFormatting>
  <hyperlinks>
    <hyperlink ref="I3" r:id="rId1" xr:uid="{A654F513-D757-4742-B35E-E5184BBC6DAE}"/>
    <hyperlink ref="A2" r:id="rId2" display="https://fbref.com/en/country/MRI/Mauritius-Football" xr:uid="{7713791E-AEA2-4050-BA8E-ECD087F43B32}"/>
    <hyperlink ref="E2" r:id="rId3" xr:uid="{07B3CFCB-59DC-4798-AC07-A19FE829128F}"/>
  </hyperlinks>
  <pageMargins left="0.7" right="0.7" top="0.75" bottom="0.75"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56321" r:id="rId7"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56322" r:id="rId8"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56323" r:id="rId9"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17A6C5-8C97-4847-9655-D66EEA6AFC8C}">
  <sheetPr codeName="Sheet65"/>
  <dimension ref="A1:IY5"/>
  <sheetViews>
    <sheetView zoomScale="70" zoomScaleNormal="70" workbookViewId="0">
      <pane xSplit="5" ySplit="1" topLeftCell="F2" activePane="bottomRight" state="frozen"/>
      <selection pane="topRight" activeCell="F1" sqref="F1"/>
      <selection pane="bottomLeft" activeCell="A2" sqref="A2"/>
      <selection pane="bottomRight" activeCell="M3" sqref="M3"/>
    </sheetView>
  </sheetViews>
  <sheetFormatPr defaultRowHeight="38.4" customHeight="1" x14ac:dyDescent="0.3"/>
  <cols>
    <col min="1" max="1" width="52.44140625" style="81" bestFit="1" customWidth="1"/>
    <col min="2" max="2" width="10.109375" style="81" customWidth="1"/>
    <col min="3" max="3" width="7.44140625" style="82" customWidth="1"/>
    <col min="4" max="4" width="4.77734375" style="83" customWidth="1"/>
    <col min="5" max="5" width="4.5546875" style="83" customWidth="1"/>
    <col min="6" max="6" width="5.77734375" style="83" customWidth="1"/>
    <col min="7" max="7" width="7.44140625" style="81" customWidth="1"/>
    <col min="8" max="8" width="11.44140625" style="81" customWidth="1"/>
    <col min="9" max="9" width="10" style="81" customWidth="1"/>
    <col min="10" max="10" width="4.21875" style="81" customWidth="1"/>
    <col min="11" max="11" width="5.6640625" style="83" customWidth="1"/>
    <col min="12" max="12" width="2.88671875" style="83" customWidth="1"/>
    <col min="13" max="13" width="6.44140625" style="83" customWidth="1"/>
    <col min="14" max="14" width="4.5546875" style="83" customWidth="1"/>
    <col min="15" max="15" width="10.5546875" style="84" customWidth="1"/>
    <col min="16" max="16" width="6.88671875" style="83" customWidth="1"/>
    <col min="17" max="17" width="4.77734375" style="83" customWidth="1"/>
    <col min="18" max="18" width="13.109375" style="82" customWidth="1"/>
    <col min="19" max="19" width="6.77734375" style="82" customWidth="1"/>
    <col min="20" max="46" width="8.44140625" style="81" customWidth="1"/>
    <col min="47" max="47" width="24.5546875" style="81" customWidth="1"/>
    <col min="48" max="51" width="16.6640625" style="81" customWidth="1"/>
    <col min="52" max="52" width="6.5546875" style="81" customWidth="1"/>
    <col min="53" max="54" width="5.88671875" style="81" customWidth="1"/>
    <col min="55" max="55" width="1.33203125" style="81" customWidth="1"/>
    <col min="56" max="56" width="7.44140625" style="81" customWidth="1"/>
    <col min="57" max="57" width="2.33203125" style="81" customWidth="1"/>
    <col min="58" max="62" width="6.109375" style="81" customWidth="1"/>
    <col min="63" max="63" width="2.33203125" style="81" customWidth="1"/>
    <col min="64" max="64" width="7" style="81" bestFit="1" customWidth="1"/>
    <col min="65" max="65" width="6.44140625" style="81" bestFit="1" customWidth="1"/>
    <col min="66" max="66" width="7.109375" style="81" bestFit="1" customWidth="1"/>
    <col min="67" max="71" width="6.44140625" style="81" bestFit="1" customWidth="1"/>
    <col min="72" max="73" width="6.44140625" style="81" customWidth="1"/>
    <col min="74" max="75" width="13.44140625" style="81" customWidth="1"/>
    <col min="76" max="84" width="14.6640625" style="81" customWidth="1"/>
    <col min="85" max="85" width="6.44140625" style="81" customWidth="1"/>
    <col min="86" max="87" width="11.6640625" style="81" bestFit="1" customWidth="1"/>
    <col min="88" max="88" width="11.6640625" style="81" customWidth="1"/>
    <col min="89" max="89" width="12.77734375" style="81" bestFit="1" customWidth="1"/>
    <col min="90" max="90" width="16.44140625" style="82" bestFit="1" customWidth="1"/>
    <col min="91" max="92" width="14.88671875" style="82" bestFit="1" customWidth="1"/>
    <col min="93" max="93" width="16" style="82" bestFit="1" customWidth="1"/>
    <col min="94" max="97" width="7.77734375" style="81" customWidth="1"/>
    <col min="98" max="98" width="33.21875" style="81" customWidth="1"/>
    <col min="99" max="99" width="18" style="81" customWidth="1"/>
    <col min="100" max="100" width="75.6640625" style="81" customWidth="1"/>
    <col min="101" max="125" width="33" style="81" customWidth="1"/>
    <col min="126" max="126" width="8.88671875" style="81"/>
    <col min="127" max="128" width="9.44140625" style="81" bestFit="1" customWidth="1"/>
    <col min="129" max="129" width="10.77734375" style="81" bestFit="1" customWidth="1"/>
    <col min="130" max="134" width="10.77734375" style="81" customWidth="1"/>
    <col min="135" max="135" width="10.109375" style="81" bestFit="1" customWidth="1"/>
    <col min="136" max="136" width="7.77734375" style="81" bestFit="1" customWidth="1"/>
    <col min="137" max="137" width="7.77734375" style="81" customWidth="1"/>
    <col min="138" max="138" width="9" style="81" bestFit="1" customWidth="1"/>
    <col min="139" max="139" width="11.33203125" style="81" bestFit="1" customWidth="1"/>
    <col min="140" max="140" width="9.109375" style="81" bestFit="1" customWidth="1"/>
    <col min="141" max="141" width="9" style="81" bestFit="1" customWidth="1"/>
    <col min="142" max="142" width="12" style="81" bestFit="1" customWidth="1"/>
    <col min="143" max="166" width="12" style="81" customWidth="1"/>
    <col min="167" max="167" width="17.21875" style="81" customWidth="1"/>
    <col min="168" max="191" width="12" style="81" customWidth="1"/>
    <col min="192" max="192" width="8.5546875" style="81" bestFit="1" customWidth="1"/>
    <col min="193" max="193" width="8.5546875" style="81" customWidth="1"/>
    <col min="194" max="194" width="7.109375" style="81" bestFit="1" customWidth="1"/>
    <col min="195" max="195" width="7.5546875" style="81" bestFit="1" customWidth="1"/>
    <col min="196" max="196" width="8.5546875" style="81" bestFit="1" customWidth="1"/>
    <col min="197" max="200" width="8.5546875" style="81" customWidth="1"/>
    <col min="201" max="201" width="188.88671875" style="81" customWidth="1"/>
    <col min="202" max="202" width="9.5546875" style="81" bestFit="1" customWidth="1"/>
    <col min="203" max="203" width="10.44140625" style="81" bestFit="1" customWidth="1"/>
    <col min="204" max="204" width="11.109375" style="81" bestFit="1" customWidth="1"/>
    <col min="205" max="205" width="10.44140625" style="81" bestFit="1" customWidth="1"/>
    <col min="206" max="210" width="10.44140625" style="81" customWidth="1"/>
    <col min="211" max="211" width="45.44140625" style="81" customWidth="1"/>
    <col min="212" max="212" width="47.5546875" style="81" bestFit="1" customWidth="1"/>
    <col min="213" max="213" width="9.33203125" style="85" customWidth="1"/>
    <col min="214" max="214" width="119.5546875" style="81" customWidth="1"/>
    <col min="215" max="215" width="69.6640625" style="81" customWidth="1"/>
    <col min="216" max="218" width="8.88671875" style="81"/>
    <col min="219" max="219" width="37.109375" style="81" customWidth="1"/>
    <col min="220" max="220" width="16.33203125" style="81" customWidth="1"/>
    <col min="221" max="222" width="8.88671875" style="81"/>
    <col min="223" max="223" width="10.109375" style="81" bestFit="1" customWidth="1"/>
    <col min="224" max="232" width="10.88671875" style="81" customWidth="1"/>
    <col min="233" max="234" width="30.77734375" style="81" customWidth="1"/>
    <col min="235" max="235" width="5.109375" style="81" customWidth="1"/>
    <col min="236" max="236" width="3" style="81" customWidth="1"/>
    <col min="237" max="245" width="6.77734375" style="86" customWidth="1"/>
    <col min="246" max="247" width="8.88671875" style="81"/>
    <col min="248" max="248" width="61.5546875" style="81" customWidth="1"/>
    <col min="249" max="253" width="8.88671875" style="81"/>
    <col min="254" max="254" width="9" style="81" customWidth="1"/>
    <col min="255" max="16384" width="8.88671875" style="8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934</v>
      </c>
      <c r="B2" s="40" t="e" vm="70">
        <v>#VALUE!</v>
      </c>
      <c r="C2" s="41">
        <v>1</v>
      </c>
      <c r="D2" s="42" t="s">
        <v>935</v>
      </c>
      <c r="E2" s="43" t="s">
        <v>936</v>
      </c>
      <c r="F2" s="44" t="s">
        <v>163</v>
      </c>
      <c r="G2" s="45">
        <f>COUNTIF($A$1:$A$8343,A2)</f>
        <v>1</v>
      </c>
      <c r="H2" s="46"/>
      <c r="I2" s="47" t="s">
        <v>937</v>
      </c>
      <c r="J2" s="48" t="str">
        <f>""</f>
        <v/>
      </c>
      <c r="K2" s="49">
        <v>2604172</v>
      </c>
      <c r="L2" s="50">
        <v>243466</v>
      </c>
      <c r="M2" s="50" t="s">
        <v>944</v>
      </c>
      <c r="N2" s="51" t="s">
        <v>180</v>
      </c>
      <c r="O2" s="52" t="s">
        <v>938</v>
      </c>
      <c r="P2" s="53" t="s">
        <v>939</v>
      </c>
      <c r="Q2" s="54">
        <v>1</v>
      </c>
      <c r="R2" s="55" t="s">
        <v>180</v>
      </c>
      <c r="S2" s="56">
        <v>1</v>
      </c>
      <c r="T2" s="57" t="s">
        <v>167</v>
      </c>
      <c r="U2" s="58" t="s">
        <v>164</v>
      </c>
      <c r="V2" s="58" t="s">
        <v>164</v>
      </c>
      <c r="W2" s="58" t="s">
        <v>164</v>
      </c>
      <c r="X2" s="58" t="s">
        <v>167</v>
      </c>
      <c r="Y2" s="58" t="s">
        <v>164</v>
      </c>
      <c r="Z2" s="58" t="s">
        <v>164</v>
      </c>
      <c r="AA2" s="58" t="s">
        <v>164</v>
      </c>
      <c r="AB2" s="58" t="s">
        <v>164</v>
      </c>
      <c r="AC2" s="58" t="s">
        <v>164</v>
      </c>
      <c r="AD2" s="58" t="s">
        <v>167</v>
      </c>
      <c r="AE2" s="58" t="s">
        <v>164</v>
      </c>
      <c r="AF2" s="59" t="s">
        <v>164</v>
      </c>
      <c r="AG2" s="59" t="s">
        <v>167</v>
      </c>
      <c r="AH2" s="59" t="s">
        <v>164</v>
      </c>
      <c r="AI2" s="59" t="s">
        <v>164</v>
      </c>
      <c r="AJ2" s="59" t="s">
        <v>164</v>
      </c>
      <c r="AK2" s="59" t="s">
        <v>164</v>
      </c>
      <c r="AL2" s="59" t="s">
        <v>164</v>
      </c>
      <c r="AM2" s="59" t="s">
        <v>164</v>
      </c>
      <c r="AN2" s="59" t="s">
        <v>164</v>
      </c>
      <c r="AO2" s="59" t="s">
        <v>164</v>
      </c>
      <c r="AP2" s="59" t="s">
        <v>164</v>
      </c>
      <c r="AQ2" s="59" t="s">
        <v>164</v>
      </c>
      <c r="AR2" s="59" t="s">
        <v>164</v>
      </c>
      <c r="AS2" s="59" t="s">
        <v>164</v>
      </c>
      <c r="AT2" s="60">
        <v>0</v>
      </c>
      <c r="AU2" s="59"/>
      <c r="AV2" s="59" t="str">
        <f>IF(LEFT(A2,1)="[",LEFT(A2,5)&amp;AU2&amp;A2,"")</f>
        <v/>
      </c>
      <c r="AW2" s="59" t="str">
        <f t="shared" ref="AW2:AW3" si="0">C2&amp;H2&amp;A2</f>
        <v>1Namibia</v>
      </c>
      <c r="AX2" s="61" t="str">
        <f>_xlfn.TEXTJOIN(";",TRUE,AU2:AW2)</f>
        <v>1Namibia</v>
      </c>
      <c r="AY2" s="61"/>
      <c r="AZ2" s="62"/>
      <c r="BA2" s="62"/>
      <c r="BB2" s="62"/>
      <c r="BC2" s="63"/>
      <c r="BD2" s="64" t="s">
        <v>153</v>
      </c>
      <c r="BE2" s="47"/>
      <c r="BF2" s="64" t="s">
        <v>152</v>
      </c>
      <c r="BG2" s="64" t="s">
        <v>154</v>
      </c>
      <c r="BH2" s="64" t="s">
        <v>153</v>
      </c>
      <c r="BI2" s="64" t="s">
        <v>159</v>
      </c>
      <c r="BJ2" s="64"/>
      <c r="BK2" s="47"/>
      <c r="BL2" s="64" t="s">
        <v>152</v>
      </c>
      <c r="BM2" s="64" t="s">
        <v>154</v>
      </c>
      <c r="BN2" s="64" t="s">
        <v>153</v>
      </c>
      <c r="BO2" s="64" t="s">
        <v>155</v>
      </c>
      <c r="BP2" s="64" t="s">
        <v>159</v>
      </c>
      <c r="BQ2" s="64"/>
      <c r="BR2" s="64"/>
      <c r="BS2" s="64"/>
      <c r="BT2" s="64"/>
      <c r="BU2" s="65"/>
      <c r="BV2" s="66" t="s">
        <v>167</v>
      </c>
      <c r="BW2" s="66" t="s">
        <v>166</v>
      </c>
      <c r="BX2" s="47"/>
      <c r="BY2" s="48" t="s">
        <v>167</v>
      </c>
      <c r="CB2" s="6" t="s">
        <v>136</v>
      </c>
      <c r="CC2" s="6"/>
      <c r="CD2" s="67">
        <v>0</v>
      </c>
      <c r="CE2" s="67">
        <v>0</v>
      </c>
      <c r="CF2" s="67" t="e">
        <v>#REF!</v>
      </c>
      <c r="CG2" s="68" cm="1">
        <f t="array" ref="CG2">SUMPRODUCT(--(LEN(TRIM(BL2:BT2))&gt;0))</f>
        <v>5</v>
      </c>
      <c r="CH2" s="59" t="str">
        <f>IF(CG2=2,"y","n")</f>
        <v>n</v>
      </c>
      <c r="CI2" s="59" t="str">
        <f>IF(CG2=3,"y","n")</f>
        <v>n</v>
      </c>
      <c r="CJ2" s="59" t="str">
        <f>IF(CG2=4,"y","n")</f>
        <v>n</v>
      </c>
      <c r="CK2" s="59" t="str">
        <f>IF(CG2&gt;4,"y","n")</f>
        <v>y</v>
      </c>
      <c r="CL2" s="59" t="str">
        <f>IF(S2=0,"y","n")</f>
        <v>n</v>
      </c>
      <c r="CM2" s="59" t="str">
        <f>IF(S2=2,"y","n")</f>
        <v>n</v>
      </c>
      <c r="CN2" s="59" t="str">
        <f>IF(S2=3,"y","n")</f>
        <v>n</v>
      </c>
      <c r="CO2" s="59" t="str">
        <f>IF(S2&gt;=4,"y","n")</f>
        <v>n</v>
      </c>
      <c r="CP2" s="59" t="str">
        <f>IF(AT2=0,"y","n")</f>
        <v>y</v>
      </c>
      <c r="CQ2" s="59" t="str">
        <f>IF(AT2=1,"y","n")</f>
        <v>n</v>
      </c>
      <c r="CR2" s="59" t="str">
        <f>IF(AT2=2,"y","n")</f>
        <v>n</v>
      </c>
      <c r="CS2" s="59" t="str">
        <f>IF(AT2&gt;=3,"y","n")</f>
        <v>n</v>
      </c>
      <c r="CT2" s="69" t="str">
        <f>CHAR(34)&amp;A2&amp;CHAR(34)</f>
        <v>"Namibia"</v>
      </c>
      <c r="CU2" s="70" t="str">
        <f>CHAR(34)&amp;"rgn_"&amp;R2&amp;CHAR(34)</f>
        <v>"rgn_Africa"</v>
      </c>
      <c r="CV2" s="48" t="str">
        <f>CHAR(34)&amp;D2&amp;CHAR(34)</f>
        <v>"https://i.ibb.co/Wkrd913/Namibia-Flag.png"</v>
      </c>
      <c r="CW2" s="48" t="str">
        <f>IF(CH2="y",CHAR(34)&amp;CH$1&amp;CHAR(34)&amp;",","")</f>
        <v/>
      </c>
      <c r="CX2" s="48" t="str">
        <f>IF(CI2="y",CHAR(34)&amp;CI$1&amp;CHAR(34)&amp;",","")</f>
        <v/>
      </c>
      <c r="CY2" s="48" t="str">
        <f>IF(CJ2="y",CHAR(34)&amp;CJ$1&amp;CHAR(34)&amp;",","")</f>
        <v/>
      </c>
      <c r="CZ2" s="48" t="str">
        <f>IF(CK2="y",CHAR(34)&amp;CK$1&amp;CHAR(34)&amp;",","")</f>
        <v>"5+Colo",</v>
      </c>
      <c r="DA2" s="48" t="str">
        <f>IF(Q2&gt;1,CHAR(34)&amp;"words2"&amp;CHAR(34)&amp;",","")</f>
        <v/>
      </c>
      <c r="DB2" s="48" t="str">
        <f>IF(Q2&gt;2,CHAR(34)&amp;"words3"&amp;CHAR(34)&amp;",","")</f>
        <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"lets07",</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"startN",</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"dgband",</v>
      </c>
      <c r="DS2" s="6" t="str">
        <f>IF(W2="y",IF(AND(V2="n",BY2&lt;&gt;"y"),CHAR(34)&amp;"allver"&amp;CHAR(34)&amp;",",""),"")</f>
        <v/>
      </c>
      <c r="DT2" s="6" t="str">
        <f>IF(V2="y",IF(AND(W2="n",BY2&lt;&gt;"y"),CHAR(34)&amp;"allhor"&amp;CHAR(34)&amp;",",""),"")</f>
        <v/>
      </c>
      <c r="DU2" s="6" t="str">
        <f>IF(BY2="y",IF(AND(W2="n",V2="n"),CHAR(34)&amp;"alldia"&amp;CHAR(34)&amp;",",""),"")</f>
        <v>"alldia",</v>
      </c>
      <c r="DV2" s="48" t="str">
        <f>IF(IA2&lt;&gt;"",(IF(IA2="y",CHAR(34)&amp;"largec"&amp;CHAR(34)&amp;",",CHAR(34)&amp;"smallc"&amp;CHAR(34)&amp;",")),"")</f>
        <v/>
      </c>
      <c r="DW2" s="48" t="str">
        <f>IF(CL2="y",CHAR(34)&amp;CL$1&amp;CHAR(34)&amp;",","")</f>
        <v/>
      </c>
      <c r="DX2" s="48" t="str">
        <f>IF(CM2="y",CHAR(34)&amp;CM$1&amp;CHAR(34)&amp;",","")</f>
        <v/>
      </c>
      <c r="DY2" s="48" t="str">
        <f>IF(CN2="y",CHAR(34)&amp;CN$1&amp;CHAR(34)&amp;",","")</f>
        <v/>
      </c>
      <c r="DZ2" s="48" t="str">
        <f>IF(CO2="y",CHAR(34)&amp;CO$1&amp;CHAR(34)&amp;",","")</f>
        <v/>
      </c>
      <c r="EA2" s="48" t="str">
        <f>IF(T2="y",CHAR(34)&amp;T$1&amp;CHAR(34)&amp;",","")</f>
        <v>"Diagon",</v>
      </c>
      <c r="EB2" s="48" t="str">
        <f>IF(U2="y",CHAR(34)&amp;U$1&amp;CHAR(34)&amp;",","")</f>
        <v/>
      </c>
      <c r="EC2" s="48" t="str">
        <f>IF(V2="y",CHAR(34)&amp;V$1&amp;CHAR(34)&amp;",","")</f>
        <v/>
      </c>
      <c r="ED2" s="48" t="str">
        <f>IF(W2="y",CHAR(34)&amp;W$1&amp;CHAR(34)&amp;",","")</f>
        <v/>
      </c>
      <c r="EE2" s="48" t="str">
        <f>IF(X2="y",CHAR(34)&amp;X$1&amp;CHAR(34)&amp;",","")</f>
        <v>"Circle",</v>
      </c>
      <c r="EF2" s="48" t="str">
        <f>IF(AND(Y2&lt;&gt;"n",Y2&lt;&gt;""),CHAR(34)&amp;Y$1&amp;CHAR(34)&amp;",","")</f>
        <v/>
      </c>
      <c r="EG2" s="48" t="str">
        <f>IF(Z2="y",CHAR(34)&amp;Z$1&amp;CHAR(34)&amp;",","")</f>
        <v/>
      </c>
      <c r="EH2" s="48" t="str">
        <f>IF(AA2="y",CHAR(34)&amp;AA$1&amp;CHAR(34)&amp;",","")</f>
        <v/>
      </c>
      <c r="EI2" s="48" t="str">
        <f>IF(AB2="y",CHAR(34)&amp;AB$1&amp;CHAR(34)&amp;",","")</f>
        <v/>
      </c>
      <c r="EJ2" s="48" t="str">
        <f>IF(AC2="y",CHAR(34)&amp;AC$1&amp;CHAR(34)&amp;",","")</f>
        <v/>
      </c>
      <c r="EK2" s="48" t="str">
        <f>IF(AD2="y",CHAR(34)&amp;AD$1&amp;CHAR(34)&amp;",","")</f>
        <v>"HasSun",</v>
      </c>
      <c r="EL2" s="48" t="str">
        <f>IF(AE2="y",CHAR(34)&amp;AE$1&amp;CHAR(34)&amp;",","")</f>
        <v/>
      </c>
      <c r="EM2" s="48" t="str">
        <f>IF(AF2="y",CHAR(34)&amp;AF$1&amp;CHAR(34)&amp;",","")</f>
        <v/>
      </c>
      <c r="EN2" s="48" t="str">
        <f>IF(AG2="y",CHAR(34)&amp;AG$1&amp;CHAR(34)&amp;",","")</f>
        <v>"Unequa",</v>
      </c>
      <c r="EO2" s="48" t="str">
        <f>IF(AH2="y",CHAR(34)&amp;AH$1&amp;CHAR(34)&amp;",","")</f>
        <v/>
      </c>
      <c r="EP2" s="48" t="str">
        <f>IF(AI2="y",CHAR(34)&amp;AI$1&amp;CHAR(34)&amp;",","")</f>
        <v/>
      </c>
      <c r="EQ2" s="48" t="str">
        <f>IF(AJ2="y",CHAR(34)&amp;AJ$1&amp;CHAR(34)&amp;",","")</f>
        <v/>
      </c>
      <c r="ER2" s="48" t="str">
        <f>IF(AK2="y",CHAR(34)&amp;AK$1&amp;CHAR(34)&amp;",","")</f>
        <v/>
      </c>
      <c r="ES2" s="48" t="str">
        <f>IF(AL2="y",CHAR(34)&amp;AL$1&amp;CHAR(34)&amp;",","")</f>
        <v/>
      </c>
      <c r="ET2" s="48" t="str">
        <f>IF(AM2="y",CHAR(34)&amp;AM$1&amp;CHAR(34)&amp;",","")</f>
        <v/>
      </c>
      <c r="EU2" s="48" t="str">
        <f>IF(AN2="y",CHAR(34)&amp;AN$1&amp;CHAR(34)&amp;",","")</f>
        <v/>
      </c>
      <c r="EV2" s="48" t="str">
        <f>IF(AO2="y",CHAR(34)&amp;AO$1&amp;CHAR(34)&amp;",","")</f>
        <v/>
      </c>
      <c r="EW2" s="48" t="str">
        <f>IF(AP2="y",CHAR(34)&amp;AP$1&amp;CHAR(34)&amp;",","")</f>
        <v/>
      </c>
      <c r="EX2" s="48" t="str">
        <f>IF(AQ2="y",CHAR(34)&amp;AQ$1&amp;CHAR(34)&amp;",","")</f>
        <v/>
      </c>
      <c r="EY2" s="48" t="str">
        <f>IF(AR2="y",CHAR(34)&amp;AR$1&amp;CHAR(34)&amp;",","")</f>
        <v/>
      </c>
      <c r="EZ2" s="48" t="str">
        <f>IF(AS2="y",CHAR(34)&amp;AS$1&amp;CHAR(34)&amp;",","")</f>
        <v/>
      </c>
      <c r="FA2" s="48" t="str">
        <f>IF(AT2&gt;0,CHAR(34)&amp;"sta"&amp;AZ2&amp;CHAR(34)&amp;",","")</f>
        <v/>
      </c>
      <c r="FB2" s="48" t="str">
        <f>IF(AND(AT2&gt;0,BA2&lt;&gt;""),CHAR(34)&amp;"sta"&amp;BA2&amp;CHAR(34)&amp;",","")</f>
        <v/>
      </c>
      <c r="FC2" s="48" t="str">
        <f>IF(AND(AT2&gt;0,BB2&lt;&gt;""),CHAR(34)&amp;"sta"&amp;BB2&amp;CHAR(34)&amp;",","")</f>
        <v/>
      </c>
      <c r="FD2" s="48" t="str">
        <f>IF(BV2="n",CHAR(34)&amp;"tcWHYE"&amp;CHAR(34)&amp;",",IF(BV2="y",CHAR(34)&amp;FD$1&amp;CHAR(34)&amp;",",""))</f>
        <v>"ntWHYE",</v>
      </c>
      <c r="FE2" s="48" t="str">
        <f>IF(COUNTIF(BL2:BT2,"BLU")=0,CHAR(34)&amp;"NO_BLU"&amp;CHAR(34)&amp;",", "")</f>
        <v/>
      </c>
      <c r="FF2" s="48" t="str">
        <f>IF(COUNTIF(BL2:BT2,"WHI")=0,CHAR(34)&amp;"NO_WHI"&amp;CHAR(34)&amp;",", "")</f>
        <v/>
      </c>
      <c r="FG2" s="48" t="str">
        <f>IF(COUNTIF(BL2:BT2,"RED")=0,CHAR(34)&amp;"NO_RED"&amp;CHAR(34)&amp;",", "")</f>
        <v/>
      </c>
      <c r="FH2" s="48" t="str">
        <f>IF(COUNTIF(BL2:BS2,"GRE")=0,CHAR(34)&amp;"NO_GRE"&amp;CHAR(34)&amp;",", "")</f>
        <v/>
      </c>
      <c r="FI2" s="48" t="str">
        <f>IF(COUNTIF(BL2:BT2,"YEL")=0,CHAR(34)&amp;"NO_YEL"&amp;CHAR(34)&amp;",", "")</f>
        <v/>
      </c>
      <c r="FJ2" s="48" t="str">
        <f>IF(COUNTIF(BL2:BT2,"BLA")=0,CHAR(34)&amp;"NO_BLA"&amp;CHAR(34)&amp;",", "")</f>
        <v>"NO_BLA",</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
      </c>
      <c r="FP2" s="48" t="str">
        <f>IF(AND(FF2&lt;&gt;"",FF2&lt;&gt;""),CHAR(34)&amp;"WHRENO"&amp;CHAR(34)&amp;",","")</f>
        <v/>
      </c>
      <c r="FQ2" s="48" t="str">
        <f>IF(LEN(BF2)=3,CHAR(34)&amp;"001"&amp;BF2&amp;CHAR(34)&amp;",","")</f>
        <v>"001BLU",</v>
      </c>
      <c r="FR2" s="48" t="str">
        <f>IF(LEN(BG2)=3,CHAR(34)&amp;"002"&amp;BG2&amp;CHAR(34)&amp;",","")</f>
        <v>"002RED",</v>
      </c>
      <c r="FS2" s="48" t="str">
        <f>IF(LEN(BH2)=3,CHAR(34)&amp;"003"&amp;BH2&amp;CHAR(34)&amp;",","")</f>
        <v>"003GRE",</v>
      </c>
      <c r="FT2" s="48" t="str">
        <f>CHAR(34)&amp;"myr"&amp;BD2&amp;CHAR(34)&amp;","</f>
        <v>"myrGRE",</v>
      </c>
      <c r="FU2" s="48" t="str">
        <f>IF(AY2="y",CHAR(34)&amp;"island"&amp;CHAR(34)&amp;",","")</f>
        <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"englis",</v>
      </c>
      <c r="GA2" s="48" t="str">
        <f>IFERROR(IF(SEARCH("French",CB2)&gt;0,CHAR(34)&amp;"french"&amp;CHAR(34)&amp;",",""),"")</f>
        <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"NoStar",</v>
      </c>
      <c r="GK2" s="48" t="str">
        <f>IF(GJ2="",CHAR(34)&amp;"HasSta"&amp;CHAR(34)&amp;",","")</f>
        <v/>
      </c>
      <c r="GL2" s="48" t="str">
        <f>IF(CQ2="y",CHAR(34)&amp;CQ$1&amp;CHAR(34)&amp;",","")</f>
        <v/>
      </c>
      <c r="GM2" s="48" t="str">
        <f>IF(CR2="y",CHAR(34)&amp;CR$1&amp;CHAR(34)&amp;",","")</f>
        <v/>
      </c>
      <c r="GN2" s="48" t="str">
        <f>IF(CS2="y",CHAR(34)&amp;CS$1&amp;CHAR(34)&amp;",","")</f>
        <v/>
      </c>
      <c r="GP2" s="48" t="str">
        <f>CHAR(34)&amp;AU2&amp;CHAR(34)</f>
        <v>""</v>
      </c>
      <c r="GS2" s="48" t="str">
        <f>SUBSTITUTE("["&amp;_xlfn.CONCAT(CW2:GN2)&amp;"]",",]","]")</f>
        <v>["5+Colo","lets07","startN","year19","dgband","alldia","Diagon","Circle","HasSun","Unequa","ntWHYE","NO_BLA","001BLU","002RED","003GRE","myrGRE","englis","NoStar"]</v>
      </c>
      <c r="GT2" s="48" t="str">
        <f>IF(BL2&lt;&gt;"",CHAR(34)&amp;"cl_"&amp;BL2&amp;CHAR(34)&amp;",","")</f>
        <v>"cl_BLU",</v>
      </c>
      <c r="GU2" s="48" t="str">
        <f>IF(BM2&lt;&gt;"",CHAR(34)&amp;"cl_"&amp;BM2&amp;CHAR(34)&amp;",","")</f>
        <v>"cl_RED",</v>
      </c>
      <c r="GV2" s="48" t="str">
        <f>IF(BN2&lt;&gt;"",CHAR(34)&amp;"cl_"&amp;BN2&amp;CHAR(34)&amp;",","")</f>
        <v>"cl_GRE",</v>
      </c>
      <c r="GW2" s="48" t="str">
        <f>IF(BO2&lt;&gt;"",CHAR(34)&amp;"cl_"&amp;BO2&amp;CHAR(34)&amp;",","")</f>
        <v>"cl_YEL",</v>
      </c>
      <c r="GX2" s="48" t="str">
        <f>IF(BP2&lt;&gt;"",CHAR(34)&amp;"cl_"&amp;BP2&amp;CHAR(34)&amp;",","")</f>
        <v>"cl_WHI",</v>
      </c>
      <c r="GY2" s="48" t="str">
        <f>IF(BQ2&lt;&gt;"",CHAR(34)&amp;"cl_"&amp;BQ2&amp;CHAR(34)&amp;",","")</f>
        <v/>
      </c>
      <c r="GZ2" s="48" t="str">
        <f>IF(BR2&lt;&gt;"",CHAR(34)&amp;"cl_"&amp;BR2&amp;CHAR(34)&amp;",","")</f>
        <v/>
      </c>
      <c r="HA2" s="48" t="str">
        <f>IF(BS2&lt;&gt;"",CHAR(34)&amp;"cl_"&amp;BS2&amp;CHAR(34)&amp;",","")</f>
        <v/>
      </c>
      <c r="HB2" s="48" t="str">
        <f>IF(BT2&lt;&gt;"",CHAR(34)&amp;"cl_"&amp;BT2&amp;CHAR(34)&amp;",","")</f>
        <v/>
      </c>
      <c r="HC2" s="48" t="str">
        <f>SUBSTITUTE("["&amp;_xlfn.CONCAT(GT2:HB2)&amp;"]",",]","]")</f>
        <v>["cl_BLU","cl_RED","cl_GRE","cl_YEL","cl_WHI"]</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{couname:"Namibia",year:"1990 ",region:"rgn_Africa",Colors:["cl_BLU","cl_RED","cl_GRE","cl_YEL","cl_WHI"],Items:["5+Colo","lets07","startN","year19","dgband","alldia","Diagon","Circle","HasSun","Unequa","ntWHYE","NO_BLA","001BLU","002RED","003GRE","myrGRE","englis","NoStar"],Flag:"https://i.ibb.co/Wkrd913/Namibia-Flag.png",HDFlag:"https://upload.wikimedia.org/wikipedia/commons/thumb/0/00/Flag_of_Namibia.svg/2560px-Flag_of_Namibia.svg.png",type:"", describe: "\n\n • Red – represents Namibia's most important resource, its people. It refers to their heroism and their determination to build a future of equal opportunity for all.\n\n • White – represents peace, unity, tranquility, and harmony.\n\n • Green – symbolises vegetation and agricultural resources.\n\n • Blue – represents the clear Namibian sky and the Atlantic Ocean, the country's precious water resources and rain.\n\n • Golden-yellow sun – life and energy. The golden-yellow colour represents wealth of the country.\n\n • The twelve rays of the sun – represents the twelve ethnicities of Namibia, which make up most of the Namibian population, which are divided into four main groups of three.", isnew:".", links: "https://en.wikipedia.org/wiki/Flag_of_Namibia"},</v>
      </c>
      <c r="HG2" s="73" t="str">
        <f>"{couname:"&amp;CT2&amp;(IF(HK2&lt;&gt;"",",subtype:"&amp;CHAR(34)&amp;HK2&amp;CHAR(34),""))&amp;",year:"&amp;HJ2&amp;",region:"&amp;CU2&amp;",Colors:"&amp;HC2&amp;",Items:"&amp;GS2&amp;",Flag:"&amp;CV2&amp;",HDFlag:"&amp;CHAR(34)&amp;E2&amp;CHAR(34)&amp;",type:"&amp;GP2&amp;", describe: "&amp;HI2&amp;", links: "&amp;HL2&amp;"},"</f>
        <v>{couname:"Namibia",year:"1990 ",region:"rgn_Africa",Colors:["cl_BLU","cl_RED","cl_GRE","cl_YEL","cl_WHI"],Items:["5+Colo","lets07","startN","year19","dgband","alldia","Diagon","Circle","HasSun","Unequa","ntWHYE","NO_BLA","001BLU","002RED","003GRE","myrGRE","englis","NoStar"],Flag:"https://i.ibb.co/Wkrd913/Namibia-Flag.png",HDFlag:"https://upload.wikimedia.org/wikipedia/commons/thumb/0/00/Flag_of_Namibia.svg/2560px-Flag_of_Namibia.svg.png",type:"", describe: "\n\n • Red – represents Namibia's most important resource, its people. It refers to their heroism and their determination to build a future of equal opportunity for all.\n\n • White – represents peace, unity, tranquility, and harmony.\n\n • Green – symbolises vegetation and agricultural resources.\n\n • Blue – represents the clear Namibian sky and the Atlantic Ocean, the country's precious water resources and rain.\n\n • Golden-yellow sun – life and energy. The golden-yellow colour represents wealth of the country.\n\n • The twelve rays of the sun – represents the twelve ethnicities of Namibia, which make up most of the Namibian population, which are divided into four main groups of three.", links: "https://en.wikipedia.org/wiki/Flag_of_Namibia"},</v>
      </c>
      <c r="HH2" s="48" t="str">
        <f>IF(P2&lt;&gt;"",CHAR(34)&amp;"\n"&amp;P2&amp;CHAR(34),CHAR(34)&amp;CHAR(34))</f>
        <v>"\n\n • Red – represents Namibia's most important resource, its people. It refers to their heroism and their determination to build a future of equal opportunity for all.\n\n • White – represents peace, unity, tranquility, and harmony.\n\n • Green – symbolises vegetation and agricultural resources.\n\n • Blue – represents the clear Namibian sky and the Atlantic Ocean, the country's precious water resources and rain.\n\n • Golden-yellow sun – life and energy. The golden-yellow colour represents wealth of the country.\n\n • The twelve rays of the sun – represents the twelve ethnicities of Namibia, which make up most of the Namibian population, which are divided into four main groups of three."</v>
      </c>
      <c r="HI2" s="48" t="str">
        <f>IF(J2=0,CHAR(34)&amp;CHAR(34),HH2)</f>
        <v>"\n\n • Red – represents Namibia's most important resource, its people. It refers to their heroism and their determination to build a future of equal opportunity for all.\n\n • White – represents peace, unity, tranquility, and harmony.\n\n • Green – symbolises vegetation and agricultural resources.\n\n • Blue – represents the clear Namibian sky and the Atlantic Ocean, the country's precious water resources and rain.\n\n • Golden-yellow sun – life and energy. The golden-yellow colour represents wealth of the country.\n\n • The twelve rays of the sun – represents the twelve ethnicities of Namibia, which make up most of the Namibian population, which are divided into four main groups of three."</v>
      </c>
      <c r="HJ2" s="48" t="str">
        <f>CHAR(34)&amp;O2&amp;CHAR(34)</f>
        <v>"1990 "</v>
      </c>
      <c r="HL2" s="48" t="str">
        <f>CHAR(34)&amp;I2&amp;CHAR(34)</f>
        <v>"https://en.wikipedia.org/wiki/Flag_of_Namibia"</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{"couname":"Namibia","year":"1990 ","region":"rgn_Africa","Colors":["cl_BLU","cl_RED","cl_GRE","cl_YEL","cl_WHI"],"Items":["5+Colo","lets07","startN","year19","dgband","alldia","Diagon","Circle","HasSun","Unequa","ntWHYE","NO_BLA","001BLU","002RED","003GRE","myrGRE","englis","NoStar"],"Flag":"https://i.ibb.co/Wkrd913/Namibia-Flag.png","HDFlag":"https://upload.wikimedia.org/wikipedia/commons/thumb/0/00/Flag_of_Namibia.svg/2560px-Flag_of_Namibia.svg.png","type":"", "describe": "\n\n • Red – represents Namibia's most important resource, its people. It refers to their heroism and their determination to build a future of equal opportunity for all.\n\n • White – represents peace, unity, tranquility, and harmony.\n\n • Green – symbolises vegetation and agricultural resources.\n\n • Blue – represents the clear Namibian sky and the Atlantic Ocean, the country's precious water resources and rain.\n\n • Golden-yellow sun – life and energy. The golden-yellow colour represents wealth of the country.\n\n • The twelve rays of the sun – represents the twelve ethnicities of Namibia, which make up most of the Namibian population, which are divided into four main groups of three.", "isnew": ".", "links": "https://en.wikipedia.org/wiki/Flag_of_Namibia"},</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{"couname":"Namibia","year":"1990 ","region":"rgn_Africa","Colors":["cl_BLU","cl_RED","cl_GRE","cl_YEL","cl_WHI"],"Items":["5+Colo","lets07","startN","year19","dgband","alldia","Diagon","Circle","HasSun","Unequa","ntWHYE","NO_BLA","001BLU","002RED","003GRE","myrGRE","englis","NoStar"],"Flag":"https://i.ibb.co/Wkrd913/Namibia-Flag.png","HDFlag":"https://upload.wikimedia.org/wikipedia/commons/thumb/0/00/Flag_of_Namibia.svg/2560px-Flag_of_Namibia.svg.png","type":"", "describe": "\n\n • Red – represents Namibia's most important resource, its people. It refers to their heroism and their determination to build a future of equal opportunity for all.\n\n • White – represents peace, unity, tranquility, and harmony.\n\n • Green – symbolises vegetation and agricultural resources.\n\n • Blue – represents the clear Namibian sky and the Atlantic Ocean, the country's precious water resources and rain.\n\n • Golden-yellow sun – life and energy. The golden-yellow colour represents wealth of the country.\n\n • The twelve rays of the sun – represents the twelve ethnicities of Namibia, which make up most of the Namibian population, which are divided into four main groups of three.", "isnew": ".", "links": "https://en.wikipedia.org/wiki/Flag_of_Namibia"},</v>
      </c>
      <c r="HO2" s="75"/>
      <c r="HP2" s="48" t="str" cm="1">
        <f t="array" ref="HP2">IF(_xlfn.TEXTJOIN(", ", TRUE, IF(ISNUMBER(SEARCH("BLA", BL2:BT2)), COLUMN(BL2:BT2) - COLUMN(BL2) + 1, ""))&lt;&gt;"","BLA","")</f>
        <v/>
      </c>
      <c r="HQ2" s="48" t="str" cm="1">
        <f t="array" ref="HQ2">IF(_xlfn.TEXTJOIN(", ", TRUE, IF(ISNUMBER(SEARCH("BLU", BL2:BT2)), COLUMN(BL2:BT2) - COLUMN(BL2) + 1, ""))&lt;&gt;"","BLU","")</f>
        <v>BLU</v>
      </c>
      <c r="HR2" s="48" t="str" cm="1">
        <f t="array" ref="HR2">IF(_xlfn.TEXTJOIN(", ", TRUE, IF(ISNUMBER(SEARCH("GRE", BL2:BT2)), COLUMN(BL2:BT2) - COLUMN(BL2) + 1, ""))&lt;&gt;"","GRE","")</f>
        <v>GRE</v>
      </c>
      <c r="HS2" s="48" t="str" cm="1">
        <f t="array" ref="HS2">IF(_xlfn.TEXTJOIN(", ", TRUE, IF(ISNUMBER(SEARCH("RED", BL2:BT2)), COLUMN(BL2:BT2) - COLUMN(BL2) + 1, ""))&lt;&gt;"","RED","")</f>
        <v>RED</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c r="IB2" s="6"/>
      <c r="IC2" s="77"/>
      <c r="ID2" s="77"/>
      <c r="IE2" s="77"/>
      <c r="IF2" s="77"/>
      <c r="IG2" s="77"/>
      <c r="IH2" s="77"/>
      <c r="II2" s="77"/>
      <c r="IJ2" s="77"/>
      <c r="IK2" s="77"/>
      <c r="IL2" s="48">
        <f>SUM(IC2:IK2)</f>
        <v>0</v>
      </c>
      <c r="IM2" s="45">
        <f>COUNTIF(IC2:IK2,"&gt;0")-CG2</f>
        <v>-5</v>
      </c>
      <c r="IN2" s="78" t="str">
        <f>"http://mkweb.bcgsc.ca/color-summarizer/?url="&amp;D2&amp;"&amp;precision=low&amp;num_clusters="&amp;CG2&amp;"&amp;text=1"</f>
        <v>http://mkweb.bcgsc.ca/color-summarizer/?url=https://i.ibb.co/Wkrd913/Namibia-Flag.png&amp;precision=low&amp;num_clusters=5&amp;text=1</v>
      </c>
      <c r="IO2" s="48" t="str">
        <f>IF(HP2&lt;&gt;"",CHAR(34)&amp;"black"&amp;CHAR(34),"")</f>
        <v/>
      </c>
      <c r="IP2" s="48" t="str">
        <f>IF(HQ2&lt;&gt;"",CHAR(34)&amp;"blue"&amp;CHAR(34),"")</f>
        <v>"blue"</v>
      </c>
      <c r="IQ2" s="48" t="str">
        <f>IF(HR2&lt;&gt;"",CHAR(34)&amp;"green"&amp;CHAR(34),"")</f>
        <v>"green"</v>
      </c>
      <c r="IR2" s="48" t="str">
        <f>IF(HS2&lt;&gt;"",CHAR(34)&amp;"red"&amp;CHAR(34),"")</f>
        <v>"red"</v>
      </c>
      <c r="IS2" s="48" t="str">
        <f>IF(HT2&lt;&gt;"",CHAR(34)&amp;"yellow"&amp;CHAR(34),"")</f>
        <v>"yellow"</v>
      </c>
      <c r="IT2" s="48" t="str">
        <f>IF(HU2&lt;&gt;"",CHAR(34)&amp;"orange"&amp;CHAR(34),"")</f>
        <v/>
      </c>
      <c r="IU2" s="48" t="str">
        <f>IF(HV2&lt;&gt;"",CHAR(34)&amp;"brown"&amp;CHAR(34),"")</f>
        <v/>
      </c>
      <c r="IV2" s="48" t="str">
        <f>IF(HW2&lt;&gt;"",CHAR(34)&amp;"purple"&amp;CHAR(34),"")</f>
        <v/>
      </c>
      <c r="IW2" s="48" t="str">
        <f>IF(HX2&lt;&gt;"",CHAR(34)&amp;"white"&amp;CHAR(34),"")</f>
        <v>"white"</v>
      </c>
      <c r="IX2" s="48" t="str">
        <f>"{"&amp;CHAR(34)&amp;"url"&amp;CHAR(34)&amp;":"&amp;CHAR(34)&amp;IN2&amp;CHAR(34)&amp;","&amp;CHAR(34)&amp;"name"&amp;CHAR(34)&amp;":"&amp;CHAR(34)&amp;A2&amp;CHAR(34)&amp;"},"</f>
        <v>{"url":"http://mkweb.bcgsc.ca/color-summarizer/?url=https://i.ibb.co/Wkrd913/Namibia-Flag.png&amp;precision=low&amp;num_clusters=5&amp;text=1","name":"Namibia"},</v>
      </c>
      <c r="IY2" s="48">
        <v>148</v>
      </c>
    </row>
    <row r="3" spans="1:259" s="48" customFormat="1" ht="38.4" customHeight="1" thickBot="1" x14ac:dyDescent="0.35">
      <c r="A3" s="79" t="s">
        <v>940</v>
      </c>
      <c r="B3" s="40" t="e" vm="71">
        <v>#VALUE!</v>
      </c>
      <c r="C3" s="41">
        <v>2</v>
      </c>
      <c r="D3" s="42" t="s">
        <v>941</v>
      </c>
      <c r="E3" s="43" t="s">
        <v>941</v>
      </c>
      <c r="F3" s="44" t="s">
        <v>163</v>
      </c>
      <c r="G3" s="45">
        <f>COUNTIF($A$1:$A$8345,A3)</f>
        <v>1</v>
      </c>
      <c r="H3" s="46"/>
      <c r="I3" s="47" t="s">
        <v>942</v>
      </c>
      <c r="J3" s="48" t="str">
        <f>""</f>
        <v/>
      </c>
      <c r="K3" s="49"/>
      <c r="L3" s="50"/>
      <c r="M3" s="50"/>
      <c r="N3" s="51" t="s">
        <v>180</v>
      </c>
      <c r="O3" s="52" t="s">
        <v>170</v>
      </c>
      <c r="P3" s="53" t="s">
        <v>943</v>
      </c>
      <c r="Q3" s="54">
        <v>1</v>
      </c>
      <c r="R3" s="55" t="s">
        <v>180</v>
      </c>
      <c r="S3" s="56">
        <v>0</v>
      </c>
      <c r="T3" s="57" t="s">
        <v>164</v>
      </c>
      <c r="U3" s="58" t="s">
        <v>164</v>
      </c>
      <c r="V3" s="58" t="s">
        <v>164</v>
      </c>
      <c r="W3" s="58" t="s">
        <v>164</v>
      </c>
      <c r="X3" s="58" t="s">
        <v>164</v>
      </c>
      <c r="Y3" s="58" t="s">
        <v>164</v>
      </c>
      <c r="Z3" s="58" t="s">
        <v>164</v>
      </c>
      <c r="AA3" s="58" t="s">
        <v>167</v>
      </c>
      <c r="AB3" s="58" t="s">
        <v>164</v>
      </c>
      <c r="AC3" s="58" t="s">
        <v>164</v>
      </c>
      <c r="AD3" s="58" t="s">
        <v>164</v>
      </c>
      <c r="AE3" s="58" t="s">
        <v>164</v>
      </c>
      <c r="AF3" s="59" t="s">
        <v>164</v>
      </c>
      <c r="AG3" s="59" t="s">
        <v>164</v>
      </c>
      <c r="AH3" s="59" t="s">
        <v>167</v>
      </c>
      <c r="AI3" s="59" t="s">
        <v>164</v>
      </c>
      <c r="AJ3" s="59" t="s">
        <v>164</v>
      </c>
      <c r="AK3" s="59" t="s">
        <v>164</v>
      </c>
      <c r="AL3" s="59" t="s">
        <v>164</v>
      </c>
      <c r="AM3" s="59" t="s">
        <v>164</v>
      </c>
      <c r="AN3" s="59" t="s">
        <v>164</v>
      </c>
      <c r="AO3" s="59" t="s">
        <v>164</v>
      </c>
      <c r="AP3" s="59" t="s">
        <v>164</v>
      </c>
      <c r="AQ3" s="59" t="s">
        <v>164</v>
      </c>
      <c r="AR3" s="59" t="s">
        <v>164</v>
      </c>
      <c r="AS3" s="59" t="s">
        <v>164</v>
      </c>
      <c r="AT3" s="60">
        <v>0</v>
      </c>
      <c r="AU3" s="59" t="s">
        <v>171</v>
      </c>
      <c r="AV3" s="59" t="str">
        <f>IF(LEFT(A3,1)="[",LEFT(A3,5)&amp;AU3&amp;A3,"")</f>
        <v>[NAM]Capital City[NAM] Windhoek</v>
      </c>
      <c r="AW3" s="59" t="str">
        <f t="shared" si="0"/>
        <v>2[NAM] Windhoek</v>
      </c>
      <c r="AX3" s="61"/>
      <c r="AY3" s="61"/>
      <c r="AZ3" s="62"/>
      <c r="BA3" s="62"/>
      <c r="BB3" s="62"/>
      <c r="BC3" s="63"/>
      <c r="BD3" s="64" t="s">
        <v>159</v>
      </c>
      <c r="BE3" s="47"/>
      <c r="BF3" s="64"/>
      <c r="BG3" s="64"/>
      <c r="BH3" s="64"/>
      <c r="BI3" s="64"/>
      <c r="BJ3" s="64"/>
      <c r="BK3" s="47"/>
      <c r="BL3" s="64" t="s">
        <v>159</v>
      </c>
      <c r="BM3" s="64" t="s">
        <v>152</v>
      </c>
      <c r="BN3" s="64" t="s">
        <v>155</v>
      </c>
      <c r="BO3" s="64"/>
      <c r="BP3" s="64"/>
      <c r="BQ3" s="64"/>
      <c r="BR3" s="64"/>
      <c r="BS3" s="64"/>
      <c r="BT3" s="64"/>
      <c r="BU3" s="65"/>
      <c r="BV3" s="66"/>
      <c r="BW3" s="66">
        <v>0</v>
      </c>
      <c r="BX3" s="47"/>
      <c r="CB3" s="6"/>
      <c r="CC3" s="6"/>
      <c r="CD3" s="67">
        <v>0</v>
      </c>
      <c r="CE3" s="67">
        <v>0</v>
      </c>
      <c r="CF3" s="67" t="e">
        <v>#REF!</v>
      </c>
      <c r="CG3" s="68" cm="1">
        <f t="array" ref="CG3">SUMPRODUCT(--(LEN(TRIM(BL3:BT3))&gt;0))</f>
        <v>3</v>
      </c>
      <c r="CH3" s="59" t="str">
        <f>IF(CG3=2,"y","n")</f>
        <v>n</v>
      </c>
      <c r="CI3" s="59" t="str">
        <f>IF(CG3=3,"y","n")</f>
        <v>y</v>
      </c>
      <c r="CJ3" s="59" t="str">
        <f>IF(CG3=4,"y","n")</f>
        <v>n</v>
      </c>
      <c r="CK3" s="59" t="str">
        <f>IF(CG3&gt;4,"y","n")</f>
        <v>n</v>
      </c>
      <c r="CL3" s="59" t="str">
        <f>IF(S3=0,"y","n")</f>
        <v>y</v>
      </c>
      <c r="CM3" s="59" t="str">
        <f>IF(S3=2,"y","n")</f>
        <v>n</v>
      </c>
      <c r="CN3" s="59" t="str">
        <f>IF(S3=3,"y","n")</f>
        <v>n</v>
      </c>
      <c r="CO3" s="59" t="str">
        <f>IF(S3&gt;=4,"y","n")</f>
        <v>n</v>
      </c>
      <c r="CP3" s="59" t="str">
        <f>IF(AT3=0,"y","n")</f>
        <v>y</v>
      </c>
      <c r="CQ3" s="59" t="str">
        <f>IF(AT3=1,"y","n")</f>
        <v>n</v>
      </c>
      <c r="CR3" s="59" t="str">
        <f>IF(AT3=2,"y","n")</f>
        <v>n</v>
      </c>
      <c r="CS3" s="59" t="str">
        <f>IF(AT3&gt;=3,"y","n")</f>
        <v>n</v>
      </c>
      <c r="CT3" s="69" t="str">
        <f>CHAR(34)&amp;A3&amp;CHAR(34)</f>
        <v>"[NAM] Windhoek"</v>
      </c>
      <c r="CU3" s="70" t="str">
        <f>CHAR(34)&amp;"rgn_"&amp;R3&amp;CHAR(34)</f>
        <v>"rgn_Africa"</v>
      </c>
      <c r="CV3" s="48" t="str">
        <f>CHAR(34)&amp;D3&amp;CHAR(34)</f>
        <v>"https://upload.wikimedia.org/wikipedia/commons/c/c0/Flag_of_Windhoek.gif"</v>
      </c>
      <c r="CW3" s="48" t="str">
        <f>IF(CH3="y",CHAR(34)&amp;CH$1&amp;CHAR(34)&amp;",","")</f>
        <v/>
      </c>
      <c r="CX3" s="48" t="str">
        <f>IF(CI3="y",CHAR(34)&amp;CI$1&amp;CHAR(34)&amp;",","")</f>
        <v>"3Color",</v>
      </c>
      <c r="CY3" s="48" t="str">
        <f>IF(CJ3="y",CHAR(34)&amp;CJ$1&amp;CHAR(34)&amp;",","")</f>
        <v/>
      </c>
      <c r="CZ3" s="48" t="str">
        <f>IF(CK3="y",CHAR(34)&amp;CK$1&amp;CHAR(34)&amp;",","")</f>
        <v/>
      </c>
      <c r="DA3" s="48" t="str">
        <f>IF(Q3&gt;1,CHAR(34)&amp;"words2"&amp;CHAR(34)&amp;",","")</f>
        <v/>
      </c>
      <c r="DB3" s="48" t="str">
        <f>IF(Q3&gt;2,CHAR(34)&amp;"words3"&amp;CHAR(34)&amp;",","")</f>
        <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"lets08",</v>
      </c>
      <c r="DE3" s="48" t="str">
        <f>CHAR(34)&amp;"start"&amp;IFERROR(LEFT(SUBSTITUTE(A3,"["&amp;MID(A3,FIND("[",A3)+1,FIND("]",A3)-FIND("[",A3)-1)&amp;"] ",""),1),LEFT(A3,1))&amp;CHAR(34)&amp;","</f>
        <v>"startW",</v>
      </c>
      <c r="DF3" s="48" t="str">
        <f>IFERROR(IF(SEARCH("tan",A3)&gt;0,CHAR(34)&amp;"withtn"&amp;CHAR(34)&amp;",",""),"")</f>
        <v/>
      </c>
      <c r="DG3" s="48" t="str">
        <f>IFERROR(IF(SEARCH("q",A3)&gt;0,CHAR(34)&amp;"with_q"&amp;CHAR(34)&amp;",",""),"")</f>
        <v/>
      </c>
      <c r="DH3" s="48" t="str">
        <f>IFERROR(IF(SEARCH("v",A3)&gt;0,CHAR(34)&amp;"with_v"&amp;CHAR(34)&amp;",",""),"")</f>
        <v/>
      </c>
      <c r="DI3" s="48" t="str">
        <f>IFERROR(IF(SEARCH("w",A3)&gt;0,CHAR(34)&amp;"with_w"&amp;CHAR(34)&amp;",",""),"")</f>
        <v>"with_w",</v>
      </c>
      <c r="DJ3" s="48" t="str">
        <f>IFERROR(IF(SEARCH("y",A3)&gt;0,CHAR(34)&amp;"with_y"&amp;CHAR(34)&amp;",",""),"")</f>
        <v/>
      </c>
      <c r="DK3" s="48" t="str">
        <f>IFERROR(IF(SEARCH("z",A3)&gt;0,CHAR(34)&amp;"with_z"&amp;CHAR(34)&amp;",",""),"")</f>
        <v/>
      </c>
      <c r="DL3" s="48" t="str">
        <f>IF(CG3=2, CHAR(34) &amp; _xlfn.TEXTJOIN("", TRUE, _xlfn._xlws.SORT(HP3:HX3)) &amp; CHAR(34) &amp; ",", "")</f>
        <v/>
      </c>
      <c r="DM3" s="48" t="str" cm="1">
        <f t="array" ref="DM3">IF(CG3=3,CHAR(34) &amp; _xlfn.TEXTJOIN("", TRUE, RIGHT(HP3:HX3, 2)) &amp; CHAR(34) &amp; ",", "")</f>
        <v>"LUELHI",</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
      </c>
      <c r="DP3" s="6" t="str">
        <f>IF(AND(ISNUMBER(SEARCH("20", O3)), ISERROR(SEARCH("1920", O3))), CHAR(34)&amp;"year00"&amp;CHAR(34)&amp;",", "")</f>
        <v/>
      </c>
      <c r="DQ3" s="6" t="str">
        <f>IF(CC3="y",CHAR(34)&amp;"soviet"&amp;CHAR(34)&amp;",","")</f>
        <v/>
      </c>
      <c r="DR3" s="6" t="str">
        <f>IF(BY3="y",CHAR(34)&amp;"dgband"&amp;CHAR(34)&amp;",","")</f>
        <v/>
      </c>
      <c r="DS3" s="6" t="str">
        <f>IF(W3="y",IF(AND(V3="n",BY3&lt;&gt;"y"),CHAR(34)&amp;"allver"&amp;CHAR(34)&amp;",",""),"")</f>
        <v/>
      </c>
      <c r="DT3" s="6" t="str">
        <f>IF(V3="y",IF(AND(W3="n",BY3&lt;&gt;"y"),CHAR(34)&amp;"allhor"&amp;CHAR(34)&amp;",",""),"")</f>
        <v/>
      </c>
      <c r="DU3" s="6" t="str">
        <f>IF(BY3="y",IF(AND(W3="n",V3="n"),CHAR(34)&amp;"alldia"&amp;CHAR(34)&amp;",",""),"")</f>
        <v/>
      </c>
      <c r="DW3" s="48" t="str">
        <f>IF(CL3="y",CHAR(34)&amp;CL$1&amp;CHAR(34)&amp;",","")</f>
        <v>"NoBand",</v>
      </c>
      <c r="DX3" s="48" t="str">
        <f>IF(CM3="y",CHAR(34)&amp;CM$1&amp;CHAR(34)&amp;",","")</f>
        <v/>
      </c>
      <c r="DY3" s="48" t="str">
        <f>IF(CN3="y",CHAR(34)&amp;CN$1&amp;CHAR(34)&amp;",","")</f>
        <v/>
      </c>
      <c r="DZ3" s="48" t="str">
        <f>IF(CO3="y",CHAR(34)&amp;CO$1&amp;CHAR(34)&amp;",","")</f>
        <v/>
      </c>
      <c r="EA3" s="48" t="str">
        <f>IF(T3="y",CHAR(34)&amp;T$1&amp;CHAR(34)&amp;",","")</f>
        <v/>
      </c>
      <c r="EB3" s="48" t="str">
        <f>IF(U3="y",CHAR(34)&amp;U$1&amp;CHAR(34)&amp;",","")</f>
        <v/>
      </c>
      <c r="EC3" s="48" t="str">
        <f>IF(V3="y",CHAR(34)&amp;V$1&amp;CHAR(34)&amp;",","")</f>
        <v/>
      </c>
      <c r="ED3" s="48" t="str">
        <f>IF(W3="y",CHAR(34)&amp;W$1&amp;CHAR(34)&amp;",","")</f>
        <v/>
      </c>
      <c r="EE3" s="48" t="str">
        <f>IF(X3="y",CHAR(34)&amp;X$1&amp;CHAR(34)&amp;",","")</f>
        <v/>
      </c>
      <c r="EF3" s="48" t="str">
        <f>IF(AND(Y3&lt;&gt;"n",Y3&lt;&gt;""),CHAR(34)&amp;Y$1&amp;CHAR(34)&amp;",","")</f>
        <v/>
      </c>
      <c r="EG3" s="48" t="str">
        <f>IF(Z3="y",CHAR(34)&amp;Z$1&amp;CHAR(34)&amp;",","")</f>
        <v/>
      </c>
      <c r="EH3" s="48" t="str">
        <f>IF(AA3="y",CHAR(34)&amp;AA$1&amp;CHAR(34)&amp;",","")</f>
        <v>"Plants",</v>
      </c>
      <c r="EI3" s="48" t="str">
        <f>IF(AB3="y",CHAR(34)&amp;AB$1&amp;CHAR(34)&amp;",","")</f>
        <v/>
      </c>
      <c r="EJ3" s="48" t="str">
        <f>IF(AC3="y",CHAR(34)&amp;AC$1&amp;CHAR(34)&amp;",","")</f>
        <v/>
      </c>
      <c r="EK3" s="48" t="str">
        <f>IF(AD3="y",CHAR(34)&amp;AD$1&amp;CHAR(34)&amp;",","")</f>
        <v/>
      </c>
      <c r="EL3" s="48" t="str">
        <f>IF(AE3="y",CHAR(34)&amp;AE$1&amp;CHAR(34)&amp;",","")</f>
        <v/>
      </c>
      <c r="EM3" s="48" t="str">
        <f>IF(AF3="y",CHAR(34)&amp;AF$1&amp;CHAR(34)&amp;",","")</f>
        <v/>
      </c>
      <c r="EN3" s="48" t="str">
        <f>IF(AG3="y",CHAR(34)&amp;AG$1&amp;CHAR(34)&amp;",","")</f>
        <v/>
      </c>
      <c r="EO3" s="48" t="str">
        <f>IF(AH3="y",CHAR(34)&amp;AH$1&amp;CHAR(34)&amp;",","")</f>
        <v>"Center",</v>
      </c>
      <c r="EP3" s="48" t="str">
        <f>IF(AI3="y",CHAR(34)&amp;AI$1&amp;CHAR(34)&amp;",","")</f>
        <v/>
      </c>
      <c r="EQ3" s="48" t="str">
        <f>IF(AJ3="y",CHAR(34)&amp;AJ$1&amp;CHAR(34)&amp;",","")</f>
        <v/>
      </c>
      <c r="ER3" s="48" t="str">
        <f>IF(AK3="y",CHAR(34)&amp;AK$1&amp;CHAR(34)&amp;",","")</f>
        <v/>
      </c>
      <c r="ES3" s="48" t="str">
        <f>IF(AL3="y",CHAR(34)&amp;AL$1&amp;CHAR(34)&amp;",","")</f>
        <v/>
      </c>
      <c r="ET3" s="48" t="str">
        <f>IF(AM3="y",CHAR(34)&amp;AM$1&amp;CHAR(34)&amp;",","")</f>
        <v/>
      </c>
      <c r="EU3" s="48" t="str">
        <f>IF(AN3="y",CHAR(34)&amp;AN$1&amp;CHAR(34)&amp;",","")</f>
        <v/>
      </c>
      <c r="EV3" s="48" t="str">
        <f>IF(AO3="y",CHAR(34)&amp;AO$1&amp;CHAR(34)&amp;",","")</f>
        <v/>
      </c>
      <c r="EW3" s="48" t="str">
        <f>IF(AP3="y",CHAR(34)&amp;AP$1&amp;CHAR(34)&amp;",","")</f>
        <v/>
      </c>
      <c r="EX3" s="48" t="str">
        <f>IF(AQ3="y",CHAR(34)&amp;AQ$1&amp;CHAR(34)&amp;",","")</f>
        <v/>
      </c>
      <c r="EY3" s="48" t="str">
        <f>IF(AR3="y",CHAR(34)&amp;AR$1&amp;CHAR(34)&amp;",","")</f>
        <v/>
      </c>
      <c r="EZ3" s="48" t="str">
        <f>IF(AS3="y",CHAR(34)&amp;AS$1&amp;CHAR(34)&amp;",","")</f>
        <v/>
      </c>
      <c r="FA3" s="48" t="str">
        <f>IF(AT3&gt;0,CHAR(34)&amp;"sta"&amp;AZ3&amp;CHAR(34)&amp;",","")</f>
        <v/>
      </c>
      <c r="FB3" s="48" t="str">
        <f>IF(AND(AT3&gt;0,BA3&lt;&gt;""),CHAR(34)&amp;"sta"&amp;BA3&amp;CHAR(34)&amp;",","")</f>
        <v/>
      </c>
      <c r="FD3" s="48" t="str">
        <f>IF(BV3="n",CHAR(34)&amp;"tcWHYE"&amp;CHAR(34)&amp;",",IF(BV3="y",CHAR(34)&amp;FD$1&amp;CHAR(34)&amp;",",""))</f>
        <v/>
      </c>
      <c r="FE3" s="48" t="str">
        <f>IF(COUNTIF(BL3:BT3,"BLU")=0,CHAR(34)&amp;"NO_BLU"&amp;CHAR(34)&amp;",", "")</f>
        <v/>
      </c>
      <c r="FF3" s="48" t="str">
        <f>IF(COUNTIF(BL3:BT3,"WHI")=0,CHAR(34)&amp;"NO_WHI"&amp;CHAR(34)&amp;",", "")</f>
        <v/>
      </c>
      <c r="FG3" s="48" t="str">
        <f>IF(COUNTIF(BL3:BT3,"RED")=0,CHAR(34)&amp;"NO_RED"&amp;CHAR(34)&amp;",", "")</f>
        <v>"NO_RED",</v>
      </c>
      <c r="FH3" s="48" t="str">
        <f>IF(COUNTIF(BL3:BS3,"GRE")=0,CHAR(34)&amp;"NO_GRE"&amp;CHAR(34)&amp;",", "")</f>
        <v>"NO_GRE",</v>
      </c>
      <c r="FI3" s="48" t="str">
        <f>IF(COUNTIF(BL3:BT3,"YEL")=0,CHAR(34)&amp;"NO_YEL"&amp;CHAR(34)&amp;",", "")</f>
        <v/>
      </c>
      <c r="FJ3" s="48" t="str">
        <f>IF(COUNTIF(BL3:BT3,"BLA")=0,CHAR(34)&amp;"NO_BLA"&amp;CHAR(34)&amp;",", "")</f>
        <v>"NO_BLA",</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
      </c>
      <c r="FQ3" s="48" t="str">
        <f>IF(LEN(BF3)=3,CHAR(34)&amp;"001"&amp;BF3&amp;CHAR(34)&amp;",","")</f>
        <v/>
      </c>
      <c r="FR3" s="48" t="str">
        <f>IF(LEN(BG3)=3,CHAR(34)&amp;"002"&amp;BG3&amp;CHAR(34)&amp;",","")</f>
        <v/>
      </c>
      <c r="FS3" s="48" t="str">
        <f>IF(LEN(BH3)=3,CHAR(34)&amp;"003"&amp;BH3&amp;CHAR(34)&amp;",","")</f>
        <v/>
      </c>
      <c r="FT3" s="48" t="str">
        <f>CHAR(34)&amp;"myr"&amp;BD3&amp;CHAR(34)&amp;","</f>
        <v>"myrWHI",</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
      </c>
      <c r="GG3" s="48" t="str">
        <f>IF(BU3="y",CHAR(34)&amp;"unjack"&amp;CHAR(34)&amp;",","")</f>
        <v/>
      </c>
      <c r="GH3" s="48" t="str">
        <f>IF(CD3=1,CHAR(34)&amp;"southc"&amp;CHAR(34)&amp;",","")</f>
        <v/>
      </c>
      <c r="GI3" s="48" t="str">
        <f>IF(CE3=1,CHAR(34)&amp;"hasmap"&amp;CHAR(34)&amp;",","")</f>
        <v/>
      </c>
      <c r="GJ3" s="48" t="str">
        <f>IF(CP3="y",CHAR(34)&amp;CP$1&amp;CHAR(34)&amp;",","")</f>
        <v>"NoStar",</v>
      </c>
      <c r="GK3" s="48" t="str">
        <f>IF(GJ3="",CHAR(34)&amp;"HasSta"&amp;CHAR(34)&amp;",","")</f>
        <v/>
      </c>
      <c r="GL3" s="48" t="str">
        <f>IF(CQ3="y",CHAR(34)&amp;CQ$1&amp;CHAR(34)&amp;",","")</f>
        <v/>
      </c>
      <c r="GM3" s="48" t="str">
        <f>IF(CR3="y",CHAR(34)&amp;CR$1&amp;CHAR(34)&amp;",","")</f>
        <v/>
      </c>
      <c r="GN3" s="48" t="str">
        <f>IF(CS3="y",CHAR(34)&amp;CS$1&amp;CHAR(34)&amp;",","")</f>
        <v/>
      </c>
      <c r="GP3" s="48" t="str">
        <f>CHAR(34)&amp;AU3&amp;CHAR(34)</f>
        <v>"Capital City"</v>
      </c>
      <c r="GS3" s="48" t="str">
        <f>SUBSTITUTE("["&amp;_xlfn.CONCAT(CW3:GN3)&amp;"]",",]","]")</f>
        <v>["3Color","lets08","startW","with_w","LUELHI","NoBand","Plants","Center","NO_RED","NO_GRE","NO_BLA","myrWHI","NoStar"]</v>
      </c>
      <c r="GT3" s="48" t="str">
        <f>IF(BL3&lt;&gt;"",CHAR(34)&amp;"cl_"&amp;BL3&amp;CHAR(34)&amp;",","")</f>
        <v>"cl_WHI",</v>
      </c>
      <c r="GU3" s="48" t="str">
        <f>IF(BM3&lt;&gt;"",CHAR(34)&amp;"cl_"&amp;BM3&amp;CHAR(34)&amp;",","")</f>
        <v>"cl_BLU",</v>
      </c>
      <c r="GV3" s="48" t="str">
        <f>IF(BN3&lt;&gt;"",CHAR(34)&amp;"cl_"&amp;BN3&amp;CHAR(34)&amp;",","")</f>
        <v>"cl_YEL",</v>
      </c>
      <c r="GW3" s="48" t="str">
        <f>IF(BO3&lt;&gt;"",CHAR(34)&amp;"cl_"&amp;BO3&amp;CHAR(34)&amp;",","")</f>
        <v/>
      </c>
      <c r="GX3" s="48" t="str">
        <f>IF(BP3&lt;&gt;"",CHAR(34)&amp;"cl_"&amp;BP3&amp;CHAR(34)&amp;",","")</f>
        <v/>
      </c>
      <c r="GY3" s="48" t="str">
        <f>IF(BQ3&lt;&gt;"",CHAR(34)&amp;"cl_"&amp;BQ3&amp;CHAR(34)&amp;",","")</f>
        <v/>
      </c>
      <c r="GZ3" s="48" t="str">
        <f>IF(BR3&lt;&gt;"",CHAR(34)&amp;"cl_"&amp;BR3&amp;CHAR(34)&amp;",","")</f>
        <v/>
      </c>
      <c r="HA3" s="48" t="str">
        <f>IF(BS3&lt;&gt;"",CHAR(34)&amp;"cl_"&amp;BS3&amp;CHAR(34)&amp;",","")</f>
        <v/>
      </c>
      <c r="HB3" s="48" t="str">
        <f>IF(BT3&lt;&gt;"",CHAR(34)&amp;"cl_"&amp;BT3&amp;CHAR(34)&amp;",","")</f>
        <v/>
      </c>
      <c r="HC3" s="48" t="str">
        <f>SUBSTITUTE("["&amp;_xlfn.CONCAT(GT3:HB3)&amp;"]",",]","]")</f>
        <v>["cl_WHI","cl_BLU","cl_YEL"]</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{couname:"[NAM] Windhoek",year:"???",region:"rgn_Africa",Colors:["cl_WHI","cl_BLU","cl_YEL"],Items:["3Color","lets08","startW","with_w","LUELHI","NoBand","Plants","Center","NO_RED","NO_GRE","NO_BLA","myrWHI","NoStar"],Flag:"https://upload.wikimedia.org/wikipedia/commons/c/c0/Flag_of_Windhoek.gif",HDFlag:"https://upload.wikimedia.org/wikipedia/commons/c/c0/Flag_of_Windhoek.gif",type:"Capital City", describe: "\nThe municipal flag has a white background the municipal logo in the centre.  The logo is a stylized rendition of the Windhoek aloe (Aloe Rubrolutea) from the city’s coat of arms.   The flag has a thin golden border/fringe on all sides.", isnew:".", links: "https://www.crwflags.com/fotw/flags/na-wind.html"},</v>
      </c>
      <c r="HG3" s="73" t="str">
        <f>"{couname:"&amp;CT3&amp;(IF(HK3&lt;&gt;"",",subtype:"&amp;CHAR(34)&amp;HK3&amp;CHAR(34),""))&amp;",year:"&amp;HJ3&amp;",region:"&amp;CU3&amp;",Colors:"&amp;HC3&amp;",Items:"&amp;GS3&amp;",Flag:"&amp;CV3&amp;",HDFlag:"&amp;CHAR(34)&amp;E3&amp;CHAR(34)&amp;",type:"&amp;GP3&amp;", describe: "&amp;HI3&amp;", links: "&amp;HL3&amp;"},"</f>
        <v>{couname:"[NAM] Windhoek",year:"???",region:"rgn_Africa",Colors:["cl_WHI","cl_BLU","cl_YEL"],Items:["3Color","lets08","startW","with_w","LUELHI","NoBand","Plants","Center","NO_RED","NO_GRE","NO_BLA","myrWHI","NoStar"],Flag:"https://upload.wikimedia.org/wikipedia/commons/c/c0/Flag_of_Windhoek.gif",HDFlag:"https://upload.wikimedia.org/wikipedia/commons/c/c0/Flag_of_Windhoek.gif",type:"Capital City", describe: "\nThe municipal flag has a white background the municipal logo in the centre.  The logo is a stylized rendition of the Windhoek aloe (Aloe Rubrolutea) from the city’s coat of arms.   The flag has a thin golden border/fringe on all sides.", links: "https://www.crwflags.com/fotw/flags/na-wind.html"},</v>
      </c>
      <c r="HH3" s="48" t="str">
        <f>IF(P3&lt;&gt;"",CHAR(34)&amp;"\n"&amp;P3&amp;CHAR(34),CHAR(34)&amp;CHAR(34))</f>
        <v>"\nThe municipal flag has a white background the municipal logo in the centre.  The logo is a stylized rendition of the Windhoek aloe (Aloe Rubrolutea) from the city’s coat of arms.   The flag has a thin golden border/fringe on all sides."</v>
      </c>
      <c r="HI3" s="48" t="str">
        <f>IF(J3=0,CHAR(34)&amp;CHAR(34),HH3)</f>
        <v>"\nThe municipal flag has a white background the municipal logo in the centre.  The logo is a stylized rendition of the Windhoek aloe (Aloe Rubrolutea) from the city’s coat of arms.   The flag has a thin golden border/fringe on all sides."</v>
      </c>
      <c r="HJ3" s="48" t="str">
        <f>CHAR(34)&amp;O3&amp;CHAR(34)</f>
        <v>"???"</v>
      </c>
      <c r="HL3" s="48" t="str">
        <f>CHAR(34)&amp;I3&amp;CHAR(34)</f>
        <v>"https://www.crwflags.com/fotw/flags/na-wind.html"</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{"couname":"[NAM] Windhoek","year":"???","region":"rgn_Africa","Colors":["cl_WHI","cl_BLU","cl_YEL"],"Items":["3Color","lets08","startW","with_w","LUELHI","NoBand","Plants","Center","NO_RED","NO_GRE","NO_BLA","myrWHI","NoStar"],"Flag":"https://upload.wikimedia.org/wikipedia/commons/c/c0/Flag_of_Windhoek.gif","HDFlag":"https://upload.wikimedia.org/wikipedia/commons/c/c0/Flag_of_Windhoek.gif","type":"Capital City", "describe": "\nThe municipal flag has a white background the municipal logo in the centre.  The logo is a stylized rendition of the Windhoek aloe (Aloe Rubrolutea) from the city’s coat of arms.   The flag has a thin golden border/fringe on all sides.", "isnew": ".", "links": "https://www.crwflags.com/fotw/flags/na-wind.html"},</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{"couname":"[NAM] Windhoek","year":"???","region":"rgn_Africa","Colors":["cl_WHI","cl_BLU","cl_YEL"],"Items":["3Color","lets08","startW","with_w","LUELHI","NoBand","Plants","Center","NO_RED","NO_GRE","NO_BLA","myrWHI","NoStar"],"Flag":"https://upload.wikimedia.org/wikipedia/commons/c/c0/Flag_of_Windhoek.gif","HDFlag":"https://upload.wikimedia.org/wikipedia/commons/c/c0/Flag_of_Windhoek.gif","type":"Capital City", "describe": "\nThe municipal flag has a white background the municipal logo in the centre.  The logo is a stylized rendition of the Windhoek aloe (Aloe Rubrolutea) from the city’s coat of arms.   The flag has a thin golden border/fringe on all sides.", "isnew": ".", "links": "https://www.crwflags.com/fotw/flags/na-wind.html"},</v>
      </c>
      <c r="HO3" s="75">
        <v>45644</v>
      </c>
      <c r="HP3" s="48" t="str" cm="1">
        <f t="array" ref="HP3">IF(_xlfn.TEXTJOIN(", ", TRUE, IF(ISNUMBER(SEARCH("BLA", BL3:BT3)), COLUMN(BL3:BT3) - COLUMN(BL3) + 1, ""))&lt;&gt;"","BLA","")</f>
        <v/>
      </c>
      <c r="HQ3" s="48" t="str" cm="1">
        <f t="array" ref="HQ3">IF(_xlfn.TEXTJOIN(", ", TRUE, IF(ISNUMBER(SEARCH("BLU", BL3:BT3)), COLUMN(BL3:BT3) - COLUMN(BL3) + 1, ""))&lt;&gt;"","BLU","")</f>
        <v>BLU</v>
      </c>
      <c r="HR3" s="48" t="str" cm="1">
        <f t="array" ref="HR3">IF(_xlfn.TEXTJOIN(", ", TRUE, IF(ISNUMBER(SEARCH("GRE", BL3:BT3)), COLUMN(BL3:BT3) - COLUMN(BL3) + 1, ""))&lt;&gt;"","GRE","")</f>
        <v/>
      </c>
      <c r="HS3" s="48" t="str" cm="1">
        <f t="array" ref="HS3">IF(_xlfn.TEXTJOIN(", ", TRUE, IF(ISNUMBER(SEARCH("RED", BL3:BT3)), COLUMN(BL3:BT3) - COLUMN(BL3) + 1, ""))&lt;&gt;"","RED","")</f>
        <v/>
      </c>
      <c r="HT3" s="48" t="str" cm="1">
        <f t="array" ref="HT3">IF(_xlfn.TEXTJOIN(", ", TRUE, IF(ISNUMBER(SEARCH("YEL", BL3:BT3)), COLUMN(BL3:BT3) - COLUMN(BL3) + 1, ""))&lt;&gt;"","YEL","")</f>
        <v>YEL</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M3" s="45">
        <f>COUNTIF(IC3:IK3,"&gt;0")-CG3</f>
        <v>-3</v>
      </c>
      <c r="IN3" s="78" t="str">
        <f>"http://mkweb.bcgsc.ca/color-summarizer/?url="&amp;D3&amp;"&amp;precision=low&amp;num_clusters="&amp;CG3&amp;"&amp;text=1"</f>
        <v>http://mkweb.bcgsc.ca/color-summarizer/?url=https://upload.wikimedia.org/wikipedia/commons/c/c0/Flag_of_Windhoek.gif&amp;precision=low&amp;num_clusters=3&amp;text=1</v>
      </c>
      <c r="IO3" s="48" t="str">
        <f>IF(HP3&lt;&gt;"",CHAR(34)&amp;"black"&amp;CHAR(34),"")</f>
        <v/>
      </c>
      <c r="IP3" s="48" t="str">
        <f>IF(HQ3&lt;&gt;"",CHAR(34)&amp;"blue"&amp;CHAR(34),"")</f>
        <v>"blue"</v>
      </c>
      <c r="IQ3" s="48" t="str">
        <f>IF(HR3&lt;&gt;"",CHAR(34)&amp;"green"&amp;CHAR(34),"")</f>
        <v/>
      </c>
      <c r="IR3" s="48" t="str">
        <f>IF(HS3&lt;&gt;"",CHAR(34)&amp;"red"&amp;CHAR(34),"")</f>
        <v/>
      </c>
      <c r="IS3" s="48" t="str">
        <f>IF(HT3&lt;&gt;"",CHAR(34)&amp;"yellow"&amp;CHAR(34),"")</f>
        <v>"yellow"</v>
      </c>
      <c r="IT3" s="48" t="str">
        <f>IF(HU3&lt;&gt;"",CHAR(34)&amp;"orange"&amp;CHAR(34),"")</f>
        <v/>
      </c>
      <c r="IU3" s="48" t="str">
        <f>IF(HV3&lt;&gt;"",CHAR(34)&amp;"brown"&amp;CHAR(34),"")</f>
        <v/>
      </c>
      <c r="IV3" s="48" t="str">
        <f>IF(HW3&lt;&gt;"",CHAR(34)&amp;"purple"&amp;CHAR(34),"")</f>
        <v/>
      </c>
      <c r="IW3" s="48" t="str">
        <f>IF(HX3&lt;&gt;"",CHAR(34)&amp;"white"&amp;CHAR(34),"")</f>
        <v>"white"</v>
      </c>
      <c r="IX3" s="48" t="str">
        <f>"{"&amp;CHAR(34)&amp;"url"&amp;CHAR(34)&amp;":"&amp;CHAR(34)&amp;IN3&amp;CHAR(34)&amp;","&amp;CHAR(34)&amp;"name"&amp;CHAR(34)&amp;":"&amp;CHAR(34)&amp;A3&amp;CHAR(34)&amp;"},"</f>
        <v>{"url":"http://mkweb.bcgsc.ca/color-summarizer/?url=https://upload.wikimedia.org/wikipedia/commons/c/c0/Flag_of_Windhoek.gif&amp;precision=low&amp;num_clusters=3&amp;text=1","name":"[NAM] Windhoek"},</v>
      </c>
      <c r="IY3" s="48">
        <v>1503</v>
      </c>
    </row>
    <row r="4" spans="1:259" ht="38.4" customHeight="1" x14ac:dyDescent="0.3">
      <c r="F4" s="82"/>
      <c r="G4" s="82"/>
      <c r="H4" s="82"/>
      <c r="I4" s="82"/>
      <c r="J4" s="82"/>
      <c r="K4" s="82"/>
    </row>
    <row r="5" spans="1:259" ht="38.4" customHeight="1" x14ac:dyDescent="0.3">
      <c r="F5" s="82"/>
      <c r="G5" s="82"/>
      <c r="H5" s="82"/>
      <c r="I5" s="82"/>
      <c r="J5" s="82"/>
      <c r="K5" s="82"/>
    </row>
  </sheetData>
  <autoFilter ref="A1:IY1" xr:uid="{A1051193-A95B-4CFB-A73C-F0184620C81F}">
    <sortState xmlns:xlrd2="http://schemas.microsoft.com/office/spreadsheetml/2017/richdata2" ref="A2:IY5">
      <sortCondition ref="AW1"/>
    </sortState>
  </autoFilter>
  <conditionalFormatting sqref="H1 CW1:GS1 IA1:IB1">
    <cfRule type="cellIs" dxfId="3224" priority="118" operator="greaterThan">
      <formula>0</formula>
    </cfRule>
  </conditionalFormatting>
  <conditionalFormatting sqref="H1 H6:H1048576">
    <cfRule type="cellIs" dxfId="3223" priority="84" stopIfTrue="1" operator="notEqual">
      <formula>""</formula>
    </cfRule>
  </conditionalFormatting>
  <conditionalFormatting sqref="T1:BK1">
    <cfRule type="cellIs" dxfId="3222" priority="121" operator="greaterThan">
      <formula>0</formula>
    </cfRule>
  </conditionalFormatting>
  <conditionalFormatting sqref="BV1:BW1 BV4:BW1048576">
    <cfRule type="cellIs" dxfId="3221" priority="120" operator="equal">
      <formula>"nc"</formula>
    </cfRule>
  </conditionalFormatting>
  <conditionalFormatting sqref="HF1:HG1">
    <cfRule type="cellIs" dxfId="3220" priority="122" operator="greaterThan">
      <formula>0</formula>
    </cfRule>
  </conditionalFormatting>
  <conditionalFormatting sqref="HK1">
    <cfRule type="cellIs" dxfId="3219" priority="119" operator="greaterThan">
      <formula>0</formula>
    </cfRule>
  </conditionalFormatting>
  <conditionalFormatting sqref="HP1:HX1">
    <cfRule type="cellIs" dxfId="3218" priority="96" operator="equal">
      <formula>"PIN"</formula>
    </cfRule>
    <cfRule type="cellIs" dxfId="3217" priority="97" operator="equal">
      <formula>"ORA"</formula>
    </cfRule>
    <cfRule type="cellIs" dxfId="3216" priority="98" operator="equal">
      <formula>"GRA"</formula>
    </cfRule>
    <cfRule type="cellIs" dxfId="3215" priority="99" operator="equal">
      <formula>"PUR"</formula>
    </cfRule>
    <cfRule type="cellIs" dxfId="3214" priority="100" operator="equal">
      <formula>"BRO"</formula>
    </cfRule>
    <cfRule type="cellIs" dxfId="3213" priority="101" operator="equal">
      <formula>"YEL"</formula>
    </cfRule>
    <cfRule type="cellIs" dxfId="3212" priority="102" operator="equal">
      <formula>"BLU"</formula>
    </cfRule>
    <cfRule type="cellIs" dxfId="3211" priority="103" operator="equal">
      <formula>"WHI"</formula>
    </cfRule>
    <cfRule type="cellIs" dxfId="3210" priority="104" operator="equal">
      <formula>"GRE"</formula>
    </cfRule>
    <cfRule type="cellIs" dxfId="3209" priority="105" operator="equal">
      <formula>"RED"</formula>
    </cfRule>
    <cfRule type="cellIs" dxfId="3208" priority="106" operator="equal">
      <formula>"BLA"</formula>
    </cfRule>
  </conditionalFormatting>
  <conditionalFormatting sqref="IC1:IK1">
    <cfRule type="cellIs" dxfId="3207" priority="107" operator="equal">
      <formula>"PIN"</formula>
    </cfRule>
    <cfRule type="cellIs" dxfId="3206" priority="108" operator="equal">
      <formula>"ORA"</formula>
    </cfRule>
    <cfRule type="cellIs" dxfId="3205" priority="109" operator="equal">
      <formula>"GRA"</formula>
    </cfRule>
    <cfRule type="cellIs" dxfId="3204" priority="110" operator="equal">
      <formula>"PUR"</formula>
    </cfRule>
    <cfRule type="cellIs" dxfId="3203" priority="111" operator="equal">
      <formula>"BRO"</formula>
    </cfRule>
    <cfRule type="cellIs" dxfId="3202" priority="112" operator="equal">
      <formula>"YEL"</formula>
    </cfRule>
    <cfRule type="cellIs" dxfId="3201" priority="113" operator="equal">
      <formula>"BLU"</formula>
    </cfRule>
    <cfRule type="cellIs" dxfId="3200" priority="114" operator="equal">
      <formula>"WHI"</formula>
    </cfRule>
    <cfRule type="cellIs" dxfId="3199" priority="115" operator="equal">
      <formula>"GRE"</formula>
    </cfRule>
    <cfRule type="cellIs" dxfId="3198" priority="116" operator="equal">
      <formula>"RED"</formula>
    </cfRule>
    <cfRule type="cellIs" dxfId="3197" priority="117" operator="equal">
      <formula>"BLA"</formula>
    </cfRule>
  </conditionalFormatting>
  <conditionalFormatting sqref="IO1:IW1">
    <cfRule type="cellIs" dxfId="3196" priority="85" operator="equal">
      <formula>"PIN"</formula>
    </cfRule>
    <cfRule type="cellIs" dxfId="3195" priority="86" operator="equal">
      <formula>"ORA"</formula>
    </cfRule>
    <cfRule type="cellIs" dxfId="3194" priority="87" operator="equal">
      <formula>"GRA"</formula>
    </cfRule>
    <cfRule type="cellIs" dxfId="3193" priority="88" operator="equal">
      <formula>"PUR"</formula>
    </cfRule>
    <cfRule type="cellIs" dxfId="3192" priority="89" operator="equal">
      <formula>"BRO"</formula>
    </cfRule>
    <cfRule type="cellIs" dxfId="3191" priority="90" operator="equal">
      <formula>"YEL"</formula>
    </cfRule>
    <cfRule type="cellIs" dxfId="3190" priority="91" operator="equal">
      <formula>"BLU"</formula>
    </cfRule>
    <cfRule type="cellIs" dxfId="3189" priority="92" operator="equal">
      <formula>"WHI"</formula>
    </cfRule>
    <cfRule type="cellIs" dxfId="3188" priority="93" operator="equal">
      <formula>"GRE"</formula>
    </cfRule>
    <cfRule type="cellIs" dxfId="3187" priority="94" operator="equal">
      <formula>"RED"</formula>
    </cfRule>
    <cfRule type="cellIs" dxfId="3186" priority="95" operator="equal">
      <formula>"BLA"</formula>
    </cfRule>
  </conditionalFormatting>
  <conditionalFormatting sqref="H2">
    <cfRule type="cellIs" dxfId="3185" priority="77" stopIfTrue="1" operator="notEqual">
      <formula>""</formula>
    </cfRule>
  </conditionalFormatting>
  <conditionalFormatting sqref="R2 CU2">
    <cfRule type="cellIs" dxfId="3184" priority="79" operator="greaterThan">
      <formula>0</formula>
    </cfRule>
  </conditionalFormatting>
  <conditionalFormatting sqref="T2:AS2 CH2:CS2">
    <cfRule type="cellIs" dxfId="3183" priority="74" stopIfTrue="1" operator="equal">
      <formula>"n"</formula>
    </cfRule>
    <cfRule type="cellIs" dxfId="3182" priority="75" stopIfTrue="1" operator="equal">
      <formula>"y"</formula>
    </cfRule>
    <cfRule type="cellIs" dxfId="3181" priority="76" operator="greaterThan">
      <formula>0</formula>
    </cfRule>
  </conditionalFormatting>
  <conditionalFormatting sqref="AZ2:BB2">
    <cfRule type="expression" dxfId="3180" priority="61">
      <formula>$AT2=0</formula>
    </cfRule>
  </conditionalFormatting>
  <conditionalFormatting sqref="AZ2:BU2">
    <cfRule type="cellIs" dxfId="3179" priority="62" operator="equal">
      <formula>"PIN"</formula>
    </cfRule>
    <cfRule type="cellIs" dxfId="3178" priority="63" operator="equal">
      <formula>"ORA"</formula>
    </cfRule>
    <cfRule type="cellIs" dxfId="3177" priority="64" operator="equal">
      <formula>"GRA"</formula>
    </cfRule>
    <cfRule type="cellIs" dxfId="3176" priority="65" operator="equal">
      <formula>"PUR"</formula>
    </cfRule>
    <cfRule type="cellIs" dxfId="3175" priority="66" operator="equal">
      <formula>"BRO"</formula>
    </cfRule>
    <cfRule type="cellIs" dxfId="3174" priority="67" operator="equal">
      <formula>"YEL"</formula>
    </cfRule>
    <cfRule type="cellIs" dxfId="3173" priority="68" operator="equal">
      <formula>"BLU"</formula>
    </cfRule>
    <cfRule type="cellIs" dxfId="3172" priority="69" operator="equal">
      <formula>"WHI"</formula>
    </cfRule>
    <cfRule type="cellIs" dxfId="3171" priority="70" operator="equal">
      <formula>"GRE"</formula>
    </cfRule>
    <cfRule type="cellIs" dxfId="3170" priority="71" operator="equal">
      <formula>"RED"</formula>
    </cfRule>
    <cfRule type="cellIs" dxfId="3169" priority="72" operator="equal">
      <formula>"BLA"</formula>
    </cfRule>
  </conditionalFormatting>
  <conditionalFormatting sqref="BV2">
    <cfRule type="cellIs" dxfId="3168" priority="78" operator="equal">
      <formula>"nc"</formula>
    </cfRule>
  </conditionalFormatting>
  <conditionalFormatting sqref="CD2:CF2 BZ2:CA2">
    <cfRule type="cellIs" dxfId="3167" priority="73" operator="greaterThan">
      <formula>0</formula>
    </cfRule>
  </conditionalFormatting>
  <conditionalFormatting sqref="IC2:IK2">
    <cfRule type="expression" dxfId="3166" priority="60">
      <formula>$IL2&gt;0</formula>
    </cfRule>
  </conditionalFormatting>
  <conditionalFormatting sqref="BX2:CA2 CD2:CF2">
    <cfRule type="cellIs" dxfId="3165" priority="48" operator="equal">
      <formula>"y"</formula>
    </cfRule>
    <cfRule type="cellIs" dxfId="3164" priority="49" operator="equal">
      <formula>"PIN"</formula>
    </cfRule>
    <cfRule type="cellIs" dxfId="3163" priority="50" operator="equal">
      <formula>"ORA"</formula>
    </cfRule>
    <cfRule type="cellIs" dxfId="3162" priority="51" operator="equal">
      <formula>"GRA"</formula>
    </cfRule>
    <cfRule type="cellIs" dxfId="3161" priority="52" operator="equal">
      <formula>"PUR"</formula>
    </cfRule>
    <cfRule type="cellIs" dxfId="3160" priority="53" operator="equal">
      <formula>"BRO"</formula>
    </cfRule>
    <cfRule type="cellIs" dxfId="3159" priority="54" operator="equal">
      <formula>"YEL"</formula>
    </cfRule>
    <cfRule type="cellIs" dxfId="3158" priority="55" operator="equal">
      <formula>"BLU"</formula>
    </cfRule>
    <cfRule type="cellIs" dxfId="3157" priority="56" operator="equal">
      <formula>"WHI"</formula>
    </cfRule>
    <cfRule type="cellIs" dxfId="3156" priority="57" operator="equal">
      <formula>"GRE"</formula>
    </cfRule>
    <cfRule type="cellIs" dxfId="3155" priority="58" operator="equal">
      <formula>"RED"</formula>
    </cfRule>
    <cfRule type="cellIs" dxfId="3154" priority="59" operator="equal">
      <formula>"BLA"</formula>
    </cfRule>
  </conditionalFormatting>
  <conditionalFormatting sqref="J2">
    <cfRule type="colorScale" priority="80">
      <colorScale>
        <cfvo type="min"/>
        <cfvo type="percentile" val="50"/>
        <cfvo type="max"/>
        <color rgb="FFF8696B"/>
        <color rgb="FFFFEB84"/>
        <color rgb="FF63BE7B"/>
      </colorScale>
    </cfRule>
  </conditionalFormatting>
  <conditionalFormatting sqref="S2">
    <cfRule type="colorScale" priority="81">
      <colorScale>
        <cfvo type="min"/>
        <cfvo type="max"/>
        <color rgb="FFFCFCFF"/>
        <color rgb="FF754BFB"/>
      </colorScale>
    </cfRule>
  </conditionalFormatting>
  <conditionalFormatting sqref="AT2">
    <cfRule type="colorScale" priority="82">
      <colorScale>
        <cfvo type="min"/>
        <cfvo type="max"/>
        <color rgb="FFFCFCFF"/>
        <color theme="8" tint="0.39997558519241921"/>
      </colorScale>
    </cfRule>
  </conditionalFormatting>
  <conditionalFormatting sqref="CG2">
    <cfRule type="colorScale" priority="83">
      <colorScale>
        <cfvo type="min"/>
        <cfvo type="max"/>
        <color rgb="FFFCFCFF"/>
        <color rgb="FF63BE7B"/>
      </colorScale>
    </cfRule>
  </conditionalFormatting>
  <conditionalFormatting sqref="H3">
    <cfRule type="cellIs" dxfId="3153" priority="40" stopIfTrue="1" operator="notEqual">
      <formula>""</formula>
    </cfRule>
  </conditionalFormatting>
  <conditionalFormatting sqref="R3 CU3">
    <cfRule type="cellIs" dxfId="3152" priority="43" operator="greaterThan">
      <formula>0</formula>
    </cfRule>
  </conditionalFormatting>
  <conditionalFormatting sqref="T3:AS3 CH3:CS3">
    <cfRule type="cellIs" dxfId="3151" priority="37" stopIfTrue="1" operator="equal">
      <formula>"n"</formula>
    </cfRule>
    <cfRule type="cellIs" dxfId="3150" priority="38" stopIfTrue="1" operator="equal">
      <formula>"y"</formula>
    </cfRule>
    <cfRule type="cellIs" dxfId="3149" priority="39" operator="greaterThan">
      <formula>0</formula>
    </cfRule>
  </conditionalFormatting>
  <conditionalFormatting sqref="AZ3:BB3">
    <cfRule type="expression" dxfId="3148" priority="24">
      <formula>$AT3=0</formula>
    </cfRule>
  </conditionalFormatting>
  <conditionalFormatting sqref="CD3:CF3 BX3:CA3 AZ3:BU3">
    <cfRule type="cellIs" dxfId="3147" priority="25" operator="equal">
      <formula>"PIN"</formula>
    </cfRule>
    <cfRule type="cellIs" dxfId="3146" priority="26" operator="equal">
      <formula>"ORA"</formula>
    </cfRule>
    <cfRule type="cellIs" dxfId="3145" priority="27" operator="equal">
      <formula>"GRA"</formula>
    </cfRule>
    <cfRule type="cellIs" dxfId="3144" priority="28" operator="equal">
      <formula>"PUR"</formula>
    </cfRule>
    <cfRule type="cellIs" dxfId="3143" priority="29" operator="equal">
      <formula>"BRO"</formula>
    </cfRule>
    <cfRule type="cellIs" dxfId="3142" priority="30" operator="equal">
      <formula>"YEL"</formula>
    </cfRule>
    <cfRule type="cellIs" dxfId="3141" priority="31" operator="equal">
      <formula>"BLU"</formula>
    </cfRule>
    <cfRule type="cellIs" dxfId="3140" priority="32" operator="equal">
      <formula>"WHI"</formula>
    </cfRule>
    <cfRule type="cellIs" dxfId="3139" priority="33" operator="equal">
      <formula>"GRE"</formula>
    </cfRule>
    <cfRule type="cellIs" dxfId="3138" priority="34" operator="equal">
      <formula>"RED"</formula>
    </cfRule>
    <cfRule type="cellIs" dxfId="3137" priority="35" operator="equal">
      <formula>"BLA"</formula>
    </cfRule>
  </conditionalFormatting>
  <conditionalFormatting sqref="BV3">
    <cfRule type="cellIs" dxfId="3136" priority="42" operator="equal">
      <formula>"nc"</formula>
    </cfRule>
  </conditionalFormatting>
  <conditionalFormatting sqref="CD3:CF3 BX3:CA3">
    <cfRule type="cellIs" dxfId="3135" priority="41" operator="equal">
      <formula>"y"</formula>
    </cfRule>
  </conditionalFormatting>
  <conditionalFormatting sqref="CD3:CF3 BZ3:CA3">
    <cfRule type="cellIs" dxfId="3134" priority="36" operator="greaterThan">
      <formula>0</formula>
    </cfRule>
  </conditionalFormatting>
  <conditionalFormatting sqref="IC3:IK3">
    <cfRule type="expression" dxfId="3133" priority="23">
      <formula>$IL3&gt;0</formula>
    </cfRule>
  </conditionalFormatting>
  <conditionalFormatting sqref="IC3">
    <cfRule type="cellIs" dxfId="3132" priority="17" stopIfTrue="1" operator="greaterThan">
      <formula>0</formula>
    </cfRule>
  </conditionalFormatting>
  <conditionalFormatting sqref="ID3">
    <cfRule type="cellIs" dxfId="3131" priority="15" stopIfTrue="1" operator="greaterThan">
      <formula>0</formula>
    </cfRule>
  </conditionalFormatting>
  <conditionalFormatting sqref="II3 IE3:IF3">
    <cfRule type="cellIs" dxfId="3130" priority="22" operator="greaterThan">
      <formula>0</formula>
    </cfRule>
  </conditionalFormatting>
  <conditionalFormatting sqref="II3 IF3">
    <cfRule type="cellIs" dxfId="3129" priority="16" stopIfTrue="1" operator="greaterThan">
      <formula>0</formula>
    </cfRule>
  </conditionalFormatting>
  <conditionalFormatting sqref="IG3">
    <cfRule type="cellIs" dxfId="3128" priority="21" operator="greaterThan">
      <formula>0</formula>
    </cfRule>
  </conditionalFormatting>
  <conditionalFormatting sqref="IH3:II3">
    <cfRule type="cellIs" dxfId="3127" priority="20" operator="greaterThan">
      <formula>0</formula>
    </cfRule>
  </conditionalFormatting>
  <conditionalFormatting sqref="IJ3">
    <cfRule type="cellIs" dxfId="3126" priority="19" operator="greaterThan">
      <formula>0</formula>
    </cfRule>
  </conditionalFormatting>
  <conditionalFormatting sqref="IK3">
    <cfRule type="cellIs" dxfId="3125" priority="18" operator="greaterThan">
      <formula>0</formula>
    </cfRule>
  </conditionalFormatting>
  <conditionalFormatting sqref="IF3">
    <cfRule type="cellIs" dxfId="3124" priority="14" stopIfTrue="1" operator="greaterThan">
      <formula>0</formula>
    </cfRule>
  </conditionalFormatting>
  <conditionalFormatting sqref="IM3">
    <cfRule type="cellIs" dxfId="3123" priority="13" operator="equal">
      <formula>0</formula>
    </cfRule>
  </conditionalFormatting>
  <conditionalFormatting sqref="BX3:CA3 CD3:CF3">
    <cfRule type="cellIs" dxfId="3122" priority="1" operator="equal">
      <formula>"y"</formula>
    </cfRule>
    <cfRule type="cellIs" dxfId="3121" priority="2" operator="equal">
      <formula>"PIN"</formula>
    </cfRule>
    <cfRule type="cellIs" dxfId="3120" priority="3" operator="equal">
      <formula>"ORA"</formula>
    </cfRule>
    <cfRule type="cellIs" dxfId="3119" priority="4" operator="equal">
      <formula>"GRA"</formula>
    </cfRule>
    <cfRule type="cellIs" dxfId="3118" priority="5" operator="equal">
      <formula>"PUR"</formula>
    </cfRule>
    <cfRule type="cellIs" dxfId="3117" priority="6" operator="equal">
      <formula>"BRO"</formula>
    </cfRule>
    <cfRule type="cellIs" dxfId="3116" priority="7" operator="equal">
      <formula>"YEL"</formula>
    </cfRule>
    <cfRule type="cellIs" dxfId="3115" priority="8" operator="equal">
      <formula>"BLU"</formula>
    </cfRule>
    <cfRule type="cellIs" dxfId="3114" priority="9" operator="equal">
      <formula>"WHI"</formula>
    </cfRule>
    <cfRule type="cellIs" dxfId="3113" priority="10" operator="equal">
      <formula>"GRE"</formula>
    </cfRule>
    <cfRule type="cellIs" dxfId="3112" priority="11" operator="equal">
      <formula>"RED"</formula>
    </cfRule>
    <cfRule type="cellIs" dxfId="3111" priority="12" operator="equal">
      <formula>"BLA"</formula>
    </cfRule>
  </conditionalFormatting>
  <conditionalFormatting sqref="AT3">
    <cfRule type="colorScale" priority="44">
      <colorScale>
        <cfvo type="min"/>
        <cfvo type="max"/>
        <color rgb="FFFCFCFF"/>
        <color theme="8" tint="0.39997558519241921"/>
      </colorScale>
    </cfRule>
  </conditionalFormatting>
  <conditionalFormatting sqref="S3">
    <cfRule type="colorScale" priority="45">
      <colorScale>
        <cfvo type="min"/>
        <cfvo type="max"/>
        <color rgb="FFFCFCFF"/>
        <color rgb="FF754BFB"/>
      </colorScale>
    </cfRule>
  </conditionalFormatting>
  <conditionalFormatting sqref="J3">
    <cfRule type="colorScale" priority="46">
      <colorScale>
        <cfvo type="min"/>
        <cfvo type="percentile" val="50"/>
        <cfvo type="max"/>
        <color rgb="FFF8696B"/>
        <color rgb="FFFFEB84"/>
        <color rgb="FF63BE7B"/>
      </colorScale>
    </cfRule>
  </conditionalFormatting>
  <conditionalFormatting sqref="CG3">
    <cfRule type="colorScale" priority="47">
      <colorScale>
        <cfvo type="min"/>
        <cfvo type="max"/>
        <color rgb="FFFCFCFF"/>
        <color rgb="FF63BE7B"/>
      </colorScale>
    </cfRule>
  </conditionalFormatting>
  <hyperlinks>
    <hyperlink ref="A2" r:id="rId1" display="https://fbref.com/en/country/NAM/Namibia-Football" xr:uid="{1199263D-9563-4B0D-8510-0939885758C2}"/>
    <hyperlink ref="E2" r:id="rId2" xr:uid="{0A11BE1E-1204-48B7-8CE7-312A1FE12E1C}"/>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53249" r:id="rId6"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53250" r:id="rId7"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53251" r:id="rId8"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02AC51-8BA0-4A4D-9C00-DFDBE9534D93}">
  <sheetPr codeName="Sheet66"/>
  <dimension ref="A1:IY11"/>
  <sheetViews>
    <sheetView zoomScale="70" zoomScaleNormal="70" workbookViewId="0">
      <pane xSplit="5" ySplit="1" topLeftCell="F2" activePane="bottomRight" state="frozen"/>
      <selection pane="topRight" activeCell="F1" sqref="F1"/>
      <selection pane="bottomLeft" activeCell="A2" sqref="A2"/>
      <selection pane="bottomRight" activeCell="M3" sqref="M3"/>
    </sheetView>
  </sheetViews>
  <sheetFormatPr defaultRowHeight="38.4" customHeight="1" x14ac:dyDescent="0.3"/>
  <cols>
    <col min="1" max="1" width="52.44140625" style="81" bestFit="1" customWidth="1"/>
    <col min="2" max="2" width="10.109375" style="81" customWidth="1"/>
    <col min="3" max="3" width="7.44140625" style="82" customWidth="1"/>
    <col min="4" max="4" width="4.77734375" style="83" customWidth="1"/>
    <col min="5" max="5" width="4.5546875" style="83" customWidth="1"/>
    <col min="6" max="6" width="5.77734375" style="83" customWidth="1"/>
    <col min="7" max="7" width="7.44140625" style="81" customWidth="1"/>
    <col min="8" max="8" width="11.44140625" style="81" customWidth="1"/>
    <col min="9" max="9" width="10" style="81" customWidth="1"/>
    <col min="10" max="10" width="4.21875" style="81" customWidth="1"/>
    <col min="11" max="11" width="5.6640625" style="83" customWidth="1"/>
    <col min="12" max="12" width="2.88671875" style="83" customWidth="1"/>
    <col min="13" max="13" width="6.44140625" style="83" customWidth="1"/>
    <col min="14" max="14" width="4.5546875" style="83" customWidth="1"/>
    <col min="15" max="15" width="10.5546875" style="84" customWidth="1"/>
    <col min="16" max="16" width="6.88671875" style="83" customWidth="1"/>
    <col min="17" max="17" width="4.77734375" style="83" customWidth="1"/>
    <col min="18" max="18" width="13.109375" style="82" customWidth="1"/>
    <col min="19" max="19" width="6.77734375" style="82" customWidth="1"/>
    <col min="20" max="46" width="8.44140625" style="81" customWidth="1"/>
    <col min="47" max="47" width="24.5546875" style="81" customWidth="1"/>
    <col min="48" max="51" width="16.6640625" style="81" customWidth="1"/>
    <col min="52" max="52" width="6.5546875" style="81" customWidth="1"/>
    <col min="53" max="54" width="5.88671875" style="81" customWidth="1"/>
    <col min="55" max="55" width="1.33203125" style="81" customWidth="1"/>
    <col min="56" max="56" width="7.44140625" style="81" customWidth="1"/>
    <col min="57" max="57" width="2.33203125" style="81" customWidth="1"/>
    <col min="58" max="62" width="6.109375" style="81" customWidth="1"/>
    <col min="63" max="63" width="2.33203125" style="81" customWidth="1"/>
    <col min="64" max="64" width="7" style="81" bestFit="1" customWidth="1"/>
    <col min="65" max="65" width="6.44140625" style="81" bestFit="1" customWidth="1"/>
    <col min="66" max="66" width="7.109375" style="81" bestFit="1" customWidth="1"/>
    <col min="67" max="71" width="6.44140625" style="81" bestFit="1" customWidth="1"/>
    <col min="72" max="73" width="6.44140625" style="81" customWidth="1"/>
    <col min="74" max="75" width="13.44140625" style="81" customWidth="1"/>
    <col min="76" max="84" width="14.6640625" style="81" customWidth="1"/>
    <col min="85" max="85" width="6.44140625" style="81" customWidth="1"/>
    <col min="86" max="87" width="11.6640625" style="81" bestFit="1" customWidth="1"/>
    <col min="88" max="88" width="11.6640625" style="81" customWidth="1"/>
    <col min="89" max="89" width="12.77734375" style="81" bestFit="1" customWidth="1"/>
    <col min="90" max="90" width="16.44140625" style="82" bestFit="1" customWidth="1"/>
    <col min="91" max="92" width="14.88671875" style="82" bestFit="1" customWidth="1"/>
    <col min="93" max="93" width="16" style="82" bestFit="1" customWidth="1"/>
    <col min="94" max="97" width="7.77734375" style="81" customWidth="1"/>
    <col min="98" max="98" width="33.21875" style="81" customWidth="1"/>
    <col min="99" max="99" width="18" style="81" customWidth="1"/>
    <col min="100" max="100" width="75.6640625" style="81" customWidth="1"/>
    <col min="101" max="125" width="33" style="81" customWidth="1"/>
    <col min="126" max="126" width="8.88671875" style="81"/>
    <col min="127" max="128" width="9.44140625" style="81" bestFit="1" customWidth="1"/>
    <col min="129" max="129" width="10.77734375" style="81" bestFit="1" customWidth="1"/>
    <col min="130" max="134" width="10.77734375" style="81" customWidth="1"/>
    <col min="135" max="135" width="10.109375" style="81" bestFit="1" customWidth="1"/>
    <col min="136" max="136" width="7.77734375" style="81" bestFit="1" customWidth="1"/>
    <col min="137" max="137" width="7.77734375" style="81" customWidth="1"/>
    <col min="138" max="138" width="9" style="81" bestFit="1" customWidth="1"/>
    <col min="139" max="139" width="11.33203125" style="81" bestFit="1" customWidth="1"/>
    <col min="140" max="140" width="9.109375" style="81" bestFit="1" customWidth="1"/>
    <col min="141" max="141" width="9" style="81" bestFit="1" customWidth="1"/>
    <col min="142" max="142" width="12" style="81" bestFit="1" customWidth="1"/>
    <col min="143" max="166" width="12" style="81" customWidth="1"/>
    <col min="167" max="167" width="17.21875" style="81" customWidth="1"/>
    <col min="168" max="191" width="12" style="81" customWidth="1"/>
    <col min="192" max="192" width="8.5546875" style="81" bestFit="1" customWidth="1"/>
    <col min="193" max="193" width="8.5546875" style="81" customWidth="1"/>
    <col min="194" max="194" width="7.109375" style="81" bestFit="1" customWidth="1"/>
    <col min="195" max="195" width="7.5546875" style="81" bestFit="1" customWidth="1"/>
    <col min="196" max="196" width="8.5546875" style="81" bestFit="1" customWidth="1"/>
    <col min="197" max="200" width="8.5546875" style="81" customWidth="1"/>
    <col min="201" max="201" width="188.88671875" style="81" customWidth="1"/>
    <col min="202" max="202" width="9.5546875" style="81" bestFit="1" customWidth="1"/>
    <col min="203" max="203" width="10.44140625" style="81" bestFit="1" customWidth="1"/>
    <col min="204" max="204" width="11.109375" style="81" bestFit="1" customWidth="1"/>
    <col min="205" max="205" width="10.44140625" style="81" bestFit="1" customWidth="1"/>
    <col min="206" max="210" width="10.44140625" style="81" customWidth="1"/>
    <col min="211" max="211" width="45.44140625" style="81" customWidth="1"/>
    <col min="212" max="212" width="47.5546875" style="81" bestFit="1" customWidth="1"/>
    <col min="213" max="213" width="9.33203125" style="85" customWidth="1"/>
    <col min="214" max="214" width="119.5546875" style="81" customWidth="1"/>
    <col min="215" max="215" width="69.6640625" style="81" customWidth="1"/>
    <col min="216" max="218" width="8.88671875" style="81"/>
    <col min="219" max="219" width="37.109375" style="81" customWidth="1"/>
    <col min="220" max="220" width="16.33203125" style="81" customWidth="1"/>
    <col min="221" max="222" width="8.88671875" style="81"/>
    <col min="223" max="223" width="10.109375" style="81" bestFit="1" customWidth="1"/>
    <col min="224" max="232" width="10.88671875" style="81" customWidth="1"/>
    <col min="233" max="234" width="30.77734375" style="81" customWidth="1"/>
    <col min="235" max="235" width="5.109375" style="81" customWidth="1"/>
    <col min="236" max="236" width="3" style="81" customWidth="1"/>
    <col min="237" max="245" width="6.77734375" style="86" customWidth="1"/>
    <col min="246" max="247" width="8.88671875" style="81"/>
    <col min="248" max="248" width="61.5546875" style="81" customWidth="1"/>
    <col min="249" max="253" width="8.88671875" style="81"/>
    <col min="254" max="254" width="9" style="81" customWidth="1"/>
    <col min="255" max="16384" width="8.88671875" style="8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965</v>
      </c>
      <c r="B2" s="40" t="e" vm="72">
        <v>#VALUE!</v>
      </c>
      <c r="C2" s="41">
        <v>1</v>
      </c>
      <c r="D2" s="42" t="s">
        <v>966</v>
      </c>
      <c r="E2" s="43" t="s">
        <v>967</v>
      </c>
      <c r="F2" s="44" t="s">
        <v>163</v>
      </c>
      <c r="G2" s="45">
        <f>COUNTIF($A$1:$A$8343,A2)</f>
        <v>1</v>
      </c>
      <c r="H2" s="46"/>
      <c r="I2" s="47" t="s">
        <v>968</v>
      </c>
      <c r="J2" s="48" t="str">
        <f>""</f>
        <v/>
      </c>
      <c r="K2" s="49">
        <v>223804362</v>
      </c>
      <c r="L2" s="50">
        <v>518000</v>
      </c>
      <c r="M2" s="50" t="s">
        <v>970</v>
      </c>
      <c r="N2" s="51" t="s">
        <v>180</v>
      </c>
      <c r="O2" s="52" t="s">
        <v>422</v>
      </c>
      <c r="P2" s="53" t="s">
        <v>969</v>
      </c>
      <c r="Q2" s="54">
        <v>1</v>
      </c>
      <c r="R2" s="55" t="s">
        <v>180</v>
      </c>
      <c r="S2" s="56">
        <v>3</v>
      </c>
      <c r="T2" s="57" t="s">
        <v>164</v>
      </c>
      <c r="U2" s="58" t="s">
        <v>164</v>
      </c>
      <c r="V2" s="58" t="s">
        <v>164</v>
      </c>
      <c r="W2" s="58" t="s">
        <v>167</v>
      </c>
      <c r="X2" s="58" t="s">
        <v>164</v>
      </c>
      <c r="Y2" s="58" t="s">
        <v>164</v>
      </c>
      <c r="Z2" s="58" t="s">
        <v>164</v>
      </c>
      <c r="AA2" s="58" t="s">
        <v>164</v>
      </c>
      <c r="AB2" s="58" t="s">
        <v>164</v>
      </c>
      <c r="AC2" s="58" t="s">
        <v>164</v>
      </c>
      <c r="AD2" s="58" t="s">
        <v>164</v>
      </c>
      <c r="AE2" s="58" t="s">
        <v>164</v>
      </c>
      <c r="AF2" s="59" t="s">
        <v>164</v>
      </c>
      <c r="AG2" s="59" t="s">
        <v>164</v>
      </c>
      <c r="AH2" s="59" t="s">
        <v>164</v>
      </c>
      <c r="AI2" s="59" t="s">
        <v>164</v>
      </c>
      <c r="AJ2" s="59" t="s">
        <v>164</v>
      </c>
      <c r="AK2" s="59" t="s">
        <v>167</v>
      </c>
      <c r="AL2" s="59" t="s">
        <v>164</v>
      </c>
      <c r="AM2" s="59" t="s">
        <v>164</v>
      </c>
      <c r="AN2" s="59" t="s">
        <v>164</v>
      </c>
      <c r="AO2" s="59" t="s">
        <v>164</v>
      </c>
      <c r="AP2" s="59" t="s">
        <v>164</v>
      </c>
      <c r="AQ2" s="59" t="s">
        <v>164</v>
      </c>
      <c r="AR2" s="59" t="s">
        <v>167</v>
      </c>
      <c r="AS2" s="59" t="s">
        <v>164</v>
      </c>
      <c r="AT2" s="60">
        <v>0</v>
      </c>
      <c r="AU2" s="59"/>
      <c r="AV2" s="59" t="str">
        <f>IF(LEFT(A2,1)="[",LEFT(A2,5)&amp;AU2&amp;A2,"")</f>
        <v/>
      </c>
      <c r="AW2" s="59" t="str">
        <f t="shared" ref="AW2" si="0">C2&amp;H2&amp;A2</f>
        <v>1Nigeria</v>
      </c>
      <c r="AX2" s="61" t="str">
        <f>_xlfn.TEXTJOIN(";",TRUE,AU2:AW2)</f>
        <v>1Nigeria</v>
      </c>
      <c r="AY2" s="61"/>
      <c r="AZ2" s="62"/>
      <c r="BA2" s="62"/>
      <c r="BB2" s="62"/>
      <c r="BC2" s="63"/>
      <c r="BD2" s="64" t="s">
        <v>153</v>
      </c>
      <c r="BE2" s="47"/>
      <c r="BF2" s="64" t="s">
        <v>153</v>
      </c>
      <c r="BG2" s="64" t="s">
        <v>159</v>
      </c>
      <c r="BH2" s="64" t="s">
        <v>153</v>
      </c>
      <c r="BI2" s="64"/>
      <c r="BJ2" s="64"/>
      <c r="BK2" s="47"/>
      <c r="BL2" s="64" t="s">
        <v>153</v>
      </c>
      <c r="BM2" s="64" t="s">
        <v>159</v>
      </c>
      <c r="BN2" s="64"/>
      <c r="BO2" s="64"/>
      <c r="BP2" s="64"/>
      <c r="BQ2" s="64"/>
      <c r="BR2" s="64"/>
      <c r="BS2" s="64"/>
      <c r="BT2" s="64"/>
      <c r="BU2" s="65"/>
      <c r="BV2" s="66" t="s">
        <v>165</v>
      </c>
      <c r="BW2" s="66">
        <v>0</v>
      </c>
      <c r="BX2" s="47"/>
      <c r="CB2" s="6" t="s">
        <v>136</v>
      </c>
      <c r="CC2" s="6"/>
      <c r="CD2" s="67">
        <v>0</v>
      </c>
      <c r="CE2" s="67">
        <v>0</v>
      </c>
      <c r="CF2" s="67" t="e">
        <v>#REF!</v>
      </c>
      <c r="CG2" s="68" cm="1">
        <f t="array" ref="CG2">SUMPRODUCT(--(LEN(TRIM(BL2:BT2))&gt;0))</f>
        <v>2</v>
      </c>
      <c r="CH2" s="59" t="str">
        <f>IF(CG2=2,"y","n")</f>
        <v>y</v>
      </c>
      <c r="CI2" s="59" t="str">
        <f>IF(CG2=3,"y","n")</f>
        <v>n</v>
      </c>
      <c r="CJ2" s="59" t="str">
        <f>IF(CG2=4,"y","n")</f>
        <v>n</v>
      </c>
      <c r="CK2" s="59" t="str">
        <f>IF(CG2&gt;4,"y","n")</f>
        <v>n</v>
      </c>
      <c r="CL2" s="59" t="str">
        <f>IF(S2=0,"y","n")</f>
        <v>n</v>
      </c>
      <c r="CM2" s="59" t="str">
        <f>IF(S2=2,"y","n")</f>
        <v>n</v>
      </c>
      <c r="CN2" s="59" t="str">
        <f>IF(S2=3,"y","n")</f>
        <v>y</v>
      </c>
      <c r="CO2" s="59" t="str">
        <f>IF(S2&gt;=4,"y","n")</f>
        <v>n</v>
      </c>
      <c r="CP2" s="59" t="str">
        <f>IF(AT2=0,"y","n")</f>
        <v>y</v>
      </c>
      <c r="CQ2" s="59" t="str">
        <f>IF(AT2=1,"y","n")</f>
        <v>n</v>
      </c>
      <c r="CR2" s="59" t="str">
        <f>IF(AT2=2,"y","n")</f>
        <v>n</v>
      </c>
      <c r="CS2" s="59" t="str">
        <f>IF(AT2&gt;=3,"y","n")</f>
        <v>n</v>
      </c>
      <c r="CT2" s="69" t="str">
        <f>CHAR(34)&amp;A2&amp;CHAR(34)</f>
        <v>"Nigeria"</v>
      </c>
      <c r="CU2" s="70" t="str">
        <f>CHAR(34)&amp;"rgn_"&amp;R2&amp;CHAR(34)</f>
        <v>"rgn_Africa"</v>
      </c>
      <c r="CV2" s="48" t="str">
        <f>CHAR(34)&amp;D2&amp;CHAR(34)</f>
        <v>"https://i.ibb.co/TWhWMJv/Nigeria-Flag.png"</v>
      </c>
      <c r="CW2" s="48" t="str">
        <f>IF(CH2="y",CHAR(34)&amp;CH$1&amp;CHAR(34)&amp;",","")</f>
        <v>"2Color",</v>
      </c>
      <c r="CX2" s="48" t="str">
        <f>IF(CI2="y",CHAR(34)&amp;CI$1&amp;CHAR(34)&amp;",","")</f>
        <v/>
      </c>
      <c r="CY2" s="48" t="str">
        <f>IF(CJ2="y",CHAR(34)&amp;CJ$1&amp;CHAR(34)&amp;",","")</f>
        <v/>
      </c>
      <c r="CZ2" s="48" t="str">
        <f>IF(CK2="y",CHAR(34)&amp;CK$1&amp;CHAR(34)&amp;",","")</f>
        <v/>
      </c>
      <c r="DA2" s="48" t="str">
        <f>IF(Q2&gt;1,CHAR(34)&amp;"words2"&amp;CHAR(34)&amp;",","")</f>
        <v/>
      </c>
      <c r="DB2" s="48" t="str">
        <f>IF(Q2&gt;2,CHAR(34)&amp;"words3"&amp;CHAR(34)&amp;",","")</f>
        <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"lets07",</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"startN",</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"GREWHI",</v>
      </c>
      <c r="DM2" s="48" t="str" cm="1">
        <f t="array" ref="DM2">IF(CG2=3,CHAR(34) &amp; _xlfn.TEXTJOIN("", TRUE, RIGHT(HP2:HX2, 2)) &amp; CHAR(34) &amp; ",", "")</f>
        <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
      </c>
      <c r="DS2" s="6" t="str">
        <f>IF(W2="y",IF(AND(V2="n",BY2&lt;&gt;"y"),CHAR(34)&amp;"allver"&amp;CHAR(34)&amp;",",""),"")</f>
        <v>"allver",</v>
      </c>
      <c r="DT2" s="6" t="str">
        <f>IF(V2="y",IF(AND(W2="n",BY2&lt;&gt;"y"),CHAR(34)&amp;"allhor"&amp;CHAR(34)&amp;",",""),"")</f>
        <v/>
      </c>
      <c r="DU2" s="6" t="str">
        <f>IF(BY2="y",IF(AND(W2="n",V2="n"),CHAR(34)&amp;"alldia"&amp;CHAR(34)&amp;",",""),"")</f>
        <v/>
      </c>
      <c r="DV2" s="48" t="str">
        <f>IF(IA2&lt;&gt;"",(IF(IA2="y",CHAR(34)&amp;"largec"&amp;CHAR(34)&amp;",",CHAR(34)&amp;"smallc"&amp;CHAR(34)&amp;",")),"")</f>
        <v/>
      </c>
      <c r="DW2" s="48" t="str">
        <f>IF(CL2="y",CHAR(34)&amp;CL$1&amp;CHAR(34)&amp;",","")</f>
        <v/>
      </c>
      <c r="DX2" s="48" t="str">
        <f>IF(CM2="y",CHAR(34)&amp;CM$1&amp;CHAR(34)&amp;",","")</f>
        <v/>
      </c>
      <c r="DY2" s="48" t="str">
        <f>IF(CN2="y",CHAR(34)&amp;CN$1&amp;CHAR(34)&amp;",","")</f>
        <v>"3Bands",</v>
      </c>
      <c r="DZ2" s="48" t="str">
        <f>IF(CO2="y",CHAR(34)&amp;CO$1&amp;CHAR(34)&amp;",","")</f>
        <v/>
      </c>
      <c r="EA2" s="48" t="str">
        <f>IF(T2="y",CHAR(34)&amp;T$1&amp;CHAR(34)&amp;",","")</f>
        <v/>
      </c>
      <c r="EB2" s="48" t="str">
        <f>IF(U2="y",CHAR(34)&amp;U$1&amp;CHAR(34)&amp;",","")</f>
        <v/>
      </c>
      <c r="EC2" s="48" t="str">
        <f>IF(V2="y",CHAR(34)&amp;V$1&amp;CHAR(34)&amp;",","")</f>
        <v/>
      </c>
      <c r="ED2" s="48" t="str">
        <f>IF(W2="y",CHAR(34)&amp;W$1&amp;CHAR(34)&amp;",","")</f>
        <v>"Vertic",</v>
      </c>
      <c r="EE2" s="48" t="str">
        <f>IF(X2="y",CHAR(34)&amp;X$1&amp;CHAR(34)&amp;",","")</f>
        <v/>
      </c>
      <c r="EF2" s="48" t="str">
        <f>IF(AND(Y2&lt;&gt;"n",Y2&lt;&gt;""),CHAR(34)&amp;Y$1&amp;CHAR(34)&amp;",","")</f>
        <v/>
      </c>
      <c r="EG2" s="48" t="str">
        <f>IF(Z2="y",CHAR(34)&amp;Z$1&amp;CHAR(34)&amp;",","")</f>
        <v/>
      </c>
      <c r="EH2" s="48" t="str">
        <f>IF(AA2="y",CHAR(34)&amp;AA$1&amp;CHAR(34)&amp;",","")</f>
        <v/>
      </c>
      <c r="EI2" s="48" t="str">
        <f>IF(AB2="y",CHAR(34)&amp;AB$1&amp;CHAR(34)&amp;",","")</f>
        <v/>
      </c>
      <c r="EJ2" s="48" t="str">
        <f>IF(AC2="y",CHAR(34)&amp;AC$1&amp;CHAR(34)&amp;",","")</f>
        <v/>
      </c>
      <c r="EK2" s="48" t="str">
        <f>IF(AD2="y",CHAR(34)&amp;AD$1&amp;CHAR(34)&amp;",","")</f>
        <v/>
      </c>
      <c r="EL2" s="48" t="str">
        <f>IF(AE2="y",CHAR(34)&amp;AE$1&amp;CHAR(34)&amp;",","")</f>
        <v/>
      </c>
      <c r="EM2" s="48" t="str">
        <f>IF(AF2="y",CHAR(34)&amp;AF$1&amp;CHAR(34)&amp;",","")</f>
        <v/>
      </c>
      <c r="EN2" s="48" t="str">
        <f>IF(AG2="y",CHAR(34)&amp;AG$1&amp;CHAR(34)&amp;",","")</f>
        <v/>
      </c>
      <c r="EO2" s="48" t="str">
        <f>IF(AH2="y",CHAR(34)&amp;AH$1&amp;CHAR(34)&amp;",","")</f>
        <v/>
      </c>
      <c r="EP2" s="48" t="str">
        <f>IF(AI2="y",CHAR(34)&amp;AI$1&amp;CHAR(34)&amp;",","")</f>
        <v/>
      </c>
      <c r="EQ2" s="48" t="str">
        <f>IF(AJ2="y",CHAR(34)&amp;AJ$1&amp;CHAR(34)&amp;",","")</f>
        <v/>
      </c>
      <c r="ER2" s="48" t="str">
        <f>IF(AK2="y",CHAR(34)&amp;AK$1&amp;CHAR(34)&amp;",","")</f>
        <v>"OnlyBa",</v>
      </c>
      <c r="ES2" s="48" t="str">
        <f>IF(AL2="y",CHAR(34)&amp;AL$1&amp;CHAR(34)&amp;",","")</f>
        <v/>
      </c>
      <c r="ET2" s="48" t="str">
        <f>IF(AM2="y",CHAR(34)&amp;AM$1&amp;CHAR(34)&amp;",","")</f>
        <v/>
      </c>
      <c r="EU2" s="48" t="str">
        <f>IF(AN2="y",CHAR(34)&amp;AN$1&amp;CHAR(34)&amp;",","")</f>
        <v/>
      </c>
      <c r="EV2" s="48" t="str">
        <f>IF(AO2="y",CHAR(34)&amp;AO$1&amp;CHAR(34)&amp;",","")</f>
        <v/>
      </c>
      <c r="EW2" s="48" t="str">
        <f>IF(AP2="y",CHAR(34)&amp;AP$1&amp;CHAR(34)&amp;",","")</f>
        <v/>
      </c>
      <c r="EX2" s="48" t="str">
        <f>IF(AQ2="y",CHAR(34)&amp;AQ$1&amp;CHAR(34)&amp;",","")</f>
        <v/>
      </c>
      <c r="EY2" s="48" t="str">
        <f>IF(AR2="y",CHAR(34)&amp;AR$1&amp;CHAR(34)&amp;",","")</f>
        <v>"Rotate",</v>
      </c>
      <c r="EZ2" s="48" t="str">
        <f>IF(AS2="y",CHAR(34)&amp;AS$1&amp;CHAR(34)&amp;",","")</f>
        <v/>
      </c>
      <c r="FA2" s="48" t="str">
        <f>IF(AT2&gt;0,CHAR(34)&amp;"sta"&amp;AZ2&amp;CHAR(34)&amp;",","")</f>
        <v/>
      </c>
      <c r="FB2" s="48" t="str">
        <f>IF(AND(AT2&gt;0,BA2&lt;&gt;""),CHAR(34)&amp;"sta"&amp;BA2&amp;CHAR(34)&amp;",","")</f>
        <v/>
      </c>
      <c r="FC2" s="48" t="str">
        <f>IF(AND(AT2&gt;0,BB2&lt;&gt;""),CHAR(34)&amp;"sta"&amp;BB2&amp;CHAR(34)&amp;",","")</f>
        <v/>
      </c>
      <c r="FD2" s="48" t="str">
        <f>IF(BV2="n",CHAR(34)&amp;"tcWHYE"&amp;CHAR(34)&amp;",",IF(BV2="y",CHAR(34)&amp;FD$1&amp;CHAR(34)&amp;",",""))</f>
        <v/>
      </c>
      <c r="FE2" s="48" t="str">
        <f>IF(COUNTIF(BL2:BT2,"BLU")=0,CHAR(34)&amp;"NO_BLU"&amp;CHAR(34)&amp;",", "")</f>
        <v>"NO_BLU",</v>
      </c>
      <c r="FF2" s="48" t="str">
        <f>IF(COUNTIF(BL2:BT2,"WHI")=0,CHAR(34)&amp;"NO_WHI"&amp;CHAR(34)&amp;",", "")</f>
        <v/>
      </c>
      <c r="FG2" s="48" t="str">
        <f>IF(COUNTIF(BL2:BT2,"RED")=0,CHAR(34)&amp;"NO_RED"&amp;CHAR(34)&amp;",", "")</f>
        <v>"NO_RED",</v>
      </c>
      <c r="FH2" s="48" t="str">
        <f>IF(COUNTIF(BL2:BS2,"GRE")=0,CHAR(34)&amp;"NO_GRE"&amp;CHAR(34)&amp;",", "")</f>
        <v/>
      </c>
      <c r="FI2" s="48" t="str">
        <f>IF(COUNTIF(BL2:BT2,"YEL")=0,CHAR(34)&amp;"NO_YEL"&amp;CHAR(34)&amp;",", "")</f>
        <v>"NO_YEL",</v>
      </c>
      <c r="FJ2" s="48" t="str">
        <f>IF(COUNTIF(BL2:BT2,"BLA")=0,CHAR(34)&amp;"NO_BLA"&amp;CHAR(34)&amp;",", "")</f>
        <v>"NO_BLA",</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"BLRENO",</v>
      </c>
      <c r="FP2" s="48" t="str">
        <f>IF(AND(FF2&lt;&gt;"",FF2&lt;&gt;""),CHAR(34)&amp;"WHRENO"&amp;CHAR(34)&amp;",","")</f>
        <v/>
      </c>
      <c r="FQ2" s="48" t="str">
        <f>IF(LEN(BF2)=3,CHAR(34)&amp;"001"&amp;BF2&amp;CHAR(34)&amp;",","")</f>
        <v>"001GRE",</v>
      </c>
      <c r="FR2" s="48" t="str">
        <f>IF(LEN(BG2)=3,CHAR(34)&amp;"002"&amp;BG2&amp;CHAR(34)&amp;",","")</f>
        <v>"002WHI",</v>
      </c>
      <c r="FS2" s="48" t="str">
        <f>IF(LEN(BH2)=3,CHAR(34)&amp;"003"&amp;BH2&amp;CHAR(34)&amp;",","")</f>
        <v>"003GRE",</v>
      </c>
      <c r="FT2" s="48" t="str">
        <f>CHAR(34)&amp;"myr"&amp;BD2&amp;CHAR(34)&amp;","</f>
        <v>"myrGRE",</v>
      </c>
      <c r="FU2" s="48" t="str">
        <f>IF(AY2="y",CHAR(34)&amp;"island"&amp;CHAR(34)&amp;",","")</f>
        <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"englis",</v>
      </c>
      <c r="GA2" s="48" t="str">
        <f>IFERROR(IF(SEARCH("French",CB2)&gt;0,CHAR(34)&amp;"french"&amp;CHAR(34)&amp;",",""),"")</f>
        <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"NoStar",</v>
      </c>
      <c r="GK2" s="48" t="str">
        <f>IF(GJ2="",CHAR(34)&amp;"HasSta"&amp;CHAR(34)&amp;",","")</f>
        <v/>
      </c>
      <c r="GL2" s="48" t="str">
        <f>IF(CQ2="y",CHAR(34)&amp;CQ$1&amp;CHAR(34)&amp;",","")</f>
        <v/>
      </c>
      <c r="GM2" s="48" t="str">
        <f>IF(CR2="y",CHAR(34)&amp;CR$1&amp;CHAR(34)&amp;",","")</f>
        <v/>
      </c>
      <c r="GN2" s="48" t="str">
        <f>IF(CS2="y",CHAR(34)&amp;CS$1&amp;CHAR(34)&amp;",","")</f>
        <v/>
      </c>
      <c r="GP2" s="48" t="str">
        <f>CHAR(34)&amp;AU2&amp;CHAR(34)</f>
        <v>""</v>
      </c>
      <c r="GS2" s="48" t="str">
        <f>SUBSTITUTE("["&amp;_xlfn.CONCAT(CW2:GN2)&amp;"]",",]","]")</f>
        <v>["2Color","lets07","startN","GREWHI","year19","allver","3Bands","Vertic","OnlyBa","Rotate","NO_BLU","NO_RED","NO_YEL","NO_BLA","BLRENO","001GRE","002WHI","003GRE","myrGRE","englis","NoStar"]</v>
      </c>
      <c r="GT2" s="48" t="str">
        <f>IF(BL2&lt;&gt;"",CHAR(34)&amp;"cl_"&amp;BL2&amp;CHAR(34)&amp;",","")</f>
        <v>"cl_GRE",</v>
      </c>
      <c r="GU2" s="48" t="str">
        <f>IF(BM2&lt;&gt;"",CHAR(34)&amp;"cl_"&amp;BM2&amp;CHAR(34)&amp;",","")</f>
        <v>"cl_WHI",</v>
      </c>
      <c r="GV2" s="48" t="str">
        <f>IF(BN2&lt;&gt;"",CHAR(34)&amp;"cl_"&amp;BN2&amp;CHAR(34)&amp;",","")</f>
        <v/>
      </c>
      <c r="GW2" s="48" t="str">
        <f>IF(BO2&lt;&gt;"",CHAR(34)&amp;"cl_"&amp;BO2&amp;CHAR(34)&amp;",","")</f>
        <v/>
      </c>
      <c r="GX2" s="48" t="str">
        <f>IF(BP2&lt;&gt;"",CHAR(34)&amp;"cl_"&amp;BP2&amp;CHAR(34)&amp;",","")</f>
        <v/>
      </c>
      <c r="GY2" s="48" t="str">
        <f>IF(BQ2&lt;&gt;"",CHAR(34)&amp;"cl_"&amp;BQ2&amp;CHAR(34)&amp;",","")</f>
        <v/>
      </c>
      <c r="GZ2" s="48" t="str">
        <f>IF(BR2&lt;&gt;"",CHAR(34)&amp;"cl_"&amp;BR2&amp;CHAR(34)&amp;",","")</f>
        <v/>
      </c>
      <c r="HA2" s="48" t="str">
        <f>IF(BS2&lt;&gt;"",CHAR(34)&amp;"cl_"&amp;BS2&amp;CHAR(34)&amp;",","")</f>
        <v/>
      </c>
      <c r="HB2" s="48" t="str">
        <f>IF(BT2&lt;&gt;"",CHAR(34)&amp;"cl_"&amp;BT2&amp;CHAR(34)&amp;",","")</f>
        <v/>
      </c>
      <c r="HC2" s="48" t="str">
        <f>SUBSTITUTE("["&amp;_xlfn.CONCAT(GT2:HB2)&amp;"]",",]","]")</f>
        <v>["cl_GRE","cl_WHI"]</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{couname:"Nigeria",year:"1960 ",region:"rgn_Africa",Colors:["cl_GRE","cl_WHI"],Items:["2Color","lets07","startN","GREWHI","year19","allver","3Bands","Vertic","OnlyBa","Rotate","NO_BLU","NO_RED","NO_YEL","NO_BLA","BLRENO","001GRE","002WHI","003GRE","myrGRE","englis","NoStar"],Flag:"https://i.ibb.co/TWhWMJv/Nigeria-Flag.png",HDFlag:"https://upload.wikimedia.org/wikipedia/commons/thumb/7/79/Flag_of_Nigeria.svg/2560px-Flag_of_Nigeria.svg.png",type:"", describe: "\nThe flag of Nigeria was designed by Michael Taiwo Akinkunmi and was officially adopted to represent Nigeria at midnight on 1 October 1960, the day the country gained independence. The flag was chosen as part of a nationwide open contest held by the government, with Akinkunmi's design being selected as the winner of a field of over three thousand entries. The flag is a vertical bicolour green-white-green design, with the green to represent agriculture and white to represent peace and unity.", isnew:".", links: "https://en.wikipedia.org/wiki/Flag_of_Nigeria"},</v>
      </c>
      <c r="HG2" s="73" t="str">
        <f>"{couname:"&amp;CT2&amp;(IF(HK2&lt;&gt;"",",subtype:"&amp;CHAR(34)&amp;HK2&amp;CHAR(34),""))&amp;",year:"&amp;HJ2&amp;",region:"&amp;CU2&amp;",Colors:"&amp;HC2&amp;",Items:"&amp;GS2&amp;",Flag:"&amp;CV2&amp;",HDFlag:"&amp;CHAR(34)&amp;E2&amp;CHAR(34)&amp;",type:"&amp;GP2&amp;", describe: "&amp;HI2&amp;", links: "&amp;HL2&amp;"},"</f>
        <v>{couname:"Nigeria",year:"1960 ",region:"rgn_Africa",Colors:["cl_GRE","cl_WHI"],Items:["2Color","lets07","startN","GREWHI","year19","allver","3Bands","Vertic","OnlyBa","Rotate","NO_BLU","NO_RED","NO_YEL","NO_BLA","BLRENO","001GRE","002WHI","003GRE","myrGRE","englis","NoStar"],Flag:"https://i.ibb.co/TWhWMJv/Nigeria-Flag.png",HDFlag:"https://upload.wikimedia.org/wikipedia/commons/thumb/7/79/Flag_of_Nigeria.svg/2560px-Flag_of_Nigeria.svg.png",type:"", describe: "\nThe flag of Nigeria was designed by Michael Taiwo Akinkunmi and was officially adopted to represent Nigeria at midnight on 1 October 1960, the day the country gained independence. The flag was chosen as part of a nationwide open contest held by the government, with Akinkunmi's design being selected as the winner of a field of over three thousand entries. The flag is a vertical bicolour green-white-green design, with the green to represent agriculture and white to represent peace and unity.", links: "https://en.wikipedia.org/wiki/Flag_of_Nigeria"},</v>
      </c>
      <c r="HH2" s="48" t="str">
        <f>IF(P2&lt;&gt;"",CHAR(34)&amp;"\n"&amp;P2&amp;CHAR(34),CHAR(34)&amp;CHAR(34))</f>
        <v>"\nThe flag of Nigeria was designed by Michael Taiwo Akinkunmi and was officially adopted to represent Nigeria at midnight on 1 October 1960, the day the country gained independence. The flag was chosen as part of a nationwide open contest held by the government, with Akinkunmi's design being selected as the winner of a field of over three thousand entries. The flag is a vertical bicolour green-white-green design, with the green to represent agriculture and white to represent peace and unity."</v>
      </c>
      <c r="HI2" s="48" t="str">
        <f>IF(J2=0,CHAR(34)&amp;CHAR(34),HH2)</f>
        <v>"\nThe flag of Nigeria was designed by Michael Taiwo Akinkunmi and was officially adopted to represent Nigeria at midnight on 1 October 1960, the day the country gained independence. The flag was chosen as part of a nationwide open contest held by the government, with Akinkunmi's design being selected as the winner of a field of over three thousand entries. The flag is a vertical bicolour green-white-green design, with the green to represent agriculture and white to represent peace and unity."</v>
      </c>
      <c r="HJ2" s="48" t="str">
        <f>CHAR(34)&amp;O2&amp;CHAR(34)</f>
        <v>"1960 "</v>
      </c>
      <c r="HL2" s="48" t="str">
        <f>CHAR(34)&amp;I2&amp;CHAR(34)</f>
        <v>"https://en.wikipedia.org/wiki/Flag_of_Nigeria"</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{"couname":"Nigeria","year":"1960 ","region":"rgn_Africa","Colors":["cl_GRE","cl_WHI"],"Items":["2Color","lets07","startN","GREWHI","year19","allver","3Bands","Vertic","OnlyBa","Rotate","NO_BLU","NO_RED","NO_YEL","NO_BLA","BLRENO","001GRE","002WHI","003GRE","myrGRE","englis","NoStar"],"Flag":"https://i.ibb.co/TWhWMJv/Nigeria-Flag.png","HDFlag":"https://upload.wikimedia.org/wikipedia/commons/thumb/7/79/Flag_of_Nigeria.svg/2560px-Flag_of_Nigeria.svg.png","type":"", "describe": "\nThe flag of Nigeria was designed by Michael Taiwo Akinkunmi and was officially adopted to represent Nigeria at midnight on 1 October 1960, the day the country gained independence. The flag was chosen as part of a nationwide open contest held by the government, with Akinkunmi's design being selected as the winner of a field of over three thousand entries. The flag is a vertical bicolour green-white-green design, with the green to represent agriculture and white to represent peace and unity.", "isnew": ".", "links": "https://en.wikipedia.org/wiki/Flag_of_Nigeria"},</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{"couname":"Nigeria","year":"1960 ","region":"rgn_Africa","Colors":["cl_GRE","cl_WHI"],"Items":["2Color","lets07","startN","GREWHI","year19","allver","3Bands","Vertic","OnlyBa","Rotate","NO_BLU","NO_RED","NO_YEL","NO_BLA","BLRENO","001GRE","002WHI","003GRE","myrGRE","englis","NoStar"],"Flag":"https://i.ibb.co/TWhWMJv/Nigeria-Flag.png","HDFlag":"https://upload.wikimedia.org/wikipedia/commons/thumb/7/79/Flag_of_Nigeria.svg/2560px-Flag_of_Nigeria.svg.png","type":"", "describe": "\nThe flag of Nigeria was designed by Michael Taiwo Akinkunmi and was officially adopted to represent Nigeria at midnight on 1 October 1960, the day the country gained independence. The flag was chosen as part of a nationwide open contest held by the government, with Akinkunmi's design being selected as the winner of a field of over three thousand entries. The flag is a vertical bicolour green-white-green design, with the green to represent agriculture and white to represent peace and unity.", "isnew": ".", "links": "https://en.wikipedia.org/wiki/Flag_of_Nigeria"},</v>
      </c>
      <c r="HO2" s="75"/>
      <c r="HP2" s="48" t="str" cm="1">
        <f t="array" ref="HP2">IF(_xlfn.TEXTJOIN(", ", TRUE, IF(ISNUMBER(SEARCH("BLA", BL2:BT2)), COLUMN(BL2:BT2) - COLUMN(BL2) + 1, ""))&lt;&gt;"","BLA","")</f>
        <v/>
      </c>
      <c r="HQ2" s="48" t="str" cm="1">
        <f t="array" ref="HQ2">IF(_xlfn.TEXTJOIN(", ", TRUE, IF(ISNUMBER(SEARCH("BLU", BL2:BT2)), COLUMN(BL2:BT2) - COLUMN(BL2) + 1, ""))&lt;&gt;"","BLU","")</f>
        <v/>
      </c>
      <c r="HR2" s="48" t="str" cm="1">
        <f t="array" ref="HR2">IF(_xlfn.TEXTJOIN(", ", TRUE, IF(ISNUMBER(SEARCH("GRE", BL2:BT2)), COLUMN(BL2:BT2) - COLUMN(BL2) + 1, ""))&lt;&gt;"","GRE","")</f>
        <v>GRE</v>
      </c>
      <c r="HS2" s="48" t="str" cm="1">
        <f t="array" ref="HS2">IF(_xlfn.TEXTJOIN(", ", TRUE, IF(ISNUMBER(SEARCH("RED", BL2:BT2)), COLUMN(BL2:BT2) - COLUMN(BL2) + 1, ""))&lt;&gt;"","RED","")</f>
        <v/>
      </c>
      <c r="HT2" s="48" t="str" cm="1">
        <f t="array" ref="HT2">IF(_xlfn.TEXTJOIN(", ", TRUE, IF(ISNUMBER(SEARCH("YEL", BL2:BT2)), COLUMN(BL2:BT2) - COLUMN(BL2) + 1, ""))&lt;&gt;"","YEL","")</f>
        <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c r="IB2" s="6"/>
      <c r="IC2" s="77"/>
      <c r="ID2" s="77"/>
      <c r="IE2" s="77"/>
      <c r="IF2" s="77"/>
      <c r="IG2" s="77"/>
      <c r="IH2" s="77"/>
      <c r="II2" s="77"/>
      <c r="IJ2" s="77"/>
      <c r="IK2" s="77"/>
      <c r="IL2" s="48">
        <f>SUM(IC2:IK2)</f>
        <v>0</v>
      </c>
      <c r="IM2" s="45">
        <f>COUNTIF(IC2:IK2,"&gt;0")-CG2</f>
        <v>-2</v>
      </c>
      <c r="IN2" s="78" t="str">
        <f>"http://mkweb.bcgsc.ca/color-summarizer/?url="&amp;D2&amp;"&amp;precision=low&amp;num_clusters="&amp;CG2&amp;"&amp;text=1"</f>
        <v>http://mkweb.bcgsc.ca/color-summarizer/?url=https://i.ibb.co/TWhWMJv/Nigeria-Flag.png&amp;precision=low&amp;num_clusters=2&amp;text=1</v>
      </c>
      <c r="IO2" s="48" t="str">
        <f>IF(HP2&lt;&gt;"",CHAR(34)&amp;"black"&amp;CHAR(34),"")</f>
        <v/>
      </c>
      <c r="IP2" s="48" t="str">
        <f>IF(HQ2&lt;&gt;"",CHAR(34)&amp;"blue"&amp;CHAR(34),"")</f>
        <v/>
      </c>
      <c r="IQ2" s="48" t="str">
        <f>IF(HR2&lt;&gt;"",CHAR(34)&amp;"green"&amp;CHAR(34),"")</f>
        <v>"green"</v>
      </c>
      <c r="IR2" s="48" t="str">
        <f>IF(HS2&lt;&gt;"",CHAR(34)&amp;"red"&amp;CHAR(34),"")</f>
        <v/>
      </c>
      <c r="IS2" s="48" t="str">
        <f>IF(HT2&lt;&gt;"",CHAR(34)&amp;"yellow"&amp;CHAR(34),"")</f>
        <v/>
      </c>
      <c r="IT2" s="48" t="str">
        <f>IF(HU2&lt;&gt;"",CHAR(34)&amp;"orange"&amp;CHAR(34),"")</f>
        <v/>
      </c>
      <c r="IU2" s="48" t="str">
        <f>IF(HV2&lt;&gt;"",CHAR(34)&amp;"brown"&amp;CHAR(34),"")</f>
        <v/>
      </c>
      <c r="IV2" s="48" t="str">
        <f>IF(HW2&lt;&gt;"",CHAR(34)&amp;"purple"&amp;CHAR(34),"")</f>
        <v/>
      </c>
      <c r="IW2" s="48" t="str">
        <f>IF(HX2&lt;&gt;"",CHAR(34)&amp;"white"&amp;CHAR(34),"")</f>
        <v>"white"</v>
      </c>
      <c r="IX2" s="48" t="str">
        <f>"{"&amp;CHAR(34)&amp;"url"&amp;CHAR(34)&amp;":"&amp;CHAR(34)&amp;IN2&amp;CHAR(34)&amp;","&amp;CHAR(34)&amp;"name"&amp;CHAR(34)&amp;":"&amp;CHAR(34)&amp;A2&amp;CHAR(34)&amp;"},"</f>
        <v>{"url":"http://mkweb.bcgsc.ca/color-summarizer/?url=https://i.ibb.co/TWhWMJv/Nigeria-Flag.png&amp;precision=low&amp;num_clusters=2&amp;text=1","name":"Nigeria"},</v>
      </c>
      <c r="IY2" s="48">
        <v>156</v>
      </c>
    </row>
    <row r="3" spans="1:259" s="48" customFormat="1" ht="38.4" customHeight="1" thickBot="1" x14ac:dyDescent="0.35">
      <c r="A3" s="79" t="s">
        <v>945</v>
      </c>
      <c r="B3" s="40" t="e" vm="73">
        <v>#VALUE!</v>
      </c>
      <c r="C3" s="41">
        <v>2</v>
      </c>
      <c r="D3" s="42" t="s">
        <v>946</v>
      </c>
      <c r="E3" s="43" t="s">
        <v>947</v>
      </c>
      <c r="F3" s="44" t="s">
        <v>163</v>
      </c>
      <c r="G3" s="45">
        <f>COUNTIF($A$1:$A$8344,A3)</f>
        <v>1</v>
      </c>
      <c r="H3" s="46"/>
      <c r="I3" s="47" t="s">
        <v>948</v>
      </c>
      <c r="J3" s="48" t="str">
        <f>""</f>
        <v/>
      </c>
      <c r="K3" s="49"/>
      <c r="L3" s="50"/>
      <c r="M3" s="50"/>
      <c r="N3" s="51" t="s">
        <v>180</v>
      </c>
      <c r="O3" s="52">
        <v>2019</v>
      </c>
      <c r="P3" s="53" t="s">
        <v>949</v>
      </c>
      <c r="Q3" s="54">
        <v>2</v>
      </c>
      <c r="R3" s="55" t="s">
        <v>180</v>
      </c>
      <c r="S3" s="56">
        <v>0</v>
      </c>
      <c r="T3" s="57" t="s">
        <v>167</v>
      </c>
      <c r="U3" s="58" t="s">
        <v>164</v>
      </c>
      <c r="V3" s="58" t="s">
        <v>164</v>
      </c>
      <c r="W3" s="58" t="s">
        <v>164</v>
      </c>
      <c r="X3" s="58" t="s">
        <v>164</v>
      </c>
      <c r="Y3" s="58" t="s">
        <v>164</v>
      </c>
      <c r="Z3" s="58" t="s">
        <v>164</v>
      </c>
      <c r="AA3" s="58" t="s">
        <v>164</v>
      </c>
      <c r="AB3" s="58" t="s">
        <v>164</v>
      </c>
      <c r="AC3" s="58" t="s">
        <v>164</v>
      </c>
      <c r="AD3" s="58" t="s">
        <v>164</v>
      </c>
      <c r="AE3" s="58" t="s">
        <v>164</v>
      </c>
      <c r="AF3" s="59" t="s">
        <v>167</v>
      </c>
      <c r="AG3" s="59" t="s">
        <v>164</v>
      </c>
      <c r="AH3" s="59" t="s">
        <v>164</v>
      </c>
      <c r="AI3" s="59" t="s">
        <v>164</v>
      </c>
      <c r="AJ3" s="59" t="s">
        <v>164</v>
      </c>
      <c r="AK3" s="59" t="s">
        <v>164</v>
      </c>
      <c r="AL3" s="59" t="s">
        <v>164</v>
      </c>
      <c r="AM3" s="59" t="s">
        <v>164</v>
      </c>
      <c r="AN3" s="59" t="s">
        <v>164</v>
      </c>
      <c r="AO3" s="59" t="s">
        <v>164</v>
      </c>
      <c r="AP3" s="59" t="s">
        <v>164</v>
      </c>
      <c r="AQ3" s="59" t="s">
        <v>164</v>
      </c>
      <c r="AR3" s="59" t="s">
        <v>164</v>
      </c>
      <c r="AS3" s="59" t="s">
        <v>164</v>
      </c>
      <c r="AT3" s="60">
        <v>0</v>
      </c>
      <c r="AU3" s="59" t="s">
        <v>521</v>
      </c>
      <c r="AV3" s="59" t="str">
        <f>IF(LEFT(A3,1)="[",LEFT(A3,5)&amp;AU3&amp;A3,"")</f>
        <v>[NGA]State[NGA] Akwa Ibom State</v>
      </c>
      <c r="AW3" s="59" t="str">
        <f t="shared" ref="AW3:AW6" si="1">C3&amp;H3&amp;A3</f>
        <v>2[NGA] Akwa Ibom State</v>
      </c>
      <c r="AX3" s="61"/>
      <c r="AY3" s="61"/>
      <c r="AZ3" s="62" t="s">
        <v>172</v>
      </c>
      <c r="BA3" s="62"/>
      <c r="BB3" s="62"/>
      <c r="BC3" s="63"/>
      <c r="BD3" s="64" t="s">
        <v>153</v>
      </c>
      <c r="BE3" s="47"/>
      <c r="BF3" s="64" t="s">
        <v>172</v>
      </c>
      <c r="BG3" s="64" t="s">
        <v>172</v>
      </c>
      <c r="BH3" s="64" t="s">
        <v>172</v>
      </c>
      <c r="BI3" s="64"/>
      <c r="BJ3" s="64"/>
      <c r="BK3" s="47"/>
      <c r="BL3" s="64" t="s">
        <v>172</v>
      </c>
      <c r="BM3" s="64" t="s">
        <v>172</v>
      </c>
      <c r="BN3" s="64" t="s">
        <v>153</v>
      </c>
      <c r="BO3" s="64" t="s">
        <v>172</v>
      </c>
      <c r="BP3" s="64" t="s">
        <v>172</v>
      </c>
      <c r="BQ3" s="64" t="s">
        <v>156</v>
      </c>
      <c r="BR3" s="64" t="s">
        <v>172</v>
      </c>
      <c r="BS3" s="64" t="s">
        <v>172</v>
      </c>
      <c r="BT3" s="64" t="s">
        <v>159</v>
      </c>
      <c r="BU3" s="65"/>
      <c r="BV3" s="66"/>
      <c r="BW3" s="66">
        <v>0</v>
      </c>
      <c r="BX3" s="47"/>
      <c r="BY3" s="48" t="s">
        <v>164</v>
      </c>
      <c r="CB3" s="6"/>
      <c r="CC3" s="6"/>
      <c r="CD3" s="67">
        <v>0</v>
      </c>
      <c r="CE3" s="67">
        <v>0</v>
      </c>
      <c r="CF3" s="67" t="e">
        <v>#REF!</v>
      </c>
      <c r="CG3" s="68" cm="1">
        <f t="array" ref="CG3">SUMPRODUCT(--(LEN(TRIM(BL3:BT3))&gt;0))</f>
        <v>3</v>
      </c>
      <c r="CH3" s="59" t="str">
        <f>IF(CG3=2,"y","n")</f>
        <v>n</v>
      </c>
      <c r="CI3" s="59" t="str">
        <f>IF(CG3=3,"y","n")</f>
        <v>y</v>
      </c>
      <c r="CJ3" s="59" t="str">
        <f>IF(CG3=4,"y","n")</f>
        <v>n</v>
      </c>
      <c r="CK3" s="59" t="str">
        <f>IF(CG3&gt;4,"y","n")</f>
        <v>n</v>
      </c>
      <c r="CL3" s="59" t="str">
        <f>IF(S3=0,"y","n")</f>
        <v>y</v>
      </c>
      <c r="CM3" s="59" t="str">
        <f>IF(S3=2,"y","n")</f>
        <v>n</v>
      </c>
      <c r="CN3" s="59" t="str">
        <f>IF(S3=3,"y","n")</f>
        <v>n</v>
      </c>
      <c r="CO3" s="59" t="str">
        <f>IF(S3&gt;=4,"y","n")</f>
        <v>n</v>
      </c>
      <c r="CP3" s="59" t="str">
        <f>IF(AT3=0,"y","n")</f>
        <v>y</v>
      </c>
      <c r="CQ3" s="59" t="str">
        <f>IF(AT3=1,"y","n")</f>
        <v>n</v>
      </c>
      <c r="CR3" s="59" t="str">
        <f>IF(AT3=2,"y","n")</f>
        <v>n</v>
      </c>
      <c r="CS3" s="59" t="str">
        <f>IF(AT3&gt;=3,"y","n")</f>
        <v>n</v>
      </c>
      <c r="CT3" s="69" t="str">
        <f>CHAR(34)&amp;A3&amp;CHAR(34)</f>
        <v>"[NGA] Akwa Ibom State"</v>
      </c>
      <c r="CU3" s="70" t="str">
        <f>CHAR(34)&amp;"rgn_"&amp;R3&amp;CHAR(34)</f>
        <v>"rgn_Africa"</v>
      </c>
      <c r="CV3" s="48" t="str">
        <f>CHAR(34)&amp;D3&amp;CHAR(34)</f>
        <v>"https://upload.wikimedia.org/wikipedia/commons/thumb/5/5f/Flag_of_Akwa_Ibom_State.svg/640px-Flag_of_Akwa_Ibom_State.svg.png"</v>
      </c>
      <c r="CW3" s="48" t="str">
        <f>IF(CH3="y",CHAR(34)&amp;CH$1&amp;CHAR(34)&amp;",","")</f>
        <v/>
      </c>
      <c r="CX3" s="48" t="str">
        <f>IF(CI3="y",CHAR(34)&amp;CI$1&amp;CHAR(34)&amp;",","")</f>
        <v>"3Color",</v>
      </c>
      <c r="CY3" s="48" t="str">
        <f>IF(CJ3="y",CHAR(34)&amp;CJ$1&amp;CHAR(34)&amp;",","")</f>
        <v/>
      </c>
      <c r="CZ3" s="48" t="str">
        <f>IF(CK3="y",CHAR(34)&amp;CK$1&amp;CHAR(34)&amp;",","")</f>
        <v/>
      </c>
      <c r="DA3" s="48" t="str">
        <f>IF(Q3&gt;1,CHAR(34)&amp;"words2"&amp;CHAR(34)&amp;",","")</f>
        <v>"words2",</v>
      </c>
      <c r="DB3" s="48" t="str">
        <f>IF(Q3&gt;2,CHAR(34)&amp;"words3"&amp;CHAR(34)&amp;",","")</f>
        <v/>
      </c>
      <c r="DC3" s="48" t="str">
        <f>IF(Q3=2,CHAR(34)&amp;"exact2"&amp;CHAR(34)&amp;",","")</f>
        <v>"exact2",</v>
      </c>
      <c r="DD3" s="48" t="str">
        <f>IF(LEN(CHAR(34)&amp;"lets"&amp;LEN(SUBSTITUTE(SUBSTITUTE(IFERROR(TRIM(SUBSTITUTE(SUBSTITUTE(SUBSTITUTE(IFERROR(TRIM(SUBSTITUTE(A3,MID(A3,FIND("(",A3),FIND(")",A3)-FIND("(",A3)+1),"")),A3),"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",""),"-",""))&amp;CHAR(34)&amp;",")=9,CHAR(34)&amp;"lets"&amp;LEN(SUBSTITUTE(SUBSTITUTE(IFERROR(TRIM(SUBSTITUTE(SUBSTITUTE(SUBSTITUTE(IFERROR(TRIM(SUBSTITUTE(A3,MID(A3,FIND("(",A3),FIND(")",A3)-FIND("(",A3)+1),"")),A3),"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",""),"-",""))&amp;CHAR(34)&amp;",",CHAR(34)&amp;"lets0"&amp;LEN(SUBSTITUTE(SUBSTITUTE(IFERROR(TRIM(SUBSTITUTE(SUBSTITUTE(SUBSTITUTE(IFERROR(TRIM(SUBSTITUTE(A3,MID(A3,FIND("(",A3),FIND(")",A3)-FIND("(",A3)+1),"")),A3),"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f>
        <v>"lets13",</v>
      </c>
      <c r="DE3" s="48" t="str">
        <f>IFERROR(CHAR(34)&amp;"start"&amp;LEFT(TRIM(SUBSTITUTE(SUBSTITUTE(TRIM(SUBSTITUTE(SUBSTITUTE(A3, MID(A3, FIND("[", A3), FIND("]", A3) - FIND("[", A3) + 1), ""), "  ", " ")), MID(TRIM(SUBSTITUTE(SUBSTITUTE(A3, MID(A3, FIND("[", A3), FIND("]", A3) - FIND("[", A3) + 1), ""), "  ", " ")), FIND("[", TRIM(SUBSTITUTE(SUBSTITUTE(A3, MID(A3, FIND("[", A3), FIND("]", A3) - FIND("[", A3) + 1), ""), "  ", " "))), FIND("]", TRIM(SUBSTITUTE(SUBSTITUTE(A3, MID(A3, FIND("[", A3), FIND("]", A3) - FIND("[", A3) + 1), ""), "  ", " "))) - FIND("[", TRIM(SUBSTITUTE(SUBSTITUTE(A3, MID(A3, FIND("[", A3), FIND("]", A3) - FIND("[", A3) + 1), ""), "  ", " "))) + 1), ""), "  ", " ")),1)&amp;CHAR(34)&amp;",",CHAR(34)&amp;"start"&amp;IFERROR(LEFT(SUBSTITUTE(A3,"["&amp;MID(A3,FIND("[",A3)+1,FIND("]",A3)-FIND("[",A3)-1)&amp;"] ",""),1),LEFT(A3,1))&amp;CHAR(34)&amp;",")</f>
        <v>"startA",</v>
      </c>
      <c r="DF3" s="48" t="str">
        <f>IFERROR(IF(SEARCH("tan",A3)&gt;0,CHAR(34)&amp;"withtn"&amp;CHAR(34)&amp;",",""),"")</f>
        <v/>
      </c>
      <c r="DG3" s="48" t="str">
        <f>IFERROR(IF(SEARCH("q",A3)&gt;0,CHAR(34)&amp;"with_q"&amp;CHAR(34)&amp;",",""),"")</f>
        <v/>
      </c>
      <c r="DH3" s="48" t="str">
        <f>IFERROR(IF(SEARCH("v",A3)&gt;0,CHAR(34)&amp;"with_v"&amp;CHAR(34)&amp;",",""),"")</f>
        <v/>
      </c>
      <c r="DI3" s="48" t="str">
        <f>IFERROR(IF(SEARCH("w",A3)&gt;0,CHAR(34)&amp;"with_w"&amp;CHAR(34)&amp;",",""),"")</f>
        <v>"with_w",</v>
      </c>
      <c r="DJ3" s="48" t="str">
        <f>IFERROR(IF(SEARCH("y",A3)&gt;0,CHAR(34)&amp;"with_y"&amp;CHAR(34)&amp;",",""),"")</f>
        <v/>
      </c>
      <c r="DK3" s="48" t="str">
        <f>IFERROR(IF(SEARCH("z",A3)&gt;0,CHAR(34)&amp;"with_z"&amp;CHAR(34)&amp;",",""),"")</f>
        <v/>
      </c>
      <c r="DL3" s="48" t="str">
        <f>IF(CG3=2, CHAR(34) &amp; _xlfn.TEXTJOIN("", TRUE, _xlfn._xlws.SORT(HP3:HX3)) &amp; CHAR(34) &amp; ",", "")</f>
        <v/>
      </c>
      <c r="DM3" s="48" t="str" cm="1">
        <f t="array" ref="DM3">IF(CG3=3,CHAR(34) &amp; _xlfn.TEXTJOIN("", TRUE, RIGHT(HP3:HX3, 2)) &amp; CHAR(34) &amp; ",", "")</f>
        <v>"RERAHI",</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
      </c>
      <c r="DP3" s="6" t="str">
        <f>IF(AND(ISNUMBER(SEARCH("20", O3)), ISERROR(SEARCH("1920", O3))), CHAR(34)&amp;"year00"&amp;CHAR(34)&amp;",", "")</f>
        <v>"year00",</v>
      </c>
      <c r="DQ3" s="6" t="str">
        <f>IF(CC3="y",CHAR(34)&amp;"soviet"&amp;CHAR(34)&amp;",","")</f>
        <v/>
      </c>
      <c r="DR3" s="6" t="str">
        <f>IF(BY3="y",CHAR(34)&amp;"dgband"&amp;CHAR(34)&amp;",","")</f>
        <v/>
      </c>
      <c r="DS3" s="6" t="str">
        <f>IF(W3="y",IF(AND(V3="n",BY3&lt;&gt;"y"),CHAR(34)&amp;"allver"&amp;CHAR(34)&amp;",",""),"")</f>
        <v/>
      </c>
      <c r="DT3" s="6" t="str">
        <f>IF(V3="y",IF(AND(W3="n",BY3&lt;&gt;"y"),CHAR(34)&amp;"allhor"&amp;CHAR(34)&amp;",",""),"")</f>
        <v/>
      </c>
      <c r="DU3" s="6" t="str">
        <f>IF(BY3="y",IF(AND(W3="n",V3="n"),CHAR(34)&amp;"alldia"&amp;CHAR(34)&amp;",",""),"")</f>
        <v/>
      </c>
      <c r="DV3" s="48" t="str">
        <f>IF(IA3&lt;&gt;"",(IF(IA3="y",CHAR(34)&amp;"largec"&amp;CHAR(34)&amp;",",CHAR(34)&amp;"smallc"&amp;CHAR(34)&amp;",")),"")</f>
        <v/>
      </c>
      <c r="DW3" s="48" t="str">
        <f>IF(CL3="y",CHAR(34)&amp;CL$1&amp;CHAR(34)&amp;",","")</f>
        <v>"NoBand",</v>
      </c>
      <c r="DX3" s="48" t="str">
        <f>IF(CM3="y",CHAR(34)&amp;CM$1&amp;CHAR(34)&amp;",","")</f>
        <v/>
      </c>
      <c r="DY3" s="48" t="str">
        <f>IF(CN3="y",CHAR(34)&amp;CN$1&amp;CHAR(34)&amp;",","")</f>
        <v/>
      </c>
      <c r="DZ3" s="48" t="str">
        <f>IF(CO3="y",CHAR(34)&amp;CO$1&amp;CHAR(34)&amp;",","")</f>
        <v/>
      </c>
      <c r="EA3" s="48" t="str">
        <f>IF(T3="y",CHAR(34)&amp;T$1&amp;CHAR(34)&amp;",","")</f>
        <v>"Diagon",</v>
      </c>
      <c r="EB3" s="48" t="str">
        <f>IF(U3="y",CHAR(34)&amp;U$1&amp;CHAR(34)&amp;",","")</f>
        <v/>
      </c>
      <c r="EC3" s="48" t="str">
        <f>IF(V3="y",CHAR(34)&amp;V$1&amp;CHAR(34)&amp;",","")</f>
        <v/>
      </c>
      <c r="ED3" s="48" t="str">
        <f>IF(W3="y",CHAR(34)&amp;W$1&amp;CHAR(34)&amp;",","")</f>
        <v/>
      </c>
      <c r="EE3" s="48" t="str">
        <f>IF(X3="y",CHAR(34)&amp;X$1&amp;CHAR(34)&amp;",","")</f>
        <v/>
      </c>
      <c r="EF3" s="48" t="str">
        <f>IF(AND(Y3&lt;&gt;"n",Y3&lt;&gt;""),CHAR(34)&amp;Y$1&amp;CHAR(34)&amp;",","")</f>
        <v/>
      </c>
      <c r="EG3" s="48" t="str">
        <f>IF(Z3="y",CHAR(34)&amp;Z$1&amp;CHAR(34)&amp;",","")</f>
        <v/>
      </c>
      <c r="EH3" s="48" t="str">
        <f>IF(AA3="y",CHAR(34)&amp;AA$1&amp;CHAR(34)&amp;",","")</f>
        <v/>
      </c>
      <c r="EI3" s="48" t="str">
        <f>IF(AB3="y",CHAR(34)&amp;AB$1&amp;CHAR(34)&amp;",","")</f>
        <v/>
      </c>
      <c r="EJ3" s="48" t="str">
        <f>IF(AC3="y",CHAR(34)&amp;AC$1&amp;CHAR(34)&amp;",","")</f>
        <v/>
      </c>
      <c r="EK3" s="48" t="str">
        <f>IF(AD3="y",CHAR(34)&amp;AD$1&amp;CHAR(34)&amp;",","")</f>
        <v/>
      </c>
      <c r="EL3" s="48" t="str">
        <f>IF(AE3="y",CHAR(34)&amp;AE$1&amp;CHAR(34)&amp;",","")</f>
        <v/>
      </c>
      <c r="EM3" s="48" t="str">
        <f>IF(AF3="y",CHAR(34)&amp;AF$1&amp;CHAR(34)&amp;",","")</f>
        <v>"Trside",</v>
      </c>
      <c r="EN3" s="48" t="str">
        <f>IF(AG3="y",CHAR(34)&amp;AG$1&amp;CHAR(34)&amp;",","")</f>
        <v/>
      </c>
      <c r="EO3" s="48" t="str">
        <f>IF(AH3="y",CHAR(34)&amp;AH$1&amp;CHAR(34)&amp;",","")</f>
        <v/>
      </c>
      <c r="EP3" s="48" t="str">
        <f>IF(AI3="y",CHAR(34)&amp;AI$1&amp;CHAR(34)&amp;",","")</f>
        <v/>
      </c>
      <c r="EQ3" s="48" t="str">
        <f>IF(AJ3="y",CHAR(34)&amp;AJ$1&amp;CHAR(34)&amp;",","")</f>
        <v/>
      </c>
      <c r="ER3" s="48" t="str">
        <f>IF(AK3="y",CHAR(34)&amp;AK$1&amp;CHAR(34)&amp;",","")</f>
        <v/>
      </c>
      <c r="ES3" s="48" t="str">
        <f>IF(AL3="y",CHAR(34)&amp;AL$1&amp;CHAR(34)&amp;",","")</f>
        <v/>
      </c>
      <c r="ET3" s="48" t="str">
        <f>IF(AM3="y",CHAR(34)&amp;AM$1&amp;CHAR(34)&amp;",","")</f>
        <v/>
      </c>
      <c r="EU3" s="48" t="str">
        <f>IF(AN3="y",CHAR(34)&amp;AN$1&amp;CHAR(34)&amp;",","")</f>
        <v/>
      </c>
      <c r="EV3" s="48" t="str">
        <f>IF(AO3="y",CHAR(34)&amp;AO$1&amp;CHAR(34)&amp;",","")</f>
        <v/>
      </c>
      <c r="EW3" s="48" t="str">
        <f>IF(AP3="y",CHAR(34)&amp;AP$1&amp;CHAR(34)&amp;",","")</f>
        <v/>
      </c>
      <c r="EX3" s="48" t="str">
        <f>IF(AQ3="y",CHAR(34)&amp;AQ$1&amp;CHAR(34)&amp;",","")</f>
        <v/>
      </c>
      <c r="EY3" s="48" t="str">
        <f>IF(AR3="y",CHAR(34)&amp;AR$1&amp;CHAR(34)&amp;",","")</f>
        <v/>
      </c>
      <c r="EZ3" s="48" t="str">
        <f>IF(AS3="y",CHAR(34)&amp;AS$1&amp;CHAR(34)&amp;",","")</f>
        <v/>
      </c>
      <c r="FA3" s="48" t="str">
        <f>IF(AT3&gt;0,CHAR(34)&amp;"sta"&amp;AZ3&amp;CHAR(34)&amp;",","")</f>
        <v/>
      </c>
      <c r="FB3" s="48" t="str">
        <f>IF(AND(AT3&gt;0,BA3&lt;&gt;""),CHAR(34)&amp;"sta"&amp;BA3&amp;CHAR(34)&amp;",","")</f>
        <v/>
      </c>
      <c r="FC3" s="48" t="str">
        <f>IF(AND(AT3&gt;0,BB3&lt;&gt;""),CHAR(34)&amp;"sta"&amp;BB3&amp;CHAR(34)&amp;",","")</f>
        <v/>
      </c>
      <c r="FD3" s="48" t="str">
        <f>IF(BV3="n",CHAR(34)&amp;"tcWHYE"&amp;CHAR(34)&amp;",",IF(BV3="y",CHAR(34)&amp;FD$1&amp;CHAR(34)&amp;",",""))</f>
        <v/>
      </c>
      <c r="FE3" s="48" t="str">
        <f>IF(COUNTIF(BL3:BT3,"BLU")=0,CHAR(34)&amp;"NO_BLU"&amp;CHAR(34)&amp;",", "")</f>
        <v>"NO_BLU",</v>
      </c>
      <c r="FF3" s="48" t="str">
        <f>IF(COUNTIF(BL3:BT3,"WHI")=0,CHAR(34)&amp;"NO_WHI"&amp;CHAR(34)&amp;",", "")</f>
        <v/>
      </c>
      <c r="FG3" s="48" t="str">
        <f>IF(COUNTIF(BL3:BT3,"RED")=0,CHAR(34)&amp;"NO_RED"&amp;CHAR(34)&amp;",", "")</f>
        <v>"NO_RED",</v>
      </c>
      <c r="FH3" s="48" t="str">
        <f>IF(COUNTIF(BL3:BS3,"GRE")=0,CHAR(34)&amp;"NO_GRE"&amp;CHAR(34)&amp;",", "")</f>
        <v/>
      </c>
      <c r="FI3" s="48" t="str">
        <f>IF(COUNTIF(BL3:BT3,"YEL")=0,CHAR(34)&amp;"NO_YEL"&amp;CHAR(34)&amp;",", "")</f>
        <v>"NO_YEL",</v>
      </c>
      <c r="FJ3" s="48" t="str">
        <f>IF(COUNTIF(BL3:BT3,"BLA")=0,CHAR(34)&amp;"NO_BLA"&amp;CHAR(34)&amp;",", "")</f>
        <v>"NO_BLA",</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"BLRENO",</v>
      </c>
      <c r="FP3" s="48" t="str">
        <f>IF(AND(FF3&lt;&gt;"",FF3&lt;&gt;""),CHAR(34)&amp;"WHRENO"&amp;CHAR(34)&amp;",","")</f>
        <v/>
      </c>
      <c r="FQ3" s="48" t="str">
        <f>IF(LEN(BF3)=3,CHAR(34)&amp;"001"&amp;BF3&amp;CHAR(34)&amp;",","")</f>
        <v/>
      </c>
      <c r="FR3" s="48" t="str">
        <f>IF(LEN(BG3)=3,CHAR(34)&amp;"002"&amp;BG3&amp;CHAR(34)&amp;",","")</f>
        <v/>
      </c>
      <c r="FS3" s="48" t="str">
        <f>IF(LEN(BH3)=3,CHAR(34)&amp;"003"&amp;BH3&amp;CHAR(34)&amp;",","")</f>
        <v/>
      </c>
      <c r="FT3" s="48" t="str">
        <f>CHAR(34)&amp;"myr"&amp;BD3&amp;CHAR(34)&amp;","</f>
        <v>"myrGRE",</v>
      </c>
      <c r="FU3" s="48" t="str">
        <f>IF(AY3="y",CHAR(34)&amp;"island"&amp;CHAR(34)&amp;",","")</f>
        <v/>
      </c>
      <c r="FV3" s="48" t="str">
        <f>IF(BZ3="y",CHAR(34)&amp;"landlo"&amp;CHAR(34)&amp;",","")</f>
        <v/>
      </c>
      <c r="FW3" s="48" t="str">
        <f>IF(CA3="y",CHAR(34)&amp;"eunion"&amp;CHAR(34)&amp;",","")</f>
        <v/>
      </c>
      <c r="FX3" s="48" t="str">
        <f>SUBSTITUTE(IFERROR(SEARCH("[",A3),IFERROR(IF(AND(CA3&lt;&gt;"y",SEARCH("Europe",R3)&gt;0),CHAR(34)&amp;"noeuni"&amp;CHAR(34)&amp;",",""),"")),"1","")</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C3" s="48" t="str">
        <f>IFERROR(IF(SEARCH("Portuguese",CB3)&gt;0,CHAR(34)&amp;"portug"&amp;CHAR(34)&amp;",",""),"")</f>
        <v/>
      </c>
      <c r="GD3" s="48" t="str">
        <f>IFERROR(IF(SEARCH("German",CB3)&gt;0,CHAR(34)&amp;"german"&amp;CHAR(34)&amp;",",""),"")</f>
        <v/>
      </c>
      <c r="GE3" s="48" t="str">
        <f>IFERROR(IF(SEARCH("Dutch",CB3)&gt;0,CHAR(34)&amp;"dutchs"&amp;CHAR(34)&amp;",",""),"")</f>
        <v/>
      </c>
      <c r="GF3" s="48" t="str">
        <f>IFERROR(IF(SEARCH("Historical",AU3)&gt;0,CHAR(34)&amp;"histor"&amp;CHAR(34)&amp;",",""),"")</f>
        <v/>
      </c>
      <c r="GG3" s="48" t="str">
        <f>IF(BU3="y",CHAR(34)&amp;"unjack"&amp;CHAR(34)&amp;",","")</f>
        <v/>
      </c>
      <c r="GH3" s="48" t="str">
        <f>IF(CD3=1,CHAR(34)&amp;"southc"&amp;CHAR(34)&amp;",","")</f>
        <v/>
      </c>
      <c r="GI3" s="48" t="str">
        <f>IF(CE3=1,CHAR(34)&amp;"hasmap"&amp;CHAR(34)&amp;",","")</f>
        <v/>
      </c>
      <c r="GJ3" s="48" t="str">
        <f>IF(CP3="y",CHAR(34)&amp;CP$1&amp;CHAR(34)&amp;",","")</f>
        <v>"NoStar",</v>
      </c>
      <c r="GK3" s="48" t="str">
        <f>IF(GJ3="",CHAR(34)&amp;"HasSta"&amp;CHAR(34)&amp;",","")</f>
        <v/>
      </c>
      <c r="GL3" s="48" t="str">
        <f>IF(CQ3="y",CHAR(34)&amp;CQ$1&amp;CHAR(34)&amp;",","")</f>
        <v/>
      </c>
      <c r="GM3" s="48" t="str">
        <f>IF(CR3="y",CHAR(34)&amp;CR$1&amp;CHAR(34)&amp;",","")</f>
        <v/>
      </c>
      <c r="GN3" s="48" t="str">
        <f>IF(CS3="y",CHAR(34)&amp;CS$1&amp;CHAR(34)&amp;",","")</f>
        <v/>
      </c>
      <c r="GP3" s="48" t="str">
        <f>CHAR(34)&amp;AU3&amp;CHAR(34)</f>
        <v>"State"</v>
      </c>
      <c r="GS3" s="48" t="str">
        <f>SUBSTITUTE("["&amp;_xlfn.CONCAT(CW3:GN3)&amp;"]",",]","]")</f>
        <v>["3Color","words2","exact2","lets13","startA","with_w","RERAHI","year00","NoBand","Diagon","Trside","NO_BLU","NO_RED","NO_YEL","NO_BLA","BLRENO","myrGRE","NoStar"]</v>
      </c>
      <c r="GT3" s="48" t="str">
        <f>IF(BL3&lt;&gt;"",CHAR(34)&amp;"cl_"&amp;BL3&amp;CHAR(34)&amp;",","")</f>
        <v/>
      </c>
      <c r="GU3" s="48" t="str">
        <f>IF(BM3&lt;&gt;"",CHAR(34)&amp;"cl_"&amp;BM3&amp;CHAR(34)&amp;",","")</f>
        <v/>
      </c>
      <c r="GV3" s="48" t="str">
        <f>IF(BN3&lt;&gt;"",CHAR(34)&amp;"cl_"&amp;BN3&amp;CHAR(34)&amp;",","")</f>
        <v>"cl_GRE",</v>
      </c>
      <c r="GW3" s="48" t="str">
        <f>IF(BO3&lt;&gt;"",CHAR(34)&amp;"cl_"&amp;BO3&amp;CHAR(34)&amp;",","")</f>
        <v/>
      </c>
      <c r="GX3" s="48" t="str">
        <f>IF(BP3&lt;&gt;"",CHAR(34)&amp;"cl_"&amp;BP3&amp;CHAR(34)&amp;",","")</f>
        <v/>
      </c>
      <c r="GY3" s="48" t="str">
        <f>IF(BQ3&lt;&gt;"",CHAR(34)&amp;"cl_"&amp;BQ3&amp;CHAR(34)&amp;",","")</f>
        <v>"cl_ORA",</v>
      </c>
      <c r="GZ3" s="48" t="str">
        <f>IF(BR3&lt;&gt;"",CHAR(34)&amp;"cl_"&amp;BR3&amp;CHAR(34)&amp;",","")</f>
        <v/>
      </c>
      <c r="HA3" s="48" t="str">
        <f>IF(BS3&lt;&gt;"",CHAR(34)&amp;"cl_"&amp;BS3&amp;CHAR(34)&amp;",","")</f>
        <v/>
      </c>
      <c r="HB3" s="48" t="str">
        <f>IF(BT3&lt;&gt;"",CHAR(34)&amp;"cl_"&amp;BT3&amp;CHAR(34)&amp;",","")</f>
        <v>"cl_WHI",</v>
      </c>
      <c r="HC3" s="48" t="str">
        <f>SUBSTITUTE("["&amp;_xlfn.CONCAT(GT3:HB3)&amp;"]",",]","]")</f>
        <v>["cl_GRE","cl_ORA","cl_WHI"]</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{couname:"[NGA] Akwa Ibom State",year:"2019",region:"rgn_Africa",Colors:["cl_GRE","cl_ORA","cl_WHI"],Items:["3Color","words2","exact2","lets13","startA","with_w","RERAHI","year00","NoBand","Diagon","Trside","NO_BLU","NO_RED","NO_YEL","NO_BLA","BLRENO","myrGRE","NoStar"],Flag:"https://upload.wikimedia.org/wikipedia/commons/thumb/5/5f/Flag_of_Akwa_Ibom_State.svg/640px-Flag_of_Akwa_Ibom_State.svg.png",HDFlag:"https://upload.wikimedia.org/wikipedia/commons/thumb/5/5f/Flag_of_Akwa_Ibom_State.svg/2560px-Flag_of_Akwa_Ibom_State.svg.png",type:"State", describe: "\nThere is an orange triangle on the right side. There is a white arrow like band abutting the orange triangle.  Then there is a green field. The orange and green represent the state's fertility and lushness. The white stripe represents peace and harmony.  The arrow represents progress.", isnew:".", links: "https://en.m.wikipedia.org/wiki/Akwa_Ibom_State#"},</v>
      </c>
      <c r="HG3" s="73" t="str">
        <f>"{couname:"&amp;CT3&amp;(IF(HK3&lt;&gt;"",",subtype:"&amp;CHAR(34)&amp;HK3&amp;CHAR(34),""))&amp;",year:"&amp;HJ3&amp;",region:"&amp;CU3&amp;",Colors:"&amp;HC3&amp;",Items:"&amp;GS3&amp;",Flag:"&amp;CV3&amp;",HDFlag:"&amp;CHAR(34)&amp;E3&amp;CHAR(34)&amp;",type:"&amp;GP3&amp;", describe: "&amp;HI3&amp;", links: "&amp;HL3&amp;"},"</f>
        <v>{couname:"[NGA] Akwa Ibom State",year:"2019",region:"rgn_Africa",Colors:["cl_GRE","cl_ORA","cl_WHI"],Items:["3Color","words2","exact2","lets13","startA","with_w","RERAHI","year00","NoBand","Diagon","Trside","NO_BLU","NO_RED","NO_YEL","NO_BLA","BLRENO","myrGRE","NoStar"],Flag:"https://upload.wikimedia.org/wikipedia/commons/thumb/5/5f/Flag_of_Akwa_Ibom_State.svg/640px-Flag_of_Akwa_Ibom_State.svg.png",HDFlag:"https://upload.wikimedia.org/wikipedia/commons/thumb/5/5f/Flag_of_Akwa_Ibom_State.svg/2560px-Flag_of_Akwa_Ibom_State.svg.png",type:"State", describe: "\nThere is an orange triangle on the right side. There is a white arrow like band abutting the orange triangle.  Then there is a green field. The orange and green represent the state's fertility and lushness. The white stripe represents peace and harmony.  The arrow represents progress.", links: "https://en.m.wikipedia.org/wiki/Akwa_Ibom_State#"},</v>
      </c>
      <c r="HH3" s="48" t="str">
        <f>IF(P3&lt;&gt;"",CHAR(34)&amp;"\n"&amp;P3&amp;CHAR(34),CHAR(34)&amp;CHAR(34))</f>
        <v>"\nThere is an orange triangle on the right side. There is a white arrow like band abutting the orange triangle.  Then there is a green field. The orange and green represent the state's fertility and lushness. The white stripe represents peace and harmony.  The arrow represents progress."</v>
      </c>
      <c r="HI3" s="48" t="str">
        <f>IF(J3=0,CHAR(34)&amp;CHAR(34),HH3)</f>
        <v>"\nThere is an orange triangle on the right side. There is a white arrow like band abutting the orange triangle.  Then there is a green field. The orange and green represent the state's fertility and lushness. The white stripe represents peace and harmony.  The arrow represents progress."</v>
      </c>
      <c r="HJ3" s="48" t="str">
        <f>CHAR(34)&amp;O3&amp;CHAR(34)</f>
        <v>"2019"</v>
      </c>
      <c r="HL3" s="48" t="str">
        <f>CHAR(34)&amp;I3&amp;CHAR(34)</f>
        <v>"https://en.m.wikipedia.org/wiki/Akwa_Ibom_State#"</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{"couname":"[NGA] Akwa Ibom State","year":"2019","region":"rgn_Africa","Colors":["cl_GRE","cl_ORA","cl_WHI"],"Items":["3Color","words2","exact2","lets13","startA","with_w","RERAHI","year00","NoBand","Diagon","Trside","NO_BLU","NO_RED","NO_YEL","NO_BLA","BLRENO","myrGRE","NoStar"],"Flag":"https://upload.wikimedia.org/wikipedia/commons/thumb/5/5f/Flag_of_Akwa_Ibom_State.svg/640px-Flag_of_Akwa_Ibom_State.svg.png","HDFlag":"https://upload.wikimedia.org/wikipedia/commons/thumb/5/5f/Flag_of_Akwa_Ibom_State.svg/2560px-Flag_of_Akwa_Ibom_State.svg.png","type":"State", "describe": "\nThere is an orange triangle on the right side. There is a white arrow like band abutting the orange triangle.  Then there is a green field. The orange and green represent the state's fertility and lushness. The white stripe represents peace and harmony.  The arrow represents progress.", "isnew": ".", "links": "https://en.m.wikipedia.org/wiki/Akwa_Ibom_State#"},</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{"couname":"[NGA] Akwa Ibom State","year":"2019","region":"rgn_Africa","Colors":["cl_GRE","cl_ORA","cl_WHI"],"Items":["3Color","words2","exact2","lets13","startA","with_w","RERAHI","year00","NoBand","Diagon","Trside","NO_BLU","NO_RED","NO_YEL","NO_BLA","BLRENO","myrGRE","NoStar"],"Flag":"https://upload.wikimedia.org/wikipedia/commons/thumb/5/5f/Flag_of_Akwa_Ibom_State.svg/640px-Flag_of_Akwa_Ibom_State.svg.png","HDFlag":"https://upload.wikimedia.org/wikipedia/commons/thumb/5/5f/Flag_of_Akwa_Ibom_State.svg/2560px-Flag_of_Akwa_Ibom_State.svg.png","type":"State", "describe": "\nThere is an orange triangle on the right side. There is a white arrow like band abutting the orange triangle.  Then there is a green field. The orange and green represent the state's fertility and lushness. The white stripe represents peace and harmony.  The arrow represents progress.", "isnew": ".", "links": "https://en.m.wikipedia.org/wiki/Akwa_Ibom_State#"},</v>
      </c>
      <c r="HO3" s="75">
        <v>45576</v>
      </c>
      <c r="HP3" s="48" t="str" cm="1">
        <f t="array" ref="HP3">IF(_xlfn.TEXTJOIN(", ", TRUE, IF(ISNUMBER(SEARCH("BLA", BL3:BT3)), COLUMN(BL3:BT3) - COLUMN(BL3) + 1, ""))&lt;&gt;"","BLA","")</f>
        <v/>
      </c>
      <c r="HQ3" s="48" t="str" cm="1">
        <f t="array" ref="HQ3">IF(_xlfn.TEXTJOIN(", ", TRUE, IF(ISNUMBER(SEARCH("BLU", BL3:BT3)), COLUMN(BL3:BT3) - COLUMN(BL3) + 1, ""))&lt;&gt;"","BLU","")</f>
        <v/>
      </c>
      <c r="HR3" s="48" t="str" cm="1">
        <f t="array" ref="HR3">IF(_xlfn.TEXTJOIN(", ", TRUE, IF(ISNUMBER(SEARCH("GRE", BL3:BT3)), COLUMN(BL3:BT3) - COLUMN(BL3) + 1, ""))&lt;&gt;"","GRE","")</f>
        <v>GRE</v>
      </c>
      <c r="HS3" s="48" t="str" cm="1">
        <f t="array" ref="HS3">IF(_xlfn.TEXTJOIN(", ", TRUE, IF(ISNUMBER(SEARCH("RED", BL3:BT3)), COLUMN(BL3:BT3) - COLUMN(BL3) + 1, ""))&lt;&gt;"","RED","")</f>
        <v/>
      </c>
      <c r="HT3" s="48" t="str" cm="1">
        <f t="array" ref="HT3">IF(_xlfn.TEXTJOIN(", ", TRUE, IF(ISNUMBER(SEARCH("YEL", BL3:BT3)), COLUMN(BL3:BT3) - COLUMN(BL3) + 1, ""))&lt;&gt;"","YEL","")</f>
        <v/>
      </c>
      <c r="HU3" s="48" t="str" cm="1">
        <f t="array" ref="HU3">IF(_xlfn.TEXTJOIN(", ", TRUE, IF(ISNUMBER(SEARCH("ORA", BL3:BT3)), COLUMN(BL3:BT3) - COLUMN(BL3) + 1, ""))&lt;&gt;"","ORA","")</f>
        <v>ORA</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L3" s="48">
        <f>SUM(IC3:IK3)</f>
        <v>0</v>
      </c>
      <c r="IM3" s="45">
        <f>COUNTIF(IC3:IK3,"&gt;0")-CG3</f>
        <v>-3</v>
      </c>
      <c r="IN3" s="78" t="str">
        <f>"http://mkweb.bcgsc.ca/color-summarizer/?url="&amp;D3&amp;"&amp;precision=low&amp;num_clusters="&amp;CG3&amp;"&amp;text=1"</f>
        <v>http://mkweb.bcgsc.ca/color-summarizer/?url=https://upload.wikimedia.org/wikipedia/commons/thumb/5/5f/Flag_of_Akwa_Ibom_State.svg/640px-Flag_of_Akwa_Ibom_State.svg.png&amp;precision=low&amp;num_clusters=3&amp;text=1</v>
      </c>
      <c r="IO3" s="48" t="str">
        <f>IF(HP3&lt;&gt;"",CHAR(34)&amp;"black"&amp;CHAR(34),"")</f>
        <v/>
      </c>
      <c r="IP3" s="48" t="str">
        <f>IF(HQ3&lt;&gt;"",CHAR(34)&amp;"blue"&amp;CHAR(34),"")</f>
        <v/>
      </c>
      <c r="IQ3" s="48" t="str">
        <f>IF(HR3&lt;&gt;"",CHAR(34)&amp;"green"&amp;CHAR(34),"")</f>
        <v>"green"</v>
      </c>
      <c r="IR3" s="48" t="str">
        <f>IF(HS3&lt;&gt;"",CHAR(34)&amp;"red"&amp;CHAR(34),"")</f>
        <v/>
      </c>
      <c r="IS3" s="48" t="str">
        <f>IF(HT3&lt;&gt;"",CHAR(34)&amp;"yellow"&amp;CHAR(34),"")</f>
        <v/>
      </c>
      <c r="IT3" s="48" t="str">
        <f>IF(HU3&lt;&gt;"",CHAR(34)&amp;"orange"&amp;CHAR(34),"")</f>
        <v>"orange"</v>
      </c>
      <c r="IU3" s="48" t="str">
        <f>IF(HV3&lt;&gt;"",CHAR(34)&amp;"brown"&amp;CHAR(34),"")</f>
        <v/>
      </c>
      <c r="IV3" s="48" t="str">
        <f>IF(HW3&lt;&gt;"",CHAR(34)&amp;"purple"&amp;CHAR(34),"")</f>
        <v/>
      </c>
      <c r="IW3" s="48" t="str">
        <f>IF(HX3&lt;&gt;"",CHAR(34)&amp;"white"&amp;CHAR(34),"")</f>
        <v>"white"</v>
      </c>
      <c r="IX3" s="48" t="str">
        <f>"{"&amp;CHAR(34)&amp;"url"&amp;CHAR(34)&amp;":"&amp;CHAR(34)&amp;IN3&amp;CHAR(34)&amp;","&amp;CHAR(34)&amp;"name"&amp;CHAR(34)&amp;":"&amp;CHAR(34)&amp;A3&amp;CHAR(34)&amp;"},"</f>
        <v>{"url":"http://mkweb.bcgsc.ca/color-summarizer/?url=https://upload.wikimedia.org/wikipedia/commons/thumb/5/5f/Flag_of_Akwa_Ibom_State.svg/640px-Flag_of_Akwa_Ibom_State.svg.png&amp;precision=low&amp;num_clusters=3&amp;text=1","name":"[NGA] Akwa Ibom State"},</v>
      </c>
      <c r="IY3" s="48">
        <v>672</v>
      </c>
    </row>
    <row r="4" spans="1:259" s="48" customFormat="1" ht="38.4" customHeight="1" thickBot="1" x14ac:dyDescent="0.35">
      <c r="A4" s="79" t="s">
        <v>950</v>
      </c>
      <c r="B4" s="40" t="e" vm="74">
        <v>#VALUE!</v>
      </c>
      <c r="C4" s="41">
        <v>2</v>
      </c>
      <c r="D4" s="42" t="s">
        <v>951</v>
      </c>
      <c r="E4" s="43" t="s">
        <v>952</v>
      </c>
      <c r="F4" s="44" t="s">
        <v>163</v>
      </c>
      <c r="G4" s="45">
        <f>COUNTIF($A$1:$A$8344,A4)</f>
        <v>1</v>
      </c>
      <c r="H4" s="46"/>
      <c r="I4" s="47" t="s">
        <v>953</v>
      </c>
      <c r="J4" s="48" t="str">
        <f>""</f>
        <v/>
      </c>
      <c r="K4" s="49"/>
      <c r="L4" s="50"/>
      <c r="M4" s="50"/>
      <c r="N4" s="51" t="s">
        <v>180</v>
      </c>
      <c r="O4" s="52">
        <v>2012</v>
      </c>
      <c r="P4" s="53" t="s">
        <v>954</v>
      </c>
      <c r="Q4" s="54">
        <v>2</v>
      </c>
      <c r="R4" s="55" t="s">
        <v>180</v>
      </c>
      <c r="S4" s="56">
        <v>4</v>
      </c>
      <c r="T4" s="57" t="s">
        <v>164</v>
      </c>
      <c r="U4" s="58" t="s">
        <v>164</v>
      </c>
      <c r="V4" s="58" t="s">
        <v>167</v>
      </c>
      <c r="W4" s="58" t="s">
        <v>167</v>
      </c>
      <c r="X4" s="58" t="s">
        <v>164</v>
      </c>
      <c r="Y4" s="58" t="s">
        <v>164</v>
      </c>
      <c r="Z4" s="58" t="s">
        <v>164</v>
      </c>
      <c r="AA4" s="58" t="s">
        <v>164</v>
      </c>
      <c r="AB4" s="58" t="s">
        <v>164</v>
      </c>
      <c r="AC4" s="58" t="s">
        <v>164</v>
      </c>
      <c r="AD4" s="58" t="s">
        <v>164</v>
      </c>
      <c r="AE4" s="58" t="s">
        <v>164</v>
      </c>
      <c r="AF4" s="59" t="s">
        <v>164</v>
      </c>
      <c r="AG4" s="59" t="s">
        <v>167</v>
      </c>
      <c r="AH4" s="59" t="s">
        <v>164</v>
      </c>
      <c r="AI4" s="59" t="s">
        <v>164</v>
      </c>
      <c r="AJ4" s="59" t="s">
        <v>164</v>
      </c>
      <c r="AK4" s="59" t="s">
        <v>164</v>
      </c>
      <c r="AL4" s="59" t="s">
        <v>164</v>
      </c>
      <c r="AM4" s="59" t="s">
        <v>164</v>
      </c>
      <c r="AN4" s="59" t="s">
        <v>164</v>
      </c>
      <c r="AO4" s="59" t="s">
        <v>164</v>
      </c>
      <c r="AP4" s="59" t="s">
        <v>164</v>
      </c>
      <c r="AQ4" s="59" t="s">
        <v>164</v>
      </c>
      <c r="AR4" s="59" t="s">
        <v>164</v>
      </c>
      <c r="AS4" s="59" t="s">
        <v>164</v>
      </c>
      <c r="AT4" s="60">
        <v>3</v>
      </c>
      <c r="AU4" s="59" t="s">
        <v>521</v>
      </c>
      <c r="AV4" s="59" t="str">
        <f>IF(LEFT(A4,1)="[",LEFT(A4,5)&amp;AU4&amp;A4,"")</f>
        <v>[NGA]State[NGA] Bayelsa State</v>
      </c>
      <c r="AW4" s="59" t="str">
        <f t="shared" si="1"/>
        <v>2[NGA] Bayelsa State</v>
      </c>
      <c r="AX4" s="61"/>
      <c r="AY4" s="61"/>
      <c r="AZ4" s="62" t="s">
        <v>159</v>
      </c>
      <c r="BA4" s="62"/>
      <c r="BB4" s="62"/>
      <c r="BC4" s="63"/>
      <c r="BD4" s="64" t="s">
        <v>159</v>
      </c>
      <c r="BE4" s="47"/>
      <c r="BF4" s="64"/>
      <c r="BG4" s="64" t="s">
        <v>154</v>
      </c>
      <c r="BH4" s="64" t="s">
        <v>153</v>
      </c>
      <c r="BI4" s="64" t="s">
        <v>159</v>
      </c>
      <c r="BJ4" s="64" t="s">
        <v>152</v>
      </c>
      <c r="BK4" s="47"/>
      <c r="BL4" s="64" t="s">
        <v>172</v>
      </c>
      <c r="BM4" s="64" t="s">
        <v>152</v>
      </c>
      <c r="BN4" s="64" t="s">
        <v>153</v>
      </c>
      <c r="BO4" s="64" t="s">
        <v>154</v>
      </c>
      <c r="BP4" s="64" t="s">
        <v>172</v>
      </c>
      <c r="BQ4" s="64" t="s">
        <v>172</v>
      </c>
      <c r="BR4" s="64" t="s">
        <v>172</v>
      </c>
      <c r="BS4" s="64" t="s">
        <v>172</v>
      </c>
      <c r="BT4" s="64" t="s">
        <v>159</v>
      </c>
      <c r="BU4" s="65"/>
      <c r="BV4" s="66"/>
      <c r="BW4" s="66">
        <v>0</v>
      </c>
      <c r="BX4" s="47"/>
      <c r="CB4" s="6"/>
      <c r="CC4" s="6"/>
      <c r="CD4" s="67">
        <v>0</v>
      </c>
      <c r="CE4" s="67">
        <v>0</v>
      </c>
      <c r="CF4" s="67" t="e">
        <v>#REF!</v>
      </c>
      <c r="CG4" s="68" cm="1">
        <f t="array" ref="CG4">SUMPRODUCT(--(LEN(TRIM(BL4:BT4))&gt;0))</f>
        <v>4</v>
      </c>
      <c r="CH4" s="59" t="str">
        <f>IF(CG4=2,"y","n")</f>
        <v>n</v>
      </c>
      <c r="CI4" s="59" t="str">
        <f>IF(CG4=3,"y","n")</f>
        <v>n</v>
      </c>
      <c r="CJ4" s="59" t="str">
        <f>IF(CG4=4,"y","n")</f>
        <v>y</v>
      </c>
      <c r="CK4" s="59" t="str">
        <f>IF(CG4&gt;4,"y","n")</f>
        <v>n</v>
      </c>
      <c r="CL4" s="59" t="str">
        <f>IF(S4=0,"y","n")</f>
        <v>n</v>
      </c>
      <c r="CM4" s="59" t="str">
        <f>IF(S4=2,"y","n")</f>
        <v>n</v>
      </c>
      <c r="CN4" s="59" t="str">
        <f>IF(S4=3,"y","n")</f>
        <v>n</v>
      </c>
      <c r="CO4" s="59" t="str">
        <f>IF(S4&gt;=4,"y","n")</f>
        <v>y</v>
      </c>
      <c r="CP4" s="59" t="str">
        <f>IF(AT4=0,"y","n")</f>
        <v>n</v>
      </c>
      <c r="CQ4" s="59" t="str">
        <f>IF(AT4=1,"y","n")</f>
        <v>n</v>
      </c>
      <c r="CR4" s="59" t="str">
        <f>IF(AT4=2,"y","n")</f>
        <v>n</v>
      </c>
      <c r="CS4" s="59" t="str">
        <f>IF(AT4&gt;=3,"y","n")</f>
        <v>y</v>
      </c>
      <c r="CT4" s="69" t="str">
        <f>CHAR(34)&amp;A4&amp;CHAR(34)</f>
        <v>"[NGA] Bayelsa State"</v>
      </c>
      <c r="CU4" s="70" t="str">
        <f>CHAR(34)&amp;"rgn_"&amp;R4&amp;CHAR(34)</f>
        <v>"rgn_Africa"</v>
      </c>
      <c r="CV4" s="48" t="str">
        <f>CHAR(34)&amp;D4&amp;CHAR(34)</f>
        <v>"https://upload.wikimedia.org/wikipedia/commons/thumb/f/fe/Flag_of_Bayelsa_State.svg/640px-Flag_of_Bayelsa_State.svg.png"</v>
      </c>
      <c r="CW4" s="48" t="str">
        <f>IF(CH4="y",CHAR(34)&amp;CH$1&amp;CHAR(34)&amp;",","")</f>
        <v/>
      </c>
      <c r="CX4" s="48" t="str">
        <f>IF(CI4="y",CHAR(34)&amp;CI$1&amp;CHAR(34)&amp;",","")</f>
        <v/>
      </c>
      <c r="CY4" s="48" t="str">
        <f>IF(CJ4="y",CHAR(34)&amp;CJ$1&amp;CHAR(34)&amp;",","")</f>
        <v>"4Color",</v>
      </c>
      <c r="CZ4" s="48" t="str">
        <f>IF(CK4="y",CHAR(34)&amp;CK$1&amp;CHAR(34)&amp;",","")</f>
        <v/>
      </c>
      <c r="DA4" s="48" t="str">
        <f>IF(Q4&gt;1,CHAR(34)&amp;"words2"&amp;CHAR(34)&amp;",","")</f>
        <v>"words2",</v>
      </c>
      <c r="DB4" s="48" t="str">
        <f>IF(Q4&gt;2,CHAR(34)&amp;"words3"&amp;CHAR(34)&amp;",","")</f>
        <v/>
      </c>
      <c r="DC4" s="48" t="str">
        <f>IF(Q4=2,CHAR(34)&amp;"exact2"&amp;CHAR(34)&amp;",","")</f>
        <v>"exact2",</v>
      </c>
      <c r="DD4" s="48" t="str">
        <f>IF(LEN(CHAR(34)&amp;"lets"&amp;LEN(SUBSTITUTE(SUBSTITUTE(IFERROR(TRIM(SUBSTITUTE(SUBSTITUTE(SUBSTITUTE(IFERROR(TRIM(SUBSTITUTE(A4,MID(A4,FIND("(",A4),FIND(")",A4)-FIND("(",A4)+1),"")),A4)," ",""),"-",""),MID(SUBSTITUTE(SUBSTITUTE(IFERROR(TRIM(SUBSTITUTE(A4,MID(A4,FIND("(",A4),FIND(")",A4)-FIND("(",A4)+1),"")),A4)," ",""),"-",""),FIND("[",SUBSTITUTE(SUBSTITUTE(IFERROR(TRIM(SUBSTITUTE(A4,MID(A4,FIND("(",A4),FIND(")",A4)-FIND("(",A4)+1),"")),A4)," ",""),"-","")),FIND("]",SUBSTITUTE(SUBSTITUTE(IFERROR(TRIM(SUBSTITUTE(A4,MID(A4,FIND("(",A4),FIND(")",A4)-FIND("(",A4)+1),"")),A4)," ",""),"-",""))-FIND("[",SUBSTITUTE(SUBSTITUTE(IFERROR(TRIM(SUBSTITUTE(A4,MID(A4,FIND("(",A4),FIND(")",A4)-FIND("(",A4)+1),"")),A4)," ",""),"-",""))+1),"")),SUBSTITUTE(SUBSTITUTE(IFERROR(TRIM(SUBSTITUTE(A4,MID(A4,FIND("(",A4),FIND(")",A4)-FIND("(",A4)+1),"")),A4)," ",""),"-",""))," ",""),"-",""))&amp;CHAR(34)&amp;",")=9,CHAR(34)&amp;"lets"&amp;LEN(SUBSTITUTE(SUBSTITUTE(IFERROR(TRIM(SUBSTITUTE(SUBSTITUTE(SUBSTITUTE(IFERROR(TRIM(SUBSTITUTE(A4,MID(A4,FIND("(",A4),FIND(")",A4)-FIND("(",A4)+1),"")),A4)," ",""),"-",""),MID(SUBSTITUTE(SUBSTITUTE(IFERROR(TRIM(SUBSTITUTE(A4,MID(A4,FIND("(",A4),FIND(")",A4)-FIND("(",A4)+1),"")),A4)," ",""),"-",""),FIND("[",SUBSTITUTE(SUBSTITUTE(IFERROR(TRIM(SUBSTITUTE(A4,MID(A4,FIND("(",A4),FIND(")",A4)-FIND("(",A4)+1),"")),A4)," ",""),"-","")),FIND("]",SUBSTITUTE(SUBSTITUTE(IFERROR(TRIM(SUBSTITUTE(A4,MID(A4,FIND("(",A4),FIND(")",A4)-FIND("(",A4)+1),"")),A4)," ",""),"-",""))-FIND("[",SUBSTITUTE(SUBSTITUTE(IFERROR(TRIM(SUBSTITUTE(A4,MID(A4,FIND("(",A4),FIND(")",A4)-FIND("(",A4)+1),"")),A4)," ",""),"-",""))+1),"")),SUBSTITUTE(SUBSTITUTE(IFERROR(TRIM(SUBSTITUTE(A4,MID(A4,FIND("(",A4),FIND(")",A4)-FIND("(",A4)+1),"")),A4)," ",""),"-",""))," ",""),"-",""))&amp;CHAR(34)&amp;",",CHAR(34)&amp;"lets0"&amp;LEN(SUBSTITUTE(SUBSTITUTE(IFERROR(TRIM(SUBSTITUTE(SUBSTITUTE(SUBSTITUTE(IFERROR(TRIM(SUBSTITUTE(A4,MID(A4,FIND("(",A4),FIND(")",A4)-FIND("(",A4)+1),"")),A4)," ",""),"-",""),MID(SUBSTITUTE(SUBSTITUTE(IFERROR(TRIM(SUBSTITUTE(A4,MID(A4,FIND("(",A4),FIND(")",A4)-FIND("(",A4)+1),"")),A4)," ",""),"-",""),FIND("[",SUBSTITUTE(SUBSTITUTE(IFERROR(TRIM(SUBSTITUTE(A4,MID(A4,FIND("(",A4),FIND(")",A4)-FIND("(",A4)+1),"")),A4)," ",""),"-","")),FIND("]",SUBSTITUTE(SUBSTITUTE(IFERROR(TRIM(SUBSTITUTE(A4,MID(A4,FIND("(",A4),FIND(")",A4)-FIND("(",A4)+1),"")),A4)," ",""),"-",""))-FIND("[",SUBSTITUTE(SUBSTITUTE(IFERROR(TRIM(SUBSTITUTE(A4,MID(A4,FIND("(",A4),FIND(")",A4)-FIND("(",A4)+1),"")),A4)," ",""),"-",""))+1),"")),SUBSTITUTE(SUBSTITUTE(IFERROR(TRIM(SUBSTITUTE(A4,MID(A4,FIND("(",A4),FIND(")",A4)-FIND("(",A4)+1),"")),A4)," ",""),"-",""))," ",""),"-",""))&amp;CHAR(34)&amp;",")</f>
        <v>"lets12",</v>
      </c>
      <c r="DE4" s="48" t="str">
        <f>IFERROR(CHAR(34)&amp;"start"&amp;LEFT(TRIM(SUBSTITUTE(SUBSTITUTE(TRIM(SUBSTITUTE(SUBSTITUTE(A4, MID(A4, FIND("[", A4), FIND("]", A4) - FIND("[", A4) + 1), ""), "  ", " ")), MID(TRIM(SUBSTITUTE(SUBSTITUTE(A4, MID(A4, FIND("[", A4), FIND("]", A4) - FIND("[", A4) + 1), ""), "  ", " ")), FIND("[", TRIM(SUBSTITUTE(SUBSTITUTE(A4, MID(A4, FIND("[", A4), FIND("]", A4) - FIND("[", A4) + 1), ""), "  ", " "))), FIND("]", TRIM(SUBSTITUTE(SUBSTITUTE(A4, MID(A4, FIND("[", A4), FIND("]", A4) - FIND("[", A4) + 1), ""), "  ", " "))) - FIND("[", TRIM(SUBSTITUTE(SUBSTITUTE(A4, MID(A4, FIND("[", A4), FIND("]", A4) - FIND("[", A4) + 1), ""), "  ", " "))) + 1), ""), "  ", " ")),1)&amp;CHAR(34)&amp;",",CHAR(34)&amp;"start"&amp;IFERROR(LEFT(SUBSTITUTE(A4,"["&amp;MID(A4,FIND("[",A4)+1,FIND("]",A4)-FIND("[",A4)-1)&amp;"] ",""),1),LEFT(A4,1))&amp;CHAR(34)&amp;",")</f>
        <v>"startB",</v>
      </c>
      <c r="DF4" s="48" t="str">
        <f>IFERROR(IF(SEARCH("tan",A4)&gt;0,CHAR(34)&amp;"withtn"&amp;CHAR(34)&amp;",",""),"")</f>
        <v/>
      </c>
      <c r="DG4" s="48" t="str">
        <f>IFERROR(IF(SEARCH("q",A4)&gt;0,CHAR(34)&amp;"with_q"&amp;CHAR(34)&amp;",",""),"")</f>
        <v/>
      </c>
      <c r="DH4" s="48" t="str">
        <f>IFERROR(IF(SEARCH("v",A4)&gt;0,CHAR(34)&amp;"with_v"&amp;CHAR(34)&amp;",",""),"")</f>
        <v/>
      </c>
      <c r="DI4" s="48" t="str">
        <f>IFERROR(IF(SEARCH("w",A4)&gt;0,CHAR(34)&amp;"with_w"&amp;CHAR(34)&amp;",",""),"")</f>
        <v/>
      </c>
      <c r="DJ4" s="48" t="str">
        <f>IFERROR(IF(SEARCH("y",A4)&gt;0,CHAR(34)&amp;"with_y"&amp;CHAR(34)&amp;",",""),"")</f>
        <v>"with_y",</v>
      </c>
      <c r="DK4" s="48" t="str">
        <f>IFERROR(IF(SEARCH("z",A4)&gt;0,CHAR(34)&amp;"with_z"&amp;CHAR(34)&amp;",",""),"")</f>
        <v/>
      </c>
      <c r="DL4" s="48" t="str">
        <f>IF(CG4=2, CHAR(34) &amp; _xlfn.TEXTJOIN("", TRUE, _xlfn._xlws.SORT(HP4:HX4)) &amp; CHAR(34) &amp; ",", "")</f>
        <v/>
      </c>
      <c r="DM4" s="48" t="str" cm="1">
        <f t="array" ref="DM4">IF(CG4=3,CHAR(34) &amp; _xlfn.TEXTJOIN("", TRUE, RIGHT(HP4:HX4, 2)) &amp; CHAR(34) &amp; ",", "")</f>
        <v/>
      </c>
      <c r="DN4" s="48" t="str">
        <f>IF(AND(ISNUMBER(SEARCH("18", O4)), ISERROR(SEARCH("1918", O4)), ISERROR(SEARCH("2018", O4))), CHAR(34) &amp; "year18" &amp; CHAR(34) &amp; ",", "")</f>
        <v/>
      </c>
      <c r="DO4" s="48" t="str">
        <f>IF(AND(ISNUMBER(SEARCH("19", O4)), ISERROR(SEARCH("1819", O4)),  ISERROR(SEARCH("1219", O4)),ISERROR(SEARCH("1119", O4)),ISERROR(SEARCH("1190", O4)),ISERROR(SEARCH("2019", O4))), CHAR(34) &amp; "year19" &amp; CHAR(34) &amp; ",", "")</f>
        <v/>
      </c>
      <c r="DP4" s="6" t="str">
        <f>IF(AND(ISNUMBER(SEARCH("20", O4)), ISERROR(SEARCH("1920", O4))), CHAR(34)&amp;"year00"&amp;CHAR(34)&amp;",", "")</f>
        <v>"year00",</v>
      </c>
      <c r="DQ4" s="6" t="str">
        <f>IF(CC4="y",CHAR(34)&amp;"soviet"&amp;CHAR(34)&amp;",","")</f>
        <v/>
      </c>
      <c r="DR4" s="6" t="str">
        <f>IF(BY4="y",CHAR(34)&amp;"dgband"&amp;CHAR(34)&amp;",","")</f>
        <v/>
      </c>
      <c r="DS4" s="6" t="str">
        <f>IF(W4="y",IF(AND(V4="n",BY4&lt;&gt;"y"),CHAR(34)&amp;"allver"&amp;CHAR(34)&amp;",",""),"")</f>
        <v/>
      </c>
      <c r="DT4" s="6" t="str">
        <f>IF(V4="y",IF(AND(W4="n",BY4&lt;&gt;"y"),CHAR(34)&amp;"allhor"&amp;CHAR(34)&amp;",",""),"")</f>
        <v/>
      </c>
      <c r="DU4" s="6" t="str">
        <f>IF(BY4="y",IF(AND(W4="n",V4="n"),CHAR(34)&amp;"alldia"&amp;CHAR(34)&amp;",",""),"")</f>
        <v/>
      </c>
      <c r="DV4" s="48" t="str">
        <f>IF(IA4&lt;&gt;"",(IF(IA4="y",CHAR(34)&amp;"largec"&amp;CHAR(34)&amp;",",CHAR(34)&amp;"smallc"&amp;CHAR(34)&amp;",")),"")</f>
        <v/>
      </c>
      <c r="DW4" s="48" t="str">
        <f>IF(CL4="y",CHAR(34)&amp;CL$1&amp;CHAR(34)&amp;",","")</f>
        <v/>
      </c>
      <c r="DX4" s="48" t="str">
        <f>IF(CM4="y",CHAR(34)&amp;CM$1&amp;CHAR(34)&amp;",","")</f>
        <v/>
      </c>
      <c r="DY4" s="48" t="str">
        <f>IF(CN4="y",CHAR(34)&amp;CN$1&amp;CHAR(34)&amp;",","")</f>
        <v/>
      </c>
      <c r="DZ4" s="48" t="str">
        <f>IF(CO4="y",CHAR(34)&amp;CO$1&amp;CHAR(34)&amp;",","")</f>
        <v>"4+Band",</v>
      </c>
      <c r="EA4" s="48" t="str">
        <f>IF(T4="y",CHAR(34)&amp;T$1&amp;CHAR(34)&amp;",","")</f>
        <v/>
      </c>
      <c r="EB4" s="48" t="str">
        <f>IF(U4="y",CHAR(34)&amp;U$1&amp;CHAR(34)&amp;",","")</f>
        <v/>
      </c>
      <c r="EC4" s="48" t="str">
        <f>IF(V4="y",CHAR(34)&amp;V$1&amp;CHAR(34)&amp;",","")</f>
        <v>"Horizo",</v>
      </c>
      <c r="ED4" s="48" t="str">
        <f>IF(W4="y",CHAR(34)&amp;W$1&amp;CHAR(34)&amp;",","")</f>
        <v>"Vertic",</v>
      </c>
      <c r="EE4" s="48" t="str">
        <f>IF(X4="y",CHAR(34)&amp;X$1&amp;CHAR(34)&amp;",","")</f>
        <v/>
      </c>
      <c r="EF4" s="48" t="str">
        <f>IF(AND(Y4&lt;&gt;"n",Y4&lt;&gt;""),CHAR(34)&amp;Y$1&amp;CHAR(34)&amp;",","")</f>
        <v/>
      </c>
      <c r="EG4" s="48" t="str">
        <f>IF(Z4="y",CHAR(34)&amp;Z$1&amp;CHAR(34)&amp;",","")</f>
        <v/>
      </c>
      <c r="EH4" s="48" t="str">
        <f>IF(AA4="y",CHAR(34)&amp;AA$1&amp;CHAR(34)&amp;",","")</f>
        <v/>
      </c>
      <c r="EI4" s="48" t="str">
        <f>IF(AB4="y",CHAR(34)&amp;AB$1&amp;CHAR(34)&amp;",","")</f>
        <v/>
      </c>
      <c r="EJ4" s="48" t="str">
        <f>IF(AC4="y",CHAR(34)&amp;AC$1&amp;CHAR(34)&amp;",","")</f>
        <v/>
      </c>
      <c r="EK4" s="48" t="str">
        <f>IF(AD4="y",CHAR(34)&amp;AD$1&amp;CHAR(34)&amp;",","")</f>
        <v/>
      </c>
      <c r="EL4" s="48" t="str">
        <f>IF(AE4="y",CHAR(34)&amp;AE$1&amp;CHAR(34)&amp;",","")</f>
        <v/>
      </c>
      <c r="EM4" s="48" t="str">
        <f>IF(AF4="y",CHAR(34)&amp;AF$1&amp;CHAR(34)&amp;",","")</f>
        <v/>
      </c>
      <c r="EN4" s="48" t="str">
        <f>IF(AG4="y",CHAR(34)&amp;AG$1&amp;CHAR(34)&amp;",","")</f>
        <v>"Unequa",</v>
      </c>
      <c r="EO4" s="48" t="str">
        <f>IF(AH4="y",CHAR(34)&amp;AH$1&amp;CHAR(34)&amp;",","")</f>
        <v/>
      </c>
      <c r="EP4" s="48" t="str">
        <f>IF(AI4="y",CHAR(34)&amp;AI$1&amp;CHAR(34)&amp;",","")</f>
        <v/>
      </c>
      <c r="EQ4" s="48" t="str">
        <f>IF(AJ4="y",CHAR(34)&amp;AJ$1&amp;CHAR(34)&amp;",","")</f>
        <v/>
      </c>
      <c r="ER4" s="48" t="str">
        <f>IF(AK4="y",CHAR(34)&amp;AK$1&amp;CHAR(34)&amp;",","")</f>
        <v/>
      </c>
      <c r="ES4" s="48" t="str">
        <f>IF(AL4="y",CHAR(34)&amp;AL$1&amp;CHAR(34)&amp;",","")</f>
        <v/>
      </c>
      <c r="ET4" s="48" t="str">
        <f>IF(AM4="y",CHAR(34)&amp;AM$1&amp;CHAR(34)&amp;",","")</f>
        <v/>
      </c>
      <c r="EU4" s="48" t="str">
        <f>IF(AN4="y",CHAR(34)&amp;AN$1&amp;CHAR(34)&amp;",","")</f>
        <v/>
      </c>
      <c r="EV4" s="48" t="str">
        <f>IF(AO4="y",CHAR(34)&amp;AO$1&amp;CHAR(34)&amp;",","")</f>
        <v/>
      </c>
      <c r="EW4" s="48" t="str">
        <f>IF(AP4="y",CHAR(34)&amp;AP$1&amp;CHAR(34)&amp;",","")</f>
        <v/>
      </c>
      <c r="EX4" s="48" t="str">
        <f>IF(AQ4="y",CHAR(34)&amp;AQ$1&amp;CHAR(34)&amp;",","")</f>
        <v/>
      </c>
      <c r="EY4" s="48" t="str">
        <f>IF(AR4="y",CHAR(34)&amp;AR$1&amp;CHAR(34)&amp;",","")</f>
        <v/>
      </c>
      <c r="EZ4" s="48" t="str">
        <f>IF(AS4="y",CHAR(34)&amp;AS$1&amp;CHAR(34)&amp;",","")</f>
        <v/>
      </c>
      <c r="FA4" s="48" t="str">
        <f>IF(AT4&gt;0,CHAR(34)&amp;"sta"&amp;AZ4&amp;CHAR(34)&amp;",","")</f>
        <v>"staWHI",</v>
      </c>
      <c r="FB4" s="48" t="str">
        <f>IF(AND(AT4&gt;0,BA4&lt;&gt;""),CHAR(34)&amp;"sta"&amp;BA4&amp;CHAR(34)&amp;",","")</f>
        <v/>
      </c>
      <c r="FC4" s="48" t="str">
        <f>IF(AND(AT4&gt;0,BB4&lt;&gt;""),CHAR(34)&amp;"sta"&amp;BB4&amp;CHAR(34)&amp;",","")</f>
        <v/>
      </c>
      <c r="FD4" s="48" t="str">
        <f>IF(BV4="n",CHAR(34)&amp;"tcWHYE"&amp;CHAR(34)&amp;",",IF(BV4="y",CHAR(34)&amp;FD$1&amp;CHAR(34)&amp;",",""))</f>
        <v/>
      </c>
      <c r="FE4" s="48" t="str">
        <f>IF(COUNTIF(BL4:BT4,"BLU")=0,CHAR(34)&amp;"NO_BLU"&amp;CHAR(34)&amp;",", "")</f>
        <v/>
      </c>
      <c r="FF4" s="48" t="str">
        <f>IF(COUNTIF(BL4:BT4,"WHI")=0,CHAR(34)&amp;"NO_WHI"&amp;CHAR(34)&amp;",", "")</f>
        <v/>
      </c>
      <c r="FG4" s="48" t="str">
        <f>IF(COUNTIF(BL4:BT4,"RED")=0,CHAR(34)&amp;"NO_RED"&amp;CHAR(34)&amp;",", "")</f>
        <v/>
      </c>
      <c r="FH4" s="48" t="str">
        <f>IF(COUNTIF(BL4:BS4,"GRE")=0,CHAR(34)&amp;"NO_GRE"&amp;CHAR(34)&amp;",", "")</f>
        <v/>
      </c>
      <c r="FI4" s="48" t="str">
        <f>IF(COUNTIF(BL4:BT4,"YEL")=0,CHAR(34)&amp;"NO_YEL"&amp;CHAR(34)&amp;",", "")</f>
        <v>"NO_YEL",</v>
      </c>
      <c r="FJ4" s="48" t="str">
        <f>IF(COUNTIF(BL4:BT4,"BLA")=0,CHAR(34)&amp;"NO_BLA"&amp;CHAR(34)&amp;",", "")</f>
        <v>"NO_BLA",</v>
      </c>
      <c r="FK4" s="48" t="str">
        <f>IF(AND(FH4&lt;&gt;"",FF4&lt;&gt;""),CHAR(34)&amp;"WHGRNO"&amp;CHAR(34)&amp;",","")</f>
        <v/>
      </c>
      <c r="FL4" s="48" t="str">
        <f>IF(AND(FI4&lt;&gt;"",FF4&lt;&gt;""),CHAR(34)&amp;"WHYENO"&amp;CHAR(34)&amp;",","")</f>
        <v/>
      </c>
      <c r="FM4" s="48" t="str">
        <f>IF(AND(FJ4&lt;&gt;"",FF4&lt;&gt;""),CHAR(34)&amp;"BAWHNO"&amp;CHAR(34)&amp;",","")</f>
        <v/>
      </c>
      <c r="FN4" s="48" t="str">
        <f>IF(AND(FE4&lt;&gt;"",FF4&lt;&gt;""),CHAR(34)&amp;"BLWHNO"&amp;CHAR(34)&amp;",","")</f>
        <v/>
      </c>
      <c r="FO4" s="48" t="str">
        <f>IF(AND(FE4&lt;&gt;"",FG4&lt;&gt;""),CHAR(34)&amp;"BLRENO"&amp;CHAR(34)&amp;",","")</f>
        <v/>
      </c>
      <c r="FP4" s="48" t="str">
        <f>IF(AND(FF4&lt;&gt;"",FF4&lt;&gt;""),CHAR(34)&amp;"WHRENO"&amp;CHAR(34)&amp;",","")</f>
        <v/>
      </c>
      <c r="FQ4" s="48" t="str">
        <f>IF(LEN(BF4)=3,CHAR(34)&amp;"001"&amp;BF4&amp;CHAR(34)&amp;",","")</f>
        <v/>
      </c>
      <c r="FR4" s="48" t="str">
        <f>IF(LEN(BG4)=3,CHAR(34)&amp;"002"&amp;BG4&amp;CHAR(34)&amp;",","")</f>
        <v>"002RED",</v>
      </c>
      <c r="FS4" s="48" t="str">
        <f>IF(LEN(BH4)=3,CHAR(34)&amp;"003"&amp;BH4&amp;CHAR(34)&amp;",","")</f>
        <v>"003GRE",</v>
      </c>
      <c r="FT4" s="48" t="str">
        <f>CHAR(34)&amp;"myr"&amp;BD4&amp;CHAR(34)&amp;","</f>
        <v>"myrWHI",</v>
      </c>
      <c r="FU4" s="48" t="str">
        <f>IF(AY4="y",CHAR(34)&amp;"island"&amp;CHAR(34)&amp;",","")</f>
        <v/>
      </c>
      <c r="FV4" s="48" t="str">
        <f>IF(BZ4="y",CHAR(34)&amp;"landlo"&amp;CHAR(34)&amp;",","")</f>
        <v/>
      </c>
      <c r="FW4" s="48" t="str">
        <f>IF(CA4="y",CHAR(34)&amp;"eunion"&amp;CHAR(34)&amp;",","")</f>
        <v/>
      </c>
      <c r="FX4" s="48" t="str">
        <f>SUBSTITUTE(IFERROR(SEARCH("[",A4),IFERROR(IF(AND(CA4&lt;&gt;"y",SEARCH("Europe",R4)&gt;0),CHAR(34)&amp;"noeuni"&amp;CHAR(34)&amp;",",""),"")),"1","")</f>
        <v/>
      </c>
      <c r="FY4" s="48" t="str">
        <f>IFERROR(IF(SEARCH("Arabic",CB4)&gt;0,CHAR(34)&amp;"arabic"&amp;CHAR(34)&amp;",",""),"")</f>
        <v/>
      </c>
      <c r="FZ4" s="48" t="str">
        <f>IFERROR(IF(SEARCH("English",CB4)&gt;0,CHAR(34)&amp;"englis"&amp;CHAR(34)&amp;",",""),"")</f>
        <v/>
      </c>
      <c r="GA4" s="48" t="str">
        <f>IFERROR(IF(SEARCH("French",CB4)&gt;0,CHAR(34)&amp;"french"&amp;CHAR(34)&amp;",",""),"")</f>
        <v/>
      </c>
      <c r="GB4" s="48" t="str">
        <f>IFERROR(IF(SEARCH("Spanish",CB4)&gt;0,CHAR(34)&amp;"spanis"&amp;CHAR(34)&amp;",",""),"")</f>
        <v/>
      </c>
      <c r="GC4" s="48" t="str">
        <f>IFERROR(IF(SEARCH("Portuguese",CB4)&gt;0,CHAR(34)&amp;"portug"&amp;CHAR(34)&amp;",",""),"")</f>
        <v/>
      </c>
      <c r="GD4" s="48" t="str">
        <f>IFERROR(IF(SEARCH("German",CB4)&gt;0,CHAR(34)&amp;"german"&amp;CHAR(34)&amp;",",""),"")</f>
        <v/>
      </c>
      <c r="GE4" s="48" t="str">
        <f>IFERROR(IF(SEARCH("Dutch",CB4)&gt;0,CHAR(34)&amp;"dutchs"&amp;CHAR(34)&amp;",",""),"")</f>
        <v/>
      </c>
      <c r="GF4" s="48" t="str">
        <f>IFERROR(IF(SEARCH("Historical",AU4)&gt;0,CHAR(34)&amp;"histor"&amp;CHAR(34)&amp;",",""),"")</f>
        <v/>
      </c>
      <c r="GG4" s="48" t="str">
        <f>IF(BU4="y",CHAR(34)&amp;"unjack"&amp;CHAR(34)&amp;",","")</f>
        <v/>
      </c>
      <c r="GH4" s="48" t="str">
        <f>IF(CD4=1,CHAR(34)&amp;"southc"&amp;CHAR(34)&amp;",","")</f>
        <v/>
      </c>
      <c r="GI4" s="48" t="str">
        <f>IF(CE4=1,CHAR(34)&amp;"hasmap"&amp;CHAR(34)&amp;",","")</f>
        <v/>
      </c>
      <c r="GJ4" s="48" t="str">
        <f>IF(CP4="y",CHAR(34)&amp;CP$1&amp;CHAR(34)&amp;",","")</f>
        <v/>
      </c>
      <c r="GK4" s="48" t="str">
        <f>IF(GJ4="",CHAR(34)&amp;"HasSta"&amp;CHAR(34)&amp;",","")</f>
        <v>"HasSta",</v>
      </c>
      <c r="GL4" s="48" t="str">
        <f>IF(CQ4="y",CHAR(34)&amp;CQ$1&amp;CHAR(34)&amp;",","")</f>
        <v/>
      </c>
      <c r="GM4" s="48" t="str">
        <f>IF(CR4="y",CHAR(34)&amp;CR$1&amp;CHAR(34)&amp;",","")</f>
        <v/>
      </c>
      <c r="GN4" s="48" t="str">
        <f>IF(CS4="y",CHAR(34)&amp;CS$1&amp;CHAR(34)&amp;",","")</f>
        <v>"3+Star",</v>
      </c>
      <c r="GP4" s="48" t="str">
        <f>CHAR(34)&amp;AU4&amp;CHAR(34)</f>
        <v>"State"</v>
      </c>
      <c r="GS4" s="48" t="str">
        <f>SUBSTITUTE("["&amp;_xlfn.CONCAT(CW4:GN4)&amp;"]",",]","]")</f>
        <v>["4Color","words2","exact2","lets12","startB","with_y","year00","4+Band","Horizo","Vertic","Unequa","staWHI","NO_YEL","NO_BLA","002RED","003GRE","myrWHI","HasSta","3+Star"]</v>
      </c>
      <c r="GT4" s="48" t="str">
        <f>IF(BL4&lt;&gt;"",CHAR(34)&amp;"cl_"&amp;BL4&amp;CHAR(34)&amp;",","")</f>
        <v/>
      </c>
      <c r="GU4" s="48" t="str">
        <f>IF(BM4&lt;&gt;"",CHAR(34)&amp;"cl_"&amp;BM4&amp;CHAR(34)&amp;",","")</f>
        <v>"cl_BLU",</v>
      </c>
      <c r="GV4" s="48" t="str">
        <f>IF(BN4&lt;&gt;"",CHAR(34)&amp;"cl_"&amp;BN4&amp;CHAR(34)&amp;",","")</f>
        <v>"cl_GRE",</v>
      </c>
      <c r="GW4" s="48" t="str">
        <f>IF(BO4&lt;&gt;"",CHAR(34)&amp;"cl_"&amp;BO4&amp;CHAR(34)&amp;",","")</f>
        <v>"cl_RED",</v>
      </c>
      <c r="GX4" s="48" t="str">
        <f>IF(BP4&lt;&gt;"",CHAR(34)&amp;"cl_"&amp;BP4&amp;CHAR(34)&amp;",","")</f>
        <v/>
      </c>
      <c r="GY4" s="48" t="str">
        <f>IF(BQ4&lt;&gt;"",CHAR(34)&amp;"cl_"&amp;BQ4&amp;CHAR(34)&amp;",","")</f>
        <v/>
      </c>
      <c r="GZ4" s="48" t="str">
        <f>IF(BR4&lt;&gt;"",CHAR(34)&amp;"cl_"&amp;BR4&amp;CHAR(34)&amp;",","")</f>
        <v/>
      </c>
      <c r="HA4" s="48" t="str">
        <f>IF(BS4&lt;&gt;"",CHAR(34)&amp;"cl_"&amp;BS4&amp;CHAR(34)&amp;",","")</f>
        <v/>
      </c>
      <c r="HB4" s="48" t="str">
        <f>IF(BT4&lt;&gt;"",CHAR(34)&amp;"cl_"&amp;BT4&amp;CHAR(34)&amp;",","")</f>
        <v>"cl_WHI",</v>
      </c>
      <c r="HC4" s="48" t="str">
        <f>SUBSTITUTE("["&amp;_xlfn.CONCAT(GT4:HB4)&amp;"]",",]","]")</f>
        <v>["cl_BLU","cl_GRE","cl_RED","cl_WHI"]</v>
      </c>
      <c r="HE4" s="71"/>
      <c r="HF4" s="72" t="str">
        <f>"{couname:"&amp;CT4&amp;(IF(HK4&lt;&gt;"",",subtype:"&amp;CHAR(34)&amp;HK4&amp;CHAR(34),""))&amp;",year:"&amp;HJ4&amp;",region:"&amp;CU4&amp;",Colors:"&amp;HC4&amp;",Items:"&amp;GS4&amp;",Flag:"&amp;CV4&amp;",HDFlag:"&amp;CHAR(34)&amp;E4&amp;CHAR(34)&amp;",type:"&amp;GP4&amp;", describe: "&amp;HH4&amp;", isnew:"&amp;CHAR(34)&amp;F4&amp;CHAR(34)&amp;", links: "&amp;HL4&amp;"},"</f>
        <v>{couname:"[NGA] Bayelsa State",year:"2012",region:"rgn_Africa",Colors:["cl_BLU","cl_GRE","cl_RED","cl_WHI"],Items:["4Color","words2","exact2","lets12","startB","with_y","year00","4+Band","Horizo","Vertic","Unequa","staWHI","NO_YEL","NO_BLA","002RED","003GRE","myrWHI","HasSta","3+Star"],Flag:"https://upload.wikimedia.org/wikipedia/commons/thumb/f/fe/Flag_of_Bayelsa_State.svg/640px-Flag_of_Bayelsa_State.svg.png",HDFlag:"https://upload.wikimedia.org/wikipedia/commons/thumb/f/fe/Flag_of_Bayelsa_State.svg/2560px-Flag_of_Bayelsa_State.svg.png",type:"State", describe: "\nWhite field on the left. On the right are three equal horizontal bands, each with a white star on the left. The top band is blue. The middle band is red. The bottom band is green. White represents  purity honor and truthfulness of the people and their quest for justice. The blue represents abundance of waters and their inherent resources.  The red represents the memory and sacrifices of our heroes. The green represents rich vegetation. The stars represent the hopes and aspirations of our people. ", isnew:".", links: "https://en.m.wikipedia.org/wiki/Bayelsa_State#"},</v>
      </c>
      <c r="HG4" s="73" t="str">
        <f>"{couname:"&amp;CT4&amp;(IF(HK4&lt;&gt;"",",subtype:"&amp;CHAR(34)&amp;HK4&amp;CHAR(34),""))&amp;",year:"&amp;HJ4&amp;",region:"&amp;CU4&amp;",Colors:"&amp;HC4&amp;",Items:"&amp;GS4&amp;",Flag:"&amp;CV4&amp;",HDFlag:"&amp;CHAR(34)&amp;E4&amp;CHAR(34)&amp;",type:"&amp;GP4&amp;", describe: "&amp;HI4&amp;", links: "&amp;HL4&amp;"},"</f>
        <v>{couname:"[NGA] Bayelsa State",year:"2012",region:"rgn_Africa",Colors:["cl_BLU","cl_GRE","cl_RED","cl_WHI"],Items:["4Color","words2","exact2","lets12","startB","with_y","year00","4+Band","Horizo","Vertic","Unequa","staWHI","NO_YEL","NO_BLA","002RED","003GRE","myrWHI","HasSta","3+Star"],Flag:"https://upload.wikimedia.org/wikipedia/commons/thumb/f/fe/Flag_of_Bayelsa_State.svg/640px-Flag_of_Bayelsa_State.svg.png",HDFlag:"https://upload.wikimedia.org/wikipedia/commons/thumb/f/fe/Flag_of_Bayelsa_State.svg/2560px-Flag_of_Bayelsa_State.svg.png",type:"State", describe: "\nWhite field on the left. On the right are three equal horizontal bands, each with a white star on the left. The top band is blue. The middle band is red. The bottom band is green. White represents  purity honor and truthfulness of the people and their quest for justice. The blue represents abundance of waters and their inherent resources.  The red represents the memory and sacrifices of our heroes. The green represents rich vegetation. The stars represent the hopes and aspirations of our people. ", links: "https://en.m.wikipedia.org/wiki/Bayelsa_State#"},</v>
      </c>
      <c r="HH4" s="48" t="str">
        <f>IF(P4&lt;&gt;"",CHAR(34)&amp;"\n"&amp;P4&amp;CHAR(34),CHAR(34)&amp;CHAR(34))</f>
        <v>"\nWhite field on the left. On the right are three equal horizontal bands, each with a white star on the left. The top band is blue. The middle band is red. The bottom band is green. White represents  purity honor and truthfulness of the people and their quest for justice. The blue represents abundance of waters and their inherent resources.  The red represents the memory and sacrifices of our heroes. The green represents rich vegetation. The stars represent the hopes and aspirations of our people. "</v>
      </c>
      <c r="HI4" s="48" t="str">
        <f>IF(J4=0,CHAR(34)&amp;CHAR(34),HH4)</f>
        <v>"\nWhite field on the left. On the right are three equal horizontal bands, each with a white star on the left. The top band is blue. The middle band is red. The bottom band is green. White represents  purity honor and truthfulness of the people and their quest for justice. The blue represents abundance of waters and their inherent resources.  The red represents the memory and sacrifices of our heroes. The green represents rich vegetation. The stars represent the hopes and aspirations of our people. "</v>
      </c>
      <c r="HJ4" s="48" t="str">
        <f>CHAR(34)&amp;O4&amp;CHAR(34)</f>
        <v>"2012"</v>
      </c>
      <c r="HL4" s="48" t="str">
        <f>CHAR(34)&amp;I4&amp;CHAR(34)</f>
        <v>"https://en.m.wikipedia.org/wiki/Bayelsa_State#"</v>
      </c>
      <c r="HM4" s="72"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"&amp;HH4&amp;", "&amp;CHAR(34)&amp;"isnew"&amp;CHAR(34)&amp;": "&amp;CHAR(34)&amp;F4&amp;CHAR(34)&amp;", "&amp;CHAR(34)&amp;"links"&amp;CHAR(34)&amp;": "&amp;HL4&amp;"},"</f>
        <v>{"couname":"[NGA] Bayelsa State","year":"2012","region":"rgn_Africa","Colors":["cl_BLU","cl_GRE","cl_RED","cl_WHI"],"Items":["4Color","words2","exact2","lets12","startB","with_y","year00","4+Band","Horizo","Vertic","Unequa","staWHI","NO_YEL","NO_BLA","002RED","003GRE","myrWHI","HasSta","3+Star"],"Flag":"https://upload.wikimedia.org/wikipedia/commons/thumb/f/fe/Flag_of_Bayelsa_State.svg/640px-Flag_of_Bayelsa_State.svg.png","HDFlag":"https://upload.wikimedia.org/wikipedia/commons/thumb/f/fe/Flag_of_Bayelsa_State.svg/2560px-Flag_of_Bayelsa_State.svg.png","type":"State", "describe": "\nWhite field on the left. On the right are three equal horizontal bands, each with a white star on the left. The top band is blue. The middle band is red. The bottom band is green. White represents  purity honor and truthfulness of the people and their quest for justice. The blue represents abundance of waters and their inherent resources.  The red represents the memory and sacrifices of our heroes. The green represents rich vegetation. The stars represent the hopes and aspirations of our people. ", "isnew": ".", "links": "https://en.m.wikipedia.org/wiki/Bayelsa_State#"},</v>
      </c>
      <c r="HN4" s="74"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"&amp;HI4&amp;", "&amp;CHAR(34)&amp;"isnew"&amp;CHAR(34)&amp;": "&amp;CHAR(34)&amp;F4&amp;CHAR(34)&amp;", "&amp;CHAR(34)&amp;"links"&amp;CHAR(34)&amp;": "&amp;HL4&amp;"},"</f>
        <v>{"couname":"[NGA] Bayelsa State","year":"2012","region":"rgn_Africa","Colors":["cl_BLU","cl_GRE","cl_RED","cl_WHI"],"Items":["4Color","words2","exact2","lets12","startB","with_y","year00","4+Band","Horizo","Vertic","Unequa","staWHI","NO_YEL","NO_BLA","002RED","003GRE","myrWHI","HasSta","3+Star"],"Flag":"https://upload.wikimedia.org/wikipedia/commons/thumb/f/fe/Flag_of_Bayelsa_State.svg/640px-Flag_of_Bayelsa_State.svg.png","HDFlag":"https://upload.wikimedia.org/wikipedia/commons/thumb/f/fe/Flag_of_Bayelsa_State.svg/2560px-Flag_of_Bayelsa_State.svg.png","type":"State", "describe": "\nWhite field on the left. On the right are three equal horizontal bands, each with a white star on the left. The top band is blue. The middle band is red. The bottom band is green. White represents  purity honor and truthfulness of the people and their quest for justice. The blue represents abundance of waters and their inherent resources.  The red represents the memory and sacrifices of our heroes. The green represents rich vegetation. The stars represent the hopes and aspirations of our people. ", "isnew": ".", "links": "https://en.m.wikipedia.org/wiki/Bayelsa_State#"},</v>
      </c>
      <c r="HO4" s="75">
        <v>45576</v>
      </c>
      <c r="HP4" s="48" t="str" cm="1">
        <f t="array" ref="HP4">IF(_xlfn.TEXTJOIN(", ", TRUE, IF(ISNUMBER(SEARCH("BLA", BL4:BT4)), COLUMN(BL4:BT4) - COLUMN(BL4) + 1, ""))&lt;&gt;"","BLA","")</f>
        <v/>
      </c>
      <c r="HQ4" s="48" t="str" cm="1">
        <f t="array" ref="HQ4">IF(_xlfn.TEXTJOIN(", ", TRUE, IF(ISNUMBER(SEARCH("BLU", BL4:BT4)), COLUMN(BL4:BT4) - COLUMN(BL4) + 1, ""))&lt;&gt;"","BLU","")</f>
        <v>BLU</v>
      </c>
      <c r="HR4" s="48" t="str" cm="1">
        <f t="array" ref="HR4">IF(_xlfn.TEXTJOIN(", ", TRUE, IF(ISNUMBER(SEARCH("GRE", BL4:BT4)), COLUMN(BL4:BT4) - COLUMN(BL4) + 1, ""))&lt;&gt;"","GRE","")</f>
        <v>GRE</v>
      </c>
      <c r="HS4" s="48" t="str" cm="1">
        <f t="array" ref="HS4">IF(_xlfn.TEXTJOIN(", ", TRUE, IF(ISNUMBER(SEARCH("RED", BL4:BT4)), COLUMN(BL4:BT4) - COLUMN(BL4) + 1, ""))&lt;&gt;"","RED","")</f>
        <v>RED</v>
      </c>
      <c r="HT4" s="48" t="str" cm="1">
        <f t="array" ref="HT4">IF(_xlfn.TEXTJOIN(", ", TRUE, IF(ISNUMBER(SEARCH("YEL", BL4:BT4)), COLUMN(BL4:BT4) - COLUMN(BL4) + 1, ""))&lt;&gt;"","YEL","")</f>
        <v/>
      </c>
      <c r="HU4" s="48" t="str" cm="1">
        <f t="array" ref="HU4">IF(_xlfn.TEXTJOIN(", ", TRUE, IF(ISNUMBER(SEARCH("ORA", BL4:BT4)), COLUMN(BL4:BT4) - COLUMN(BL4) + 1, ""))&lt;&gt;"","ORA","")</f>
        <v/>
      </c>
      <c r="HV4" s="48" t="str" cm="1">
        <f t="array" ref="HV4">IF(_xlfn.TEXTJOIN(", ", TRUE, IF(ISNUMBER(SEARCH("BRO", BL4:BT4)), COLUMN(BL4:BT4) - COLUMN(BL4) + 1, ""))&lt;&gt;"","BRO","")</f>
        <v/>
      </c>
      <c r="HW4" s="48" t="str" cm="1">
        <f t="array" ref="HW4">IF(_xlfn.TEXTJOIN(", ", TRUE, IF(ISNUMBER(SEARCH("PUR", BL4:BT4)), COLUMN(BL4:BT4) - COLUMN(BL4) + 1, ""))&lt;&gt;"","PUR","")</f>
        <v/>
      </c>
      <c r="HX4" s="48" t="str" cm="1">
        <f t="array" ref="HX4">IF(_xlfn.TEXTJOIN(", ", TRUE, IF(ISNUMBER(SEARCH("WHI", BL4:BT4)), COLUMN(BL4:BT4) - COLUMN(BL4) + 1, ""))&lt;&gt;"","WHI","")</f>
        <v>WHI</v>
      </c>
      <c r="HY4" s="76"/>
      <c r="HZ4" s="76"/>
      <c r="IA4" s="6"/>
      <c r="IB4" s="6"/>
      <c r="IC4" s="77"/>
      <c r="ID4" s="77"/>
      <c r="IE4" s="77"/>
      <c r="IF4" s="77"/>
      <c r="IG4" s="77"/>
      <c r="IH4" s="77"/>
      <c r="II4" s="77"/>
      <c r="IJ4" s="77"/>
      <c r="IK4" s="77"/>
      <c r="IL4" s="48">
        <f>SUM(IC4:IK4)</f>
        <v>0</v>
      </c>
      <c r="IM4" s="45">
        <f>COUNTIF(IC4:IK4,"&gt;0")-CG4</f>
        <v>-4</v>
      </c>
      <c r="IN4" s="78" t="str">
        <f>"http://mkweb.bcgsc.ca/color-summarizer/?url="&amp;D4&amp;"&amp;precision=low&amp;num_clusters="&amp;CG4&amp;"&amp;text=1"</f>
        <v>http://mkweb.bcgsc.ca/color-summarizer/?url=https://upload.wikimedia.org/wikipedia/commons/thumb/f/fe/Flag_of_Bayelsa_State.svg/640px-Flag_of_Bayelsa_State.svg.png&amp;precision=low&amp;num_clusters=4&amp;text=1</v>
      </c>
      <c r="IO4" s="48" t="str">
        <f>IF(HP4&lt;&gt;"",CHAR(34)&amp;"black"&amp;CHAR(34),"")</f>
        <v/>
      </c>
      <c r="IP4" s="48" t="str">
        <f>IF(HQ4&lt;&gt;"",CHAR(34)&amp;"blue"&amp;CHAR(34),"")</f>
        <v>"blue"</v>
      </c>
      <c r="IQ4" s="48" t="str">
        <f>IF(HR4&lt;&gt;"",CHAR(34)&amp;"green"&amp;CHAR(34),"")</f>
        <v>"green"</v>
      </c>
      <c r="IR4" s="48" t="str">
        <f>IF(HS4&lt;&gt;"",CHAR(34)&amp;"red"&amp;CHAR(34),"")</f>
        <v>"red"</v>
      </c>
      <c r="IS4" s="48" t="str">
        <f>IF(HT4&lt;&gt;"",CHAR(34)&amp;"yellow"&amp;CHAR(34),"")</f>
        <v/>
      </c>
      <c r="IT4" s="48" t="str">
        <f>IF(HU4&lt;&gt;"",CHAR(34)&amp;"orange"&amp;CHAR(34),"")</f>
        <v/>
      </c>
      <c r="IU4" s="48" t="str">
        <f>IF(HV4&lt;&gt;"",CHAR(34)&amp;"brown"&amp;CHAR(34),"")</f>
        <v/>
      </c>
      <c r="IV4" s="48" t="str">
        <f>IF(HW4&lt;&gt;"",CHAR(34)&amp;"purple"&amp;CHAR(34),"")</f>
        <v/>
      </c>
      <c r="IW4" s="48" t="str">
        <f>IF(HX4&lt;&gt;"",CHAR(34)&amp;"white"&amp;CHAR(34),"")</f>
        <v>"white"</v>
      </c>
      <c r="IX4" s="48" t="str">
        <f>"{"&amp;CHAR(34)&amp;"url"&amp;CHAR(34)&amp;":"&amp;CHAR(34)&amp;IN4&amp;CHAR(34)&amp;","&amp;CHAR(34)&amp;"name"&amp;CHAR(34)&amp;":"&amp;CHAR(34)&amp;A4&amp;CHAR(34)&amp;"},"</f>
        <v>{"url":"http://mkweb.bcgsc.ca/color-summarizer/?url=https://upload.wikimedia.org/wikipedia/commons/thumb/f/fe/Flag_of_Bayelsa_State.svg/640px-Flag_of_Bayelsa_State.svg.png&amp;precision=low&amp;num_clusters=4&amp;text=1","name":"[NGA] Bayelsa State"},</v>
      </c>
      <c r="IY4" s="48">
        <v>673</v>
      </c>
    </row>
    <row r="5" spans="1:259" s="48" customFormat="1" ht="38.4" customHeight="1" thickBot="1" x14ac:dyDescent="0.35">
      <c r="A5" s="79" t="s">
        <v>955</v>
      </c>
      <c r="B5" s="40" t="e" vm="75">
        <v>#VALUE!</v>
      </c>
      <c r="C5" s="41">
        <v>2</v>
      </c>
      <c r="D5" s="42" t="s">
        <v>956</v>
      </c>
      <c r="E5" s="43" t="s">
        <v>957</v>
      </c>
      <c r="F5" s="44" t="s">
        <v>163</v>
      </c>
      <c r="G5" s="45">
        <f>COUNTIF($A$1:$A$8344,A5)</f>
        <v>1</v>
      </c>
      <c r="H5" s="46"/>
      <c r="I5" s="47" t="s">
        <v>958</v>
      </c>
      <c r="J5" s="48" t="str">
        <f>""</f>
        <v/>
      </c>
      <c r="K5" s="49"/>
      <c r="L5" s="50"/>
      <c r="M5" s="50"/>
      <c r="N5" s="51" t="s">
        <v>180</v>
      </c>
      <c r="O5" s="52" t="s">
        <v>170</v>
      </c>
      <c r="P5" s="53" t="s">
        <v>959</v>
      </c>
      <c r="Q5" s="54">
        <v>3</v>
      </c>
      <c r="R5" s="55" t="s">
        <v>180</v>
      </c>
      <c r="S5" s="56">
        <v>3</v>
      </c>
      <c r="T5" s="57" t="s">
        <v>164</v>
      </c>
      <c r="U5" s="58" t="s">
        <v>164</v>
      </c>
      <c r="V5" s="58" t="s">
        <v>167</v>
      </c>
      <c r="W5" s="58" t="s">
        <v>164</v>
      </c>
      <c r="X5" s="58" t="s">
        <v>164</v>
      </c>
      <c r="Y5" s="58" t="s">
        <v>164</v>
      </c>
      <c r="Z5" s="58" t="s">
        <v>164</v>
      </c>
      <c r="AA5" s="58" t="s">
        <v>164</v>
      </c>
      <c r="AB5" s="58" t="s">
        <v>164</v>
      </c>
      <c r="AC5" s="58" t="s">
        <v>164</v>
      </c>
      <c r="AD5" s="58" t="s">
        <v>164</v>
      </c>
      <c r="AE5" s="58" t="s">
        <v>164</v>
      </c>
      <c r="AF5" s="59" t="s">
        <v>164</v>
      </c>
      <c r="AG5" s="59" t="s">
        <v>167</v>
      </c>
      <c r="AH5" s="59" t="s">
        <v>164</v>
      </c>
      <c r="AI5" s="59" t="s">
        <v>164</v>
      </c>
      <c r="AJ5" s="59" t="s">
        <v>164</v>
      </c>
      <c r="AK5" s="59" t="s">
        <v>167</v>
      </c>
      <c r="AL5" s="59" t="s">
        <v>164</v>
      </c>
      <c r="AM5" s="59" t="s">
        <v>164</v>
      </c>
      <c r="AN5" s="59" t="s">
        <v>164</v>
      </c>
      <c r="AO5" s="59" t="s">
        <v>164</v>
      </c>
      <c r="AP5" s="59" t="s">
        <v>164</v>
      </c>
      <c r="AQ5" s="59" t="s">
        <v>164</v>
      </c>
      <c r="AR5" s="59" t="s">
        <v>167</v>
      </c>
      <c r="AS5" s="59" t="s">
        <v>164</v>
      </c>
      <c r="AT5" s="60">
        <v>0</v>
      </c>
      <c r="AU5" s="59" t="s">
        <v>521</v>
      </c>
      <c r="AV5" s="59" t="str">
        <f>IF(LEFT(A5,1)="[",LEFT(A5,5)&amp;AU5&amp;A5,"")</f>
        <v>[NGA]State[NGA] Cross River State</v>
      </c>
      <c r="AW5" s="59" t="str">
        <f t="shared" si="1"/>
        <v>2[NGA] Cross River State</v>
      </c>
      <c r="AX5" s="61"/>
      <c r="AY5" s="61"/>
      <c r="AZ5" s="62" t="s">
        <v>172</v>
      </c>
      <c r="BA5" s="62"/>
      <c r="BB5" s="62"/>
      <c r="BC5" s="63"/>
      <c r="BD5" s="64" t="s">
        <v>152</v>
      </c>
      <c r="BE5" s="47"/>
      <c r="BF5" s="64" t="s">
        <v>152</v>
      </c>
      <c r="BG5" s="64" t="s">
        <v>159</v>
      </c>
      <c r="BH5" s="64" t="s">
        <v>152</v>
      </c>
      <c r="BI5" s="64"/>
      <c r="BJ5" s="64"/>
      <c r="BK5" s="47"/>
      <c r="BL5" s="64" t="s">
        <v>172</v>
      </c>
      <c r="BM5" s="64" t="s">
        <v>152</v>
      </c>
      <c r="BN5" s="64" t="s">
        <v>172</v>
      </c>
      <c r="BO5" s="64" t="s">
        <v>172</v>
      </c>
      <c r="BP5" s="64" t="s">
        <v>172</v>
      </c>
      <c r="BQ5" s="64" t="s">
        <v>172</v>
      </c>
      <c r="BR5" s="64" t="s">
        <v>172</v>
      </c>
      <c r="BS5" s="64" t="s">
        <v>172</v>
      </c>
      <c r="BT5" s="64" t="s">
        <v>159</v>
      </c>
      <c r="BU5" s="65"/>
      <c r="BV5" s="66"/>
      <c r="BW5" s="66">
        <v>0</v>
      </c>
      <c r="BX5" s="47"/>
      <c r="CB5" s="6"/>
      <c r="CC5" s="6"/>
      <c r="CD5" s="67">
        <v>0</v>
      </c>
      <c r="CE5" s="67">
        <v>0</v>
      </c>
      <c r="CF5" s="67" t="e">
        <v>#REF!</v>
      </c>
      <c r="CG5" s="68" cm="1">
        <f t="array" ref="CG5">SUMPRODUCT(--(LEN(TRIM(BL5:BT5))&gt;0))</f>
        <v>2</v>
      </c>
      <c r="CH5" s="59" t="str">
        <f>IF(CG5=2,"y","n")</f>
        <v>y</v>
      </c>
      <c r="CI5" s="59" t="str">
        <f>IF(CG5=3,"y","n")</f>
        <v>n</v>
      </c>
      <c r="CJ5" s="59" t="str">
        <f>IF(CG5=4,"y","n")</f>
        <v>n</v>
      </c>
      <c r="CK5" s="59" t="str">
        <f>IF(CG5&gt;4,"y","n")</f>
        <v>n</v>
      </c>
      <c r="CL5" s="59" t="str">
        <f>IF(S5=0,"y","n")</f>
        <v>n</v>
      </c>
      <c r="CM5" s="59" t="str">
        <f>IF(S5=2,"y","n")</f>
        <v>n</v>
      </c>
      <c r="CN5" s="59" t="str">
        <f>IF(S5=3,"y","n")</f>
        <v>y</v>
      </c>
      <c r="CO5" s="59" t="str">
        <f>IF(S5&gt;=4,"y","n")</f>
        <v>n</v>
      </c>
      <c r="CP5" s="59" t="str">
        <f>IF(AT5=0,"y","n")</f>
        <v>y</v>
      </c>
      <c r="CQ5" s="59" t="str">
        <f>IF(AT5=1,"y","n")</f>
        <v>n</v>
      </c>
      <c r="CR5" s="59" t="str">
        <f>IF(AT5=2,"y","n")</f>
        <v>n</v>
      </c>
      <c r="CS5" s="59" t="str">
        <f>IF(AT5&gt;=3,"y","n")</f>
        <v>n</v>
      </c>
      <c r="CT5" s="69" t="str">
        <f>CHAR(34)&amp;A5&amp;CHAR(34)</f>
        <v>"[NGA] Cross River State"</v>
      </c>
      <c r="CU5" s="70" t="str">
        <f>CHAR(34)&amp;"rgn_"&amp;R5&amp;CHAR(34)</f>
        <v>"rgn_Africa"</v>
      </c>
      <c r="CV5" s="48" t="str">
        <f>CHAR(34)&amp;D5&amp;CHAR(34)</f>
        <v>"https://upload.wikimedia.org/wikipedia/commons/thumb/8/83/Cross_River_State_Flag.svg/640px-Cross_River_State_Flag.svg.png"</v>
      </c>
      <c r="CW5" s="48" t="str">
        <f>IF(CH5="y",CHAR(34)&amp;CH$1&amp;CHAR(34)&amp;",","")</f>
        <v>"2Color",</v>
      </c>
      <c r="CX5" s="48" t="str">
        <f>IF(CI5="y",CHAR(34)&amp;CI$1&amp;CHAR(34)&amp;",","")</f>
        <v/>
      </c>
      <c r="CY5" s="48" t="str">
        <f>IF(CJ5="y",CHAR(34)&amp;CJ$1&amp;CHAR(34)&amp;",","")</f>
        <v/>
      </c>
      <c r="CZ5" s="48" t="str">
        <f>IF(CK5="y",CHAR(34)&amp;CK$1&amp;CHAR(34)&amp;",","")</f>
        <v/>
      </c>
      <c r="DA5" s="48" t="str">
        <f>IF(Q5&gt;1,CHAR(34)&amp;"words2"&amp;CHAR(34)&amp;",","")</f>
        <v>"words2",</v>
      </c>
      <c r="DB5" s="48" t="str">
        <f>IF(Q5&gt;2,CHAR(34)&amp;"words3"&amp;CHAR(34)&amp;",","")</f>
        <v>"words3",</v>
      </c>
      <c r="DC5" s="48" t="str">
        <f>IF(Q5=2,CHAR(34)&amp;"exact2"&amp;CHAR(34)&amp;",","")</f>
        <v/>
      </c>
      <c r="DD5" s="48" t="str">
        <f>IF(LEN(CHAR(34)&amp;"lets"&amp;LEN(SUBSTITUTE(SUBSTITUTE(IFERROR(TRIM(SUBSTITUTE(SUBSTITUTE(SUBSTITUTE(IFERROR(TRIM(SUBSTITUTE(A5,MID(A5,FIND("(",A5),FIND(")",A5)-FIND("(",A5)+1),"")),A5)," ",""),"-",""),MID(SUBSTITUTE(SUBSTITUTE(IFERROR(TRIM(SUBSTITUTE(A5,MID(A5,FIND("(",A5),FIND(")",A5)-FIND("(",A5)+1),"")),A5)," ",""),"-",""),FIND("[",SUBSTITUTE(SUBSTITUTE(IFERROR(TRIM(SUBSTITUTE(A5,MID(A5,FIND("(",A5),FIND(")",A5)-FIND("(",A5)+1),"")),A5)," ",""),"-","")),FIND("]",SUBSTITUTE(SUBSTITUTE(IFERROR(TRIM(SUBSTITUTE(A5,MID(A5,FIND("(",A5),FIND(")",A5)-FIND("(",A5)+1),"")),A5)," ",""),"-",""))-FIND("[",SUBSTITUTE(SUBSTITUTE(IFERROR(TRIM(SUBSTITUTE(A5,MID(A5,FIND("(",A5),FIND(")",A5)-FIND("(",A5)+1),"")),A5)," ",""),"-",""))+1),"")),SUBSTITUTE(SUBSTITUTE(IFERROR(TRIM(SUBSTITUTE(A5,MID(A5,FIND("(",A5),FIND(")",A5)-FIND("(",A5)+1),"")),A5)," ",""),"-",""))," ",""),"-",""))&amp;CHAR(34)&amp;",")=9,CHAR(34)&amp;"lets"&amp;LEN(SUBSTITUTE(SUBSTITUTE(IFERROR(TRIM(SUBSTITUTE(SUBSTITUTE(SUBSTITUTE(IFERROR(TRIM(SUBSTITUTE(A5,MID(A5,FIND("(",A5),FIND(")",A5)-FIND("(",A5)+1),"")),A5)," ",""),"-",""),MID(SUBSTITUTE(SUBSTITUTE(IFERROR(TRIM(SUBSTITUTE(A5,MID(A5,FIND("(",A5),FIND(")",A5)-FIND("(",A5)+1),"")),A5)," ",""),"-",""),FIND("[",SUBSTITUTE(SUBSTITUTE(IFERROR(TRIM(SUBSTITUTE(A5,MID(A5,FIND("(",A5),FIND(")",A5)-FIND("(",A5)+1),"")),A5)," ",""),"-","")),FIND("]",SUBSTITUTE(SUBSTITUTE(IFERROR(TRIM(SUBSTITUTE(A5,MID(A5,FIND("(",A5),FIND(")",A5)-FIND("(",A5)+1),"")),A5)," ",""),"-",""))-FIND("[",SUBSTITUTE(SUBSTITUTE(IFERROR(TRIM(SUBSTITUTE(A5,MID(A5,FIND("(",A5),FIND(")",A5)-FIND("(",A5)+1),"")),A5)," ",""),"-",""))+1),"")),SUBSTITUTE(SUBSTITUTE(IFERROR(TRIM(SUBSTITUTE(A5,MID(A5,FIND("(",A5),FIND(")",A5)-FIND("(",A5)+1),"")),A5)," ",""),"-",""))," ",""),"-",""))&amp;CHAR(34)&amp;",",CHAR(34)&amp;"lets0"&amp;LEN(SUBSTITUTE(SUBSTITUTE(IFERROR(TRIM(SUBSTITUTE(SUBSTITUTE(SUBSTITUTE(IFERROR(TRIM(SUBSTITUTE(A5,MID(A5,FIND("(",A5),FIND(")",A5)-FIND("(",A5)+1),"")),A5)," ",""),"-",""),MID(SUBSTITUTE(SUBSTITUTE(IFERROR(TRIM(SUBSTITUTE(A5,MID(A5,FIND("(",A5),FIND(")",A5)-FIND("(",A5)+1),"")),A5)," ",""),"-",""),FIND("[",SUBSTITUTE(SUBSTITUTE(IFERROR(TRIM(SUBSTITUTE(A5,MID(A5,FIND("(",A5),FIND(")",A5)-FIND("(",A5)+1),"")),A5)," ",""),"-","")),FIND("]",SUBSTITUTE(SUBSTITUTE(IFERROR(TRIM(SUBSTITUTE(A5,MID(A5,FIND("(",A5),FIND(")",A5)-FIND("(",A5)+1),"")),A5)," ",""),"-",""))-FIND("[",SUBSTITUTE(SUBSTITUTE(IFERROR(TRIM(SUBSTITUTE(A5,MID(A5,FIND("(",A5),FIND(")",A5)-FIND("(",A5)+1),"")),A5)," ",""),"-",""))+1),"")),SUBSTITUTE(SUBSTITUTE(IFERROR(TRIM(SUBSTITUTE(A5,MID(A5,FIND("(",A5),FIND(")",A5)-FIND("(",A5)+1),"")),A5)," ",""),"-",""))," ",""),"-",""))&amp;CHAR(34)&amp;",")</f>
        <v>"lets15",</v>
      </c>
      <c r="DE5" s="48" t="str">
        <f>IFERROR(CHAR(34)&amp;"start"&amp;LEFT(TRIM(SUBSTITUTE(SUBSTITUTE(TRIM(SUBSTITUTE(SUBSTITUTE(A5, MID(A5, FIND("[", A5), FIND("]", A5) - FIND("[", A5) + 1), ""), "  ", " ")), MID(TRIM(SUBSTITUTE(SUBSTITUTE(A5, MID(A5, FIND("[", A5), FIND("]", A5) - FIND("[", A5) + 1), ""), "  ", " ")), FIND("[", TRIM(SUBSTITUTE(SUBSTITUTE(A5, MID(A5, FIND("[", A5), FIND("]", A5) - FIND("[", A5) + 1), ""), "  ", " "))), FIND("]", TRIM(SUBSTITUTE(SUBSTITUTE(A5, MID(A5, FIND("[", A5), FIND("]", A5) - FIND("[", A5) + 1), ""), "  ", " "))) - FIND("[", TRIM(SUBSTITUTE(SUBSTITUTE(A5, MID(A5, FIND("[", A5), FIND("]", A5) - FIND("[", A5) + 1), ""), "  ", " "))) + 1), ""), "  ", " ")),1)&amp;CHAR(34)&amp;",",CHAR(34)&amp;"start"&amp;IFERROR(LEFT(SUBSTITUTE(A5,"["&amp;MID(A5,FIND("[",A5)+1,FIND("]",A5)-FIND("[",A5)-1)&amp;"] ",""),1),LEFT(A5,1))&amp;CHAR(34)&amp;",")</f>
        <v>"startC",</v>
      </c>
      <c r="DF5" s="48" t="str">
        <f>IFERROR(IF(SEARCH("tan",A5)&gt;0,CHAR(34)&amp;"withtn"&amp;CHAR(34)&amp;",",""),"")</f>
        <v/>
      </c>
      <c r="DG5" s="48" t="str">
        <f>IFERROR(IF(SEARCH("q",A5)&gt;0,CHAR(34)&amp;"with_q"&amp;CHAR(34)&amp;",",""),"")</f>
        <v/>
      </c>
      <c r="DH5" s="48" t="str">
        <f>IFERROR(IF(SEARCH("v",A5)&gt;0,CHAR(34)&amp;"with_v"&amp;CHAR(34)&amp;",",""),"")</f>
        <v>"with_v",</v>
      </c>
      <c r="DI5" s="48" t="str">
        <f>IFERROR(IF(SEARCH("w",A5)&gt;0,CHAR(34)&amp;"with_w"&amp;CHAR(34)&amp;",",""),"")</f>
        <v/>
      </c>
      <c r="DJ5" s="48" t="str">
        <f>IFERROR(IF(SEARCH("y",A5)&gt;0,CHAR(34)&amp;"with_y"&amp;CHAR(34)&amp;",",""),"")</f>
        <v/>
      </c>
      <c r="DK5" s="48" t="str">
        <f>IFERROR(IF(SEARCH("z",A5)&gt;0,CHAR(34)&amp;"with_z"&amp;CHAR(34)&amp;",",""),"")</f>
        <v/>
      </c>
      <c r="DL5" s="48" t="str">
        <f>IF(CG5=2, CHAR(34) &amp; _xlfn.TEXTJOIN("", TRUE, _xlfn._xlws.SORT(HP5:HX5)) &amp; CHAR(34) &amp; ",", "")</f>
        <v>"BLUWHI",</v>
      </c>
      <c r="DM5" s="48" t="str" cm="1">
        <f t="array" ref="DM5">IF(CG5=3,CHAR(34) &amp; _xlfn.TEXTJOIN("", TRUE, RIGHT(HP5:HX5, 2)) &amp; CHAR(34) &amp; ",", "")</f>
        <v/>
      </c>
      <c r="DN5" s="48" t="str">
        <f>IF(AND(ISNUMBER(SEARCH("18", O5)), ISERROR(SEARCH("1918", O5)), ISERROR(SEARCH("2018", O5))), CHAR(34) &amp; "year18" &amp; CHAR(34) &amp; ",", "")</f>
        <v/>
      </c>
      <c r="DO5" s="48" t="str">
        <f>IF(AND(ISNUMBER(SEARCH("19", O5)), ISERROR(SEARCH("1819", O5)),  ISERROR(SEARCH("1219", O5)),ISERROR(SEARCH("1119", O5)),ISERROR(SEARCH("1190", O5)),ISERROR(SEARCH("2019", O5))), CHAR(34) &amp; "year19" &amp; CHAR(34) &amp; ",", "")</f>
        <v/>
      </c>
      <c r="DP5" s="6" t="str">
        <f>IF(AND(ISNUMBER(SEARCH("20", O5)), ISERROR(SEARCH("1920", O5))), CHAR(34)&amp;"year00"&amp;CHAR(34)&amp;",", "")</f>
        <v/>
      </c>
      <c r="DQ5" s="6" t="str">
        <f>IF(CC5="y",CHAR(34)&amp;"soviet"&amp;CHAR(34)&amp;",","")</f>
        <v/>
      </c>
      <c r="DR5" s="6" t="str">
        <f>IF(BY5="y",CHAR(34)&amp;"dgband"&amp;CHAR(34)&amp;",","")</f>
        <v/>
      </c>
      <c r="DS5" s="6" t="str">
        <f>IF(W5="y",IF(AND(V5="n",BY5&lt;&gt;"y"),CHAR(34)&amp;"allver"&amp;CHAR(34)&amp;",",""),"")</f>
        <v/>
      </c>
      <c r="DT5" s="6" t="str">
        <f>IF(V5="y",IF(AND(W5="n",BY5&lt;&gt;"y"),CHAR(34)&amp;"allhor"&amp;CHAR(34)&amp;",",""),"")</f>
        <v>"allhor",</v>
      </c>
      <c r="DU5" s="6" t="str">
        <f>IF(BY5="y",IF(AND(W5="n",V5="n"),CHAR(34)&amp;"alldia"&amp;CHAR(34)&amp;",",""),"")</f>
        <v/>
      </c>
      <c r="DV5" s="48" t="str">
        <f>IF(IA5&lt;&gt;"",(IF(IA5="y",CHAR(34)&amp;"largec"&amp;CHAR(34)&amp;",",CHAR(34)&amp;"smallc"&amp;CHAR(34)&amp;",")),"")</f>
        <v/>
      </c>
      <c r="DW5" s="48" t="str">
        <f>IF(CL5="y",CHAR(34)&amp;CL$1&amp;CHAR(34)&amp;",","")</f>
        <v/>
      </c>
      <c r="DX5" s="48" t="str">
        <f>IF(CM5="y",CHAR(34)&amp;CM$1&amp;CHAR(34)&amp;",","")</f>
        <v/>
      </c>
      <c r="DY5" s="48" t="str">
        <f>IF(CN5="y",CHAR(34)&amp;CN$1&amp;CHAR(34)&amp;",","")</f>
        <v>"3Bands",</v>
      </c>
      <c r="DZ5" s="48" t="str">
        <f>IF(CO5="y",CHAR(34)&amp;CO$1&amp;CHAR(34)&amp;",","")</f>
        <v/>
      </c>
      <c r="EA5" s="48" t="str">
        <f>IF(T5="y",CHAR(34)&amp;T$1&amp;CHAR(34)&amp;",","")</f>
        <v/>
      </c>
      <c r="EB5" s="48" t="str">
        <f>IF(U5="y",CHAR(34)&amp;U$1&amp;CHAR(34)&amp;",","")</f>
        <v/>
      </c>
      <c r="EC5" s="48" t="str">
        <f>IF(V5="y",CHAR(34)&amp;V$1&amp;CHAR(34)&amp;",","")</f>
        <v>"Horizo",</v>
      </c>
      <c r="ED5" s="48" t="str">
        <f>IF(W5="y",CHAR(34)&amp;W$1&amp;CHAR(34)&amp;",","")</f>
        <v/>
      </c>
      <c r="EE5" s="48" t="str">
        <f>IF(X5="y",CHAR(34)&amp;X$1&amp;CHAR(34)&amp;",","")</f>
        <v/>
      </c>
      <c r="EF5" s="48" t="str">
        <f>IF(AND(Y5&lt;&gt;"n",Y5&lt;&gt;""),CHAR(34)&amp;Y$1&amp;CHAR(34)&amp;",","")</f>
        <v/>
      </c>
      <c r="EG5" s="48" t="str">
        <f>IF(Z5="y",CHAR(34)&amp;Z$1&amp;CHAR(34)&amp;",","")</f>
        <v/>
      </c>
      <c r="EH5" s="48" t="str">
        <f>IF(AA5="y",CHAR(34)&amp;AA$1&amp;CHAR(34)&amp;",","")</f>
        <v/>
      </c>
      <c r="EI5" s="48" t="str">
        <f>IF(AB5="y",CHAR(34)&amp;AB$1&amp;CHAR(34)&amp;",","")</f>
        <v/>
      </c>
      <c r="EJ5" s="48" t="str">
        <f>IF(AC5="y",CHAR(34)&amp;AC$1&amp;CHAR(34)&amp;",","")</f>
        <v/>
      </c>
      <c r="EK5" s="48" t="str">
        <f>IF(AD5="y",CHAR(34)&amp;AD$1&amp;CHAR(34)&amp;",","")</f>
        <v/>
      </c>
      <c r="EL5" s="48" t="str">
        <f>IF(AE5="y",CHAR(34)&amp;AE$1&amp;CHAR(34)&amp;",","")</f>
        <v/>
      </c>
      <c r="EM5" s="48" t="str">
        <f>IF(AF5="y",CHAR(34)&amp;AF$1&amp;CHAR(34)&amp;",","")</f>
        <v/>
      </c>
      <c r="EN5" s="48" t="str">
        <f>IF(AG5="y",CHAR(34)&amp;AG$1&amp;CHAR(34)&amp;",","")</f>
        <v>"Unequa",</v>
      </c>
      <c r="EO5" s="48" t="str">
        <f>IF(AH5="y",CHAR(34)&amp;AH$1&amp;CHAR(34)&amp;",","")</f>
        <v/>
      </c>
      <c r="EP5" s="48" t="str">
        <f>IF(AI5="y",CHAR(34)&amp;AI$1&amp;CHAR(34)&amp;",","")</f>
        <v/>
      </c>
      <c r="EQ5" s="48" t="str">
        <f>IF(AJ5="y",CHAR(34)&amp;AJ$1&amp;CHAR(34)&amp;",","")</f>
        <v/>
      </c>
      <c r="ER5" s="48" t="str">
        <f>IF(AK5="y",CHAR(34)&amp;AK$1&amp;CHAR(34)&amp;",","")</f>
        <v>"OnlyBa",</v>
      </c>
      <c r="ES5" s="48" t="str">
        <f>IF(AL5="y",CHAR(34)&amp;AL$1&amp;CHAR(34)&amp;",","")</f>
        <v/>
      </c>
      <c r="ET5" s="48" t="str">
        <f>IF(AM5="y",CHAR(34)&amp;AM$1&amp;CHAR(34)&amp;",","")</f>
        <v/>
      </c>
      <c r="EU5" s="48" t="str">
        <f>IF(AN5="y",CHAR(34)&amp;AN$1&amp;CHAR(34)&amp;",","")</f>
        <v/>
      </c>
      <c r="EV5" s="48" t="str">
        <f>IF(AO5="y",CHAR(34)&amp;AO$1&amp;CHAR(34)&amp;",","")</f>
        <v/>
      </c>
      <c r="EW5" s="48" t="str">
        <f>IF(AP5="y",CHAR(34)&amp;AP$1&amp;CHAR(34)&amp;",","")</f>
        <v/>
      </c>
      <c r="EX5" s="48" t="str">
        <f>IF(AQ5="y",CHAR(34)&amp;AQ$1&amp;CHAR(34)&amp;",","")</f>
        <v/>
      </c>
      <c r="EY5" s="48" t="str">
        <f>IF(AR5="y",CHAR(34)&amp;AR$1&amp;CHAR(34)&amp;",","")</f>
        <v>"Rotate",</v>
      </c>
      <c r="EZ5" s="48" t="str">
        <f>IF(AS5="y",CHAR(34)&amp;AS$1&amp;CHAR(34)&amp;",","")</f>
        <v/>
      </c>
      <c r="FA5" s="48" t="str">
        <f>IF(AT5&gt;0,CHAR(34)&amp;"sta"&amp;AZ5&amp;CHAR(34)&amp;",","")</f>
        <v/>
      </c>
      <c r="FB5" s="48" t="str">
        <f>IF(AND(AT5&gt;0,BA5&lt;&gt;""),CHAR(34)&amp;"sta"&amp;BA5&amp;CHAR(34)&amp;",","")</f>
        <v/>
      </c>
      <c r="FC5" s="48" t="str">
        <f>IF(AND(AT5&gt;0,BB5&lt;&gt;""),CHAR(34)&amp;"sta"&amp;BB5&amp;CHAR(34)&amp;",","")</f>
        <v/>
      </c>
      <c r="FD5" s="48" t="str">
        <f>IF(BV5="n",CHAR(34)&amp;"tcWHYE"&amp;CHAR(34)&amp;",",IF(BV5="y",CHAR(34)&amp;FD$1&amp;CHAR(34)&amp;",",""))</f>
        <v/>
      </c>
      <c r="FE5" s="48" t="str">
        <f>IF(COUNTIF(BL5:BT5,"BLU")=0,CHAR(34)&amp;"NO_BLU"&amp;CHAR(34)&amp;",", "")</f>
        <v/>
      </c>
      <c r="FF5" s="48" t="str">
        <f>IF(COUNTIF(BL5:BT5,"WHI")=0,CHAR(34)&amp;"NO_WHI"&amp;CHAR(34)&amp;",", "")</f>
        <v/>
      </c>
      <c r="FG5" s="48" t="str">
        <f>IF(COUNTIF(BL5:BT5,"RED")=0,CHAR(34)&amp;"NO_RED"&amp;CHAR(34)&amp;",", "")</f>
        <v>"NO_RED",</v>
      </c>
      <c r="FH5" s="48" t="str">
        <f>IF(COUNTIF(BL5:BS5,"GRE")=0,CHAR(34)&amp;"NO_GRE"&amp;CHAR(34)&amp;",", "")</f>
        <v>"NO_GRE",</v>
      </c>
      <c r="FI5" s="48" t="str">
        <f>IF(COUNTIF(BL5:BT5,"YEL")=0,CHAR(34)&amp;"NO_YEL"&amp;CHAR(34)&amp;",", "")</f>
        <v>"NO_YEL",</v>
      </c>
      <c r="FJ5" s="48" t="str">
        <f>IF(COUNTIF(BL5:BT5,"BLA")=0,CHAR(34)&amp;"NO_BLA"&amp;CHAR(34)&amp;",", "")</f>
        <v>"NO_BLA",</v>
      </c>
      <c r="FK5" s="48" t="str">
        <f>IF(AND(FH5&lt;&gt;"",FF5&lt;&gt;""),CHAR(34)&amp;"WHGRNO"&amp;CHAR(34)&amp;",","")</f>
        <v/>
      </c>
      <c r="FL5" s="48" t="str">
        <f>IF(AND(FI5&lt;&gt;"",FF5&lt;&gt;""),CHAR(34)&amp;"WHYENO"&amp;CHAR(34)&amp;",","")</f>
        <v/>
      </c>
      <c r="FM5" s="48" t="str">
        <f>IF(AND(FJ5&lt;&gt;"",FF5&lt;&gt;""),CHAR(34)&amp;"BAWHNO"&amp;CHAR(34)&amp;",","")</f>
        <v/>
      </c>
      <c r="FN5" s="48" t="str">
        <f>IF(AND(FE5&lt;&gt;"",FF5&lt;&gt;""),CHAR(34)&amp;"BLWHNO"&amp;CHAR(34)&amp;",","")</f>
        <v/>
      </c>
      <c r="FO5" s="48" t="str">
        <f>IF(AND(FE5&lt;&gt;"",FG5&lt;&gt;""),CHAR(34)&amp;"BLRENO"&amp;CHAR(34)&amp;",","")</f>
        <v/>
      </c>
      <c r="FP5" s="48" t="str">
        <f>IF(AND(FF5&lt;&gt;"",FF5&lt;&gt;""),CHAR(34)&amp;"WHRENO"&amp;CHAR(34)&amp;",","")</f>
        <v/>
      </c>
      <c r="FQ5" s="48" t="str">
        <f>IF(LEN(BF5)=3,CHAR(34)&amp;"001"&amp;BF5&amp;CHAR(34)&amp;",","")</f>
        <v>"001BLU",</v>
      </c>
      <c r="FR5" s="48" t="str">
        <f>IF(LEN(BG5)=3,CHAR(34)&amp;"002"&amp;BG5&amp;CHAR(34)&amp;",","")</f>
        <v>"002WHI",</v>
      </c>
      <c r="FS5" s="48" t="str">
        <f>IF(LEN(BH5)=3,CHAR(34)&amp;"003"&amp;BH5&amp;CHAR(34)&amp;",","")</f>
        <v>"003BLU",</v>
      </c>
      <c r="FT5" s="48" t="str">
        <f>CHAR(34)&amp;"myr"&amp;BD5&amp;CHAR(34)&amp;","</f>
        <v>"myrBLU",</v>
      </c>
      <c r="FU5" s="48" t="str">
        <f>IF(AY5="y",CHAR(34)&amp;"island"&amp;CHAR(34)&amp;",","")</f>
        <v/>
      </c>
      <c r="FV5" s="48" t="str">
        <f>IF(BZ5="y",CHAR(34)&amp;"landlo"&amp;CHAR(34)&amp;",","")</f>
        <v/>
      </c>
      <c r="FW5" s="48" t="str">
        <f>IF(CA5="y",CHAR(34)&amp;"eunion"&amp;CHAR(34)&amp;",","")</f>
        <v/>
      </c>
      <c r="FX5" s="48" t="str">
        <f>SUBSTITUTE(IFERROR(SEARCH("[",A5),IFERROR(IF(AND(CA5&lt;&gt;"y",SEARCH("Europe",R5)&gt;0),CHAR(34)&amp;"noeuni"&amp;CHAR(34)&amp;",",""),"")),"1","")</f>
        <v/>
      </c>
      <c r="FY5" s="48" t="str">
        <f>IFERROR(IF(SEARCH("Arabic",CB5)&gt;0,CHAR(34)&amp;"arabic"&amp;CHAR(34)&amp;",",""),"")</f>
        <v/>
      </c>
      <c r="FZ5" s="48" t="str">
        <f>IFERROR(IF(SEARCH("English",CB5)&gt;0,CHAR(34)&amp;"englis"&amp;CHAR(34)&amp;",",""),"")</f>
        <v/>
      </c>
      <c r="GA5" s="48" t="str">
        <f>IFERROR(IF(SEARCH("French",CB5)&gt;0,CHAR(34)&amp;"french"&amp;CHAR(34)&amp;",",""),"")</f>
        <v/>
      </c>
      <c r="GB5" s="48" t="str">
        <f>IFERROR(IF(SEARCH("Spanish",CB5)&gt;0,CHAR(34)&amp;"spanis"&amp;CHAR(34)&amp;",",""),"")</f>
        <v/>
      </c>
      <c r="GC5" s="48" t="str">
        <f>IFERROR(IF(SEARCH("Portuguese",CB5)&gt;0,CHAR(34)&amp;"portug"&amp;CHAR(34)&amp;",",""),"")</f>
        <v/>
      </c>
      <c r="GD5" s="48" t="str">
        <f>IFERROR(IF(SEARCH("German",CB5)&gt;0,CHAR(34)&amp;"german"&amp;CHAR(34)&amp;",",""),"")</f>
        <v/>
      </c>
      <c r="GE5" s="48" t="str">
        <f>IFERROR(IF(SEARCH("Dutch",CB5)&gt;0,CHAR(34)&amp;"dutchs"&amp;CHAR(34)&amp;",",""),"")</f>
        <v/>
      </c>
      <c r="GF5" s="48" t="str">
        <f>IFERROR(IF(SEARCH("Historical",AU5)&gt;0,CHAR(34)&amp;"histor"&amp;CHAR(34)&amp;",",""),"")</f>
        <v/>
      </c>
      <c r="GG5" s="48" t="str">
        <f>IF(BU5="y",CHAR(34)&amp;"unjack"&amp;CHAR(34)&amp;",","")</f>
        <v/>
      </c>
      <c r="GH5" s="48" t="str">
        <f>IF(CD5=1,CHAR(34)&amp;"southc"&amp;CHAR(34)&amp;",","")</f>
        <v/>
      </c>
      <c r="GI5" s="48" t="str">
        <f>IF(CE5=1,CHAR(34)&amp;"hasmap"&amp;CHAR(34)&amp;",","")</f>
        <v/>
      </c>
      <c r="GJ5" s="48" t="str">
        <f>IF(CP5="y",CHAR(34)&amp;CP$1&amp;CHAR(34)&amp;",","")</f>
        <v>"NoStar",</v>
      </c>
      <c r="GK5" s="48" t="str">
        <f>IF(GJ5="",CHAR(34)&amp;"HasSta"&amp;CHAR(34)&amp;",","")</f>
        <v/>
      </c>
      <c r="GL5" s="48" t="str">
        <f>IF(CQ5="y",CHAR(34)&amp;CQ$1&amp;CHAR(34)&amp;",","")</f>
        <v/>
      </c>
      <c r="GM5" s="48" t="str">
        <f>IF(CR5="y",CHAR(34)&amp;CR$1&amp;CHAR(34)&amp;",","")</f>
        <v/>
      </c>
      <c r="GN5" s="48" t="str">
        <f>IF(CS5="y",CHAR(34)&amp;CS$1&amp;CHAR(34)&amp;",","")</f>
        <v/>
      </c>
      <c r="GP5" s="48" t="str">
        <f>CHAR(34)&amp;AU5&amp;CHAR(34)</f>
        <v>"State"</v>
      </c>
      <c r="GS5" s="48" t="str">
        <f>SUBSTITUTE("["&amp;_xlfn.CONCAT(CW5:GN5)&amp;"]",",]","]")</f>
        <v>["2Color","words2","words3","lets15","startC","with_v","BLUWHI","allhor","3Bands","Horizo","Unequa","OnlyBa","Rotate","NO_RED","NO_GRE","NO_YEL","NO_BLA","001BLU","002WHI","003BLU","myrBLU","NoStar"]</v>
      </c>
      <c r="GT5" s="48" t="str">
        <f>IF(BL5&lt;&gt;"",CHAR(34)&amp;"cl_"&amp;BL5&amp;CHAR(34)&amp;",","")</f>
        <v/>
      </c>
      <c r="GU5" s="48" t="str">
        <f>IF(BM5&lt;&gt;"",CHAR(34)&amp;"cl_"&amp;BM5&amp;CHAR(34)&amp;",","")</f>
        <v>"cl_BLU",</v>
      </c>
      <c r="GV5" s="48" t="str">
        <f>IF(BN5&lt;&gt;"",CHAR(34)&amp;"cl_"&amp;BN5&amp;CHAR(34)&amp;",","")</f>
        <v/>
      </c>
      <c r="GW5" s="48" t="str">
        <f>IF(BO5&lt;&gt;"",CHAR(34)&amp;"cl_"&amp;BO5&amp;CHAR(34)&amp;",","")</f>
        <v/>
      </c>
      <c r="GX5" s="48" t="str">
        <f>IF(BP5&lt;&gt;"",CHAR(34)&amp;"cl_"&amp;BP5&amp;CHAR(34)&amp;",","")</f>
        <v/>
      </c>
      <c r="GY5" s="48" t="str">
        <f>IF(BQ5&lt;&gt;"",CHAR(34)&amp;"cl_"&amp;BQ5&amp;CHAR(34)&amp;",","")</f>
        <v/>
      </c>
      <c r="GZ5" s="48" t="str">
        <f>IF(BR5&lt;&gt;"",CHAR(34)&amp;"cl_"&amp;BR5&amp;CHAR(34)&amp;",","")</f>
        <v/>
      </c>
      <c r="HA5" s="48" t="str">
        <f>IF(BS5&lt;&gt;"",CHAR(34)&amp;"cl_"&amp;BS5&amp;CHAR(34)&amp;",","")</f>
        <v/>
      </c>
      <c r="HB5" s="48" t="str">
        <f>IF(BT5&lt;&gt;"",CHAR(34)&amp;"cl_"&amp;BT5&amp;CHAR(34)&amp;",","")</f>
        <v>"cl_WHI",</v>
      </c>
      <c r="HC5" s="48" t="str">
        <f>SUBSTITUTE("["&amp;_xlfn.CONCAT(GT5:HB5)&amp;"]",",]","]")</f>
        <v>["cl_BLU","cl_WHI"]</v>
      </c>
      <c r="HE5" s="71"/>
      <c r="HF5" s="72" t="str">
        <f>"{couname:"&amp;CT5&amp;(IF(HK5&lt;&gt;"",",subtype:"&amp;CHAR(34)&amp;HK5&amp;CHAR(34),""))&amp;",year:"&amp;HJ5&amp;",region:"&amp;CU5&amp;",Colors:"&amp;HC5&amp;",Items:"&amp;GS5&amp;",Flag:"&amp;CV5&amp;",HDFlag:"&amp;CHAR(34)&amp;E5&amp;CHAR(34)&amp;",type:"&amp;GP5&amp;", describe: "&amp;HH5&amp;", isnew:"&amp;CHAR(34)&amp;F5&amp;CHAR(34)&amp;", links: "&amp;HL5&amp;"},"</f>
        <v>{couname:"[NGA] Cross River State",year:"???",region:"rgn_Africa",Colors:["cl_BLU","cl_WHI"],Items:["2Color","words2","words3","lets15","startC","with_v","BLUWHI","allhor","3Bands","Horizo","Unequa","OnlyBa","Rotate","NO_RED","NO_GRE","NO_YEL","NO_BLA","001BLU","002WHI","003BLU","myrBLU","NoStar"],Flag:"https://upload.wikimedia.org/wikipedia/commons/thumb/8/83/Cross_River_State_Flag.svg/640px-Cross_River_State_Flag.svg.png",HDFlag:"https://upload.wikimedia.org/wikipedia/commons/thumb/8/83/Cross_River_State_Flag.svg/2560px-Cross_River_State_Flag.svg.png",type:"State", describe: "\n3 horizontal bands. First band blue. Middle band white. Last band blue", isnew:".", links: "https://en.m.wikipedia.org/wiki/Cross_River_State#"},</v>
      </c>
      <c r="HG5" s="73" t="str">
        <f>"{couname:"&amp;CT5&amp;(IF(HK5&lt;&gt;"",",subtype:"&amp;CHAR(34)&amp;HK5&amp;CHAR(34),""))&amp;",year:"&amp;HJ5&amp;",region:"&amp;CU5&amp;",Colors:"&amp;HC5&amp;",Items:"&amp;GS5&amp;",Flag:"&amp;CV5&amp;",HDFlag:"&amp;CHAR(34)&amp;E5&amp;CHAR(34)&amp;",type:"&amp;GP5&amp;", describe: "&amp;HI5&amp;", links: "&amp;HL5&amp;"},"</f>
        <v>{couname:"[NGA] Cross River State",year:"???",region:"rgn_Africa",Colors:["cl_BLU","cl_WHI"],Items:["2Color","words2","words3","lets15","startC","with_v","BLUWHI","allhor","3Bands","Horizo","Unequa","OnlyBa","Rotate","NO_RED","NO_GRE","NO_YEL","NO_BLA","001BLU","002WHI","003BLU","myrBLU","NoStar"],Flag:"https://upload.wikimedia.org/wikipedia/commons/thumb/8/83/Cross_River_State_Flag.svg/640px-Cross_River_State_Flag.svg.png",HDFlag:"https://upload.wikimedia.org/wikipedia/commons/thumb/8/83/Cross_River_State_Flag.svg/2560px-Cross_River_State_Flag.svg.png",type:"State", describe: "\n3 horizontal bands. First band blue. Middle band white. Last band blue", links: "https://en.m.wikipedia.org/wiki/Cross_River_State#"},</v>
      </c>
      <c r="HH5" s="48" t="str">
        <f>IF(P5&lt;&gt;"",CHAR(34)&amp;"\n"&amp;P5&amp;CHAR(34),CHAR(34)&amp;CHAR(34))</f>
        <v>"\n3 horizontal bands. First band blue. Middle band white. Last band blue"</v>
      </c>
      <c r="HI5" s="48" t="str">
        <f>IF(J5=0,CHAR(34)&amp;CHAR(34),HH5)</f>
        <v>"\n3 horizontal bands. First band blue. Middle band white. Last band blue"</v>
      </c>
      <c r="HJ5" s="48" t="str">
        <f>CHAR(34)&amp;O5&amp;CHAR(34)</f>
        <v>"???"</v>
      </c>
      <c r="HL5" s="48" t="str">
        <f>CHAR(34)&amp;I5&amp;CHAR(34)</f>
        <v>"https://en.m.wikipedia.org/wiki/Cross_River_State#"</v>
      </c>
      <c r="HM5" s="72" t="str">
        <f>"{"&amp;CHAR(34)&amp;"couname"&amp;CHAR(34)&amp;":"&amp;CT5&amp;(IF(H5&lt;&gt;"",","&amp;CHAR(34)&amp;"subtype"&amp;CHAR(34)&amp;":"&amp;CHAR(34)&amp;H5&amp;CHAR(34),""))&amp;","&amp;CHAR(34)&amp;"year"&amp;CHAR(34)&amp;":"&amp;HJ5&amp;","&amp;CHAR(34)&amp;"region"&amp;CHAR(34)&amp;":"&amp;CU5&amp;","&amp;CHAR(34)&amp;"Colors"&amp;CHAR(34)&amp;":"&amp;HC5&amp;","&amp;CHAR(34)&amp;"Items"&amp;CHAR(34)&amp;":"&amp;GS5&amp;","&amp;CHAR(34)&amp;"Flag"&amp;CHAR(34)&amp;":"&amp;CV5&amp;","&amp;CHAR(34)&amp;"HDFlag"&amp;CHAR(34)&amp;":"&amp;CHAR(34)&amp;E5&amp;CHAR(34)&amp;","&amp;CHAR(34)&amp;"type"&amp;CHAR(34)&amp;":"&amp;GP5&amp;", "&amp;CHAR(34)&amp;"describe"&amp;CHAR(34)&amp;": "&amp;HH5&amp;", "&amp;CHAR(34)&amp;"isnew"&amp;CHAR(34)&amp;": "&amp;CHAR(34)&amp;F5&amp;CHAR(34)&amp;", "&amp;CHAR(34)&amp;"links"&amp;CHAR(34)&amp;": "&amp;HL5&amp;"},"</f>
        <v>{"couname":"[NGA] Cross River State","year":"???","region":"rgn_Africa","Colors":["cl_BLU","cl_WHI"],"Items":["2Color","words2","words3","lets15","startC","with_v","BLUWHI","allhor","3Bands","Horizo","Unequa","OnlyBa","Rotate","NO_RED","NO_GRE","NO_YEL","NO_BLA","001BLU","002WHI","003BLU","myrBLU","NoStar"],"Flag":"https://upload.wikimedia.org/wikipedia/commons/thumb/8/83/Cross_River_State_Flag.svg/640px-Cross_River_State_Flag.svg.png","HDFlag":"https://upload.wikimedia.org/wikipedia/commons/thumb/8/83/Cross_River_State_Flag.svg/2560px-Cross_River_State_Flag.svg.png","type":"State", "describe": "\n3 horizontal bands. First band blue. Middle band white. Last band blue", "isnew": ".", "links": "https://en.m.wikipedia.org/wiki/Cross_River_State#"},</v>
      </c>
      <c r="HN5" s="74" t="str">
        <f>"{"&amp;CHAR(34)&amp;"couname"&amp;CHAR(34)&amp;":"&amp;CT5&amp;(IF(H5&lt;&gt;"",","&amp;CHAR(34)&amp;"subtype"&amp;CHAR(34)&amp;":"&amp;CHAR(34)&amp;H5&amp;CHAR(34),""))&amp;","&amp;CHAR(34)&amp;"year"&amp;CHAR(34)&amp;":"&amp;HJ5&amp;","&amp;CHAR(34)&amp;"region"&amp;CHAR(34)&amp;":"&amp;CU5&amp;","&amp;CHAR(34)&amp;"Colors"&amp;CHAR(34)&amp;":"&amp;HC5&amp;","&amp;CHAR(34)&amp;"Items"&amp;CHAR(34)&amp;":"&amp;GS5&amp;","&amp;CHAR(34)&amp;"Flag"&amp;CHAR(34)&amp;":"&amp;CV5&amp;","&amp;CHAR(34)&amp;"HDFlag"&amp;CHAR(34)&amp;":"&amp;CHAR(34)&amp;E5&amp;CHAR(34)&amp;","&amp;CHAR(34)&amp;"type"&amp;CHAR(34)&amp;":"&amp;GP5&amp;", "&amp;CHAR(34)&amp;"describe"&amp;CHAR(34)&amp;": "&amp;HI5&amp;", "&amp;CHAR(34)&amp;"isnew"&amp;CHAR(34)&amp;": "&amp;CHAR(34)&amp;F5&amp;CHAR(34)&amp;", "&amp;CHAR(34)&amp;"links"&amp;CHAR(34)&amp;": "&amp;HL5&amp;"},"</f>
        <v>{"couname":"[NGA] Cross River State","year":"???","region":"rgn_Africa","Colors":["cl_BLU","cl_WHI"],"Items":["2Color","words2","words3","lets15","startC","with_v","BLUWHI","allhor","3Bands","Horizo","Unequa","OnlyBa","Rotate","NO_RED","NO_GRE","NO_YEL","NO_BLA","001BLU","002WHI","003BLU","myrBLU","NoStar"],"Flag":"https://upload.wikimedia.org/wikipedia/commons/thumb/8/83/Cross_River_State_Flag.svg/640px-Cross_River_State_Flag.svg.png","HDFlag":"https://upload.wikimedia.org/wikipedia/commons/thumb/8/83/Cross_River_State_Flag.svg/2560px-Cross_River_State_Flag.svg.png","type":"State", "describe": "\n3 horizontal bands. First band blue. Middle band white. Last band blue", "isnew": ".", "links": "https://en.m.wikipedia.org/wiki/Cross_River_State#"},</v>
      </c>
      <c r="HO5" s="75">
        <v>45576</v>
      </c>
      <c r="HP5" s="48" t="str" cm="1">
        <f t="array" ref="HP5">IF(_xlfn.TEXTJOIN(", ", TRUE, IF(ISNUMBER(SEARCH("BLA", BL5:BT5)), COLUMN(BL5:BT5) - COLUMN(BL5) + 1, ""))&lt;&gt;"","BLA","")</f>
        <v/>
      </c>
      <c r="HQ5" s="48" t="str" cm="1">
        <f t="array" ref="HQ5">IF(_xlfn.TEXTJOIN(", ", TRUE, IF(ISNUMBER(SEARCH("BLU", BL5:BT5)), COLUMN(BL5:BT5) - COLUMN(BL5) + 1, ""))&lt;&gt;"","BLU","")</f>
        <v>BLU</v>
      </c>
      <c r="HR5" s="48" t="str" cm="1">
        <f t="array" ref="HR5">IF(_xlfn.TEXTJOIN(", ", TRUE, IF(ISNUMBER(SEARCH("GRE", BL5:BT5)), COLUMN(BL5:BT5) - COLUMN(BL5) + 1, ""))&lt;&gt;"","GRE","")</f>
        <v/>
      </c>
      <c r="HS5" s="48" t="str" cm="1">
        <f t="array" ref="HS5">IF(_xlfn.TEXTJOIN(", ", TRUE, IF(ISNUMBER(SEARCH("RED", BL5:BT5)), COLUMN(BL5:BT5) - COLUMN(BL5) + 1, ""))&lt;&gt;"","RED","")</f>
        <v/>
      </c>
      <c r="HT5" s="48" t="str" cm="1">
        <f t="array" ref="HT5">IF(_xlfn.TEXTJOIN(", ", TRUE, IF(ISNUMBER(SEARCH("YEL", BL5:BT5)), COLUMN(BL5:BT5) - COLUMN(BL5) + 1, ""))&lt;&gt;"","YEL","")</f>
        <v/>
      </c>
      <c r="HU5" s="48" t="str" cm="1">
        <f t="array" ref="HU5">IF(_xlfn.TEXTJOIN(", ", TRUE, IF(ISNUMBER(SEARCH("ORA", BL5:BT5)), COLUMN(BL5:BT5) - COLUMN(BL5) + 1, ""))&lt;&gt;"","ORA","")</f>
        <v/>
      </c>
      <c r="HV5" s="48" t="str" cm="1">
        <f t="array" ref="HV5">IF(_xlfn.TEXTJOIN(", ", TRUE, IF(ISNUMBER(SEARCH("BRO", BL5:BT5)), COLUMN(BL5:BT5) - COLUMN(BL5) + 1, ""))&lt;&gt;"","BRO","")</f>
        <v/>
      </c>
      <c r="HW5" s="48" t="str" cm="1">
        <f t="array" ref="HW5">IF(_xlfn.TEXTJOIN(", ", TRUE, IF(ISNUMBER(SEARCH("PUR", BL5:BT5)), COLUMN(BL5:BT5) - COLUMN(BL5) + 1, ""))&lt;&gt;"","PUR","")</f>
        <v/>
      </c>
      <c r="HX5" s="48" t="str" cm="1">
        <f t="array" ref="HX5">IF(_xlfn.TEXTJOIN(", ", TRUE, IF(ISNUMBER(SEARCH("WHI", BL5:BT5)), COLUMN(BL5:BT5) - COLUMN(BL5) + 1, ""))&lt;&gt;"","WHI","")</f>
        <v>WHI</v>
      </c>
      <c r="HY5" s="76"/>
      <c r="HZ5" s="76"/>
      <c r="IA5" s="6"/>
      <c r="IB5" s="6"/>
      <c r="IC5" s="77"/>
      <c r="ID5" s="77"/>
      <c r="IE5" s="77"/>
      <c r="IF5" s="77"/>
      <c r="IG5" s="77"/>
      <c r="IH5" s="77"/>
      <c r="II5" s="77"/>
      <c r="IJ5" s="77"/>
      <c r="IK5" s="77"/>
      <c r="IL5" s="48">
        <f>SUM(IC5:IK5)</f>
        <v>0</v>
      </c>
      <c r="IM5" s="45">
        <f>COUNTIF(IC5:IK5,"&gt;0")-CG5</f>
        <v>-2</v>
      </c>
      <c r="IN5" s="78" t="str">
        <f>"http://mkweb.bcgsc.ca/color-summarizer/?url="&amp;D5&amp;"&amp;precision=low&amp;num_clusters="&amp;CG5&amp;"&amp;text=1"</f>
        <v>http://mkweb.bcgsc.ca/color-summarizer/?url=https://upload.wikimedia.org/wikipedia/commons/thumb/8/83/Cross_River_State_Flag.svg/640px-Cross_River_State_Flag.svg.png&amp;precision=low&amp;num_clusters=2&amp;text=1</v>
      </c>
      <c r="IO5" s="48" t="str">
        <f>IF(HP5&lt;&gt;"",CHAR(34)&amp;"black"&amp;CHAR(34),"")</f>
        <v/>
      </c>
      <c r="IP5" s="48" t="str">
        <f>IF(HQ5&lt;&gt;"",CHAR(34)&amp;"blue"&amp;CHAR(34),"")</f>
        <v>"blue"</v>
      </c>
      <c r="IQ5" s="48" t="str">
        <f>IF(HR5&lt;&gt;"",CHAR(34)&amp;"green"&amp;CHAR(34),"")</f>
        <v/>
      </c>
      <c r="IR5" s="48" t="str">
        <f>IF(HS5&lt;&gt;"",CHAR(34)&amp;"red"&amp;CHAR(34),"")</f>
        <v/>
      </c>
      <c r="IS5" s="48" t="str">
        <f>IF(HT5&lt;&gt;"",CHAR(34)&amp;"yellow"&amp;CHAR(34),"")</f>
        <v/>
      </c>
      <c r="IT5" s="48" t="str">
        <f>IF(HU5&lt;&gt;"",CHAR(34)&amp;"orange"&amp;CHAR(34),"")</f>
        <v/>
      </c>
      <c r="IU5" s="48" t="str">
        <f>IF(HV5&lt;&gt;"",CHAR(34)&amp;"brown"&amp;CHAR(34),"")</f>
        <v/>
      </c>
      <c r="IV5" s="48" t="str">
        <f>IF(HW5&lt;&gt;"",CHAR(34)&amp;"purple"&amp;CHAR(34),"")</f>
        <v/>
      </c>
      <c r="IW5" s="48" t="str">
        <f>IF(HX5&lt;&gt;"",CHAR(34)&amp;"white"&amp;CHAR(34),"")</f>
        <v>"white"</v>
      </c>
      <c r="IX5" s="48" t="str">
        <f>"{"&amp;CHAR(34)&amp;"url"&amp;CHAR(34)&amp;":"&amp;CHAR(34)&amp;IN5&amp;CHAR(34)&amp;","&amp;CHAR(34)&amp;"name"&amp;CHAR(34)&amp;":"&amp;CHAR(34)&amp;A5&amp;CHAR(34)&amp;"},"</f>
        <v>{"url":"http://mkweb.bcgsc.ca/color-summarizer/?url=https://upload.wikimedia.org/wikipedia/commons/thumb/8/83/Cross_River_State_Flag.svg/640px-Cross_River_State_Flag.svg.png&amp;precision=low&amp;num_clusters=2&amp;text=1","name":"[NGA] Cross River State"},</v>
      </c>
      <c r="IY5" s="48">
        <v>674</v>
      </c>
    </row>
    <row r="6" spans="1:259" s="48" customFormat="1" ht="38.4" customHeight="1" thickBot="1" x14ac:dyDescent="0.35">
      <c r="A6" s="79" t="s">
        <v>960</v>
      </c>
      <c r="B6" s="40" t="e" vm="76">
        <v>#VALUE!</v>
      </c>
      <c r="C6" s="41">
        <v>2</v>
      </c>
      <c r="D6" s="42" t="s">
        <v>961</v>
      </c>
      <c r="E6" s="43" t="s">
        <v>961</v>
      </c>
      <c r="F6" s="44" t="s">
        <v>163</v>
      </c>
      <c r="G6" s="45">
        <f>COUNTIF($A$1:$A$8344,A6)</f>
        <v>1</v>
      </c>
      <c r="H6" s="46"/>
      <c r="I6" s="47" t="s">
        <v>962</v>
      </c>
      <c r="J6" s="48" t="str">
        <f>""</f>
        <v/>
      </c>
      <c r="K6" s="49"/>
      <c r="L6" s="50"/>
      <c r="M6" s="50"/>
      <c r="N6" s="51" t="s">
        <v>180</v>
      </c>
      <c r="O6" s="52" t="s">
        <v>170</v>
      </c>
      <c r="P6" s="53" t="s">
        <v>963</v>
      </c>
      <c r="Q6" s="54">
        <v>2</v>
      </c>
      <c r="R6" s="55" t="s">
        <v>180</v>
      </c>
      <c r="S6" s="56">
        <v>2</v>
      </c>
      <c r="T6" s="57" t="s">
        <v>167</v>
      </c>
      <c r="U6" s="58" t="s">
        <v>164</v>
      </c>
      <c r="V6" s="58" t="s">
        <v>167</v>
      </c>
      <c r="W6" s="58" t="s">
        <v>164</v>
      </c>
      <c r="X6" s="58" t="s">
        <v>164</v>
      </c>
      <c r="Y6" s="58" t="s">
        <v>164</v>
      </c>
      <c r="Z6" s="58" t="s">
        <v>164</v>
      </c>
      <c r="AA6" s="58" t="s">
        <v>164</v>
      </c>
      <c r="AB6" s="58" t="s">
        <v>164</v>
      </c>
      <c r="AC6" s="58" t="s">
        <v>164</v>
      </c>
      <c r="AD6" s="58" t="s">
        <v>164</v>
      </c>
      <c r="AE6" s="58" t="s">
        <v>164</v>
      </c>
      <c r="AF6" s="59" t="s">
        <v>167</v>
      </c>
      <c r="AG6" s="59" t="s">
        <v>167</v>
      </c>
      <c r="AH6" s="59" t="s">
        <v>164</v>
      </c>
      <c r="AI6" s="59" t="s">
        <v>164</v>
      </c>
      <c r="AJ6" s="59" t="s">
        <v>164</v>
      </c>
      <c r="AK6" s="59" t="s">
        <v>164</v>
      </c>
      <c r="AL6" s="59" t="s">
        <v>164</v>
      </c>
      <c r="AM6" s="59" t="s">
        <v>164</v>
      </c>
      <c r="AN6" s="59" t="s">
        <v>164</v>
      </c>
      <c r="AO6" s="59" t="s">
        <v>164</v>
      </c>
      <c r="AP6" s="59" t="s">
        <v>164</v>
      </c>
      <c r="AQ6" s="59" t="s">
        <v>164</v>
      </c>
      <c r="AR6" s="59" t="s">
        <v>164</v>
      </c>
      <c r="AS6" s="59" t="s">
        <v>164</v>
      </c>
      <c r="AT6" s="60">
        <v>0</v>
      </c>
      <c r="AU6" s="59" t="s">
        <v>964</v>
      </c>
      <c r="AV6" s="59" t="str">
        <f>IF(LEFT(A6,1)="[",LEFT(A6,5)&amp;AU6&amp;A6,"")</f>
        <v>[NGA]State [NGA] Oyo State</v>
      </c>
      <c r="AW6" s="59" t="str">
        <f t="shared" si="1"/>
        <v>2[NGA] Oyo State</v>
      </c>
      <c r="AX6" s="61"/>
      <c r="AY6" s="61"/>
      <c r="AZ6" s="62" t="s">
        <v>172</v>
      </c>
      <c r="BA6" s="62"/>
      <c r="BB6" s="62"/>
      <c r="BC6" s="63"/>
      <c r="BD6" s="64" t="s">
        <v>169</v>
      </c>
      <c r="BE6" s="47"/>
      <c r="BF6" s="64" t="s">
        <v>153</v>
      </c>
      <c r="BG6" s="64" t="s">
        <v>172</v>
      </c>
      <c r="BH6" s="64" t="s">
        <v>159</v>
      </c>
      <c r="BI6" s="64"/>
      <c r="BJ6" s="64"/>
      <c r="BK6" s="47"/>
      <c r="BL6" s="64" t="s">
        <v>172</v>
      </c>
      <c r="BM6" s="64" t="s">
        <v>172</v>
      </c>
      <c r="BN6" s="64" t="s">
        <v>153</v>
      </c>
      <c r="BO6" s="64" t="s">
        <v>154</v>
      </c>
      <c r="BP6" s="64" t="s">
        <v>172</v>
      </c>
      <c r="BQ6" s="64" t="s">
        <v>172</v>
      </c>
      <c r="BR6" s="64" t="s">
        <v>172</v>
      </c>
      <c r="BS6" s="64" t="s">
        <v>172</v>
      </c>
      <c r="BT6" s="64" t="s">
        <v>159</v>
      </c>
      <c r="BU6" s="65"/>
      <c r="BV6" s="66"/>
      <c r="BW6" s="66">
        <v>0</v>
      </c>
      <c r="BX6" s="47"/>
      <c r="BY6" s="48" t="s">
        <v>164</v>
      </c>
      <c r="CB6" s="6"/>
      <c r="CC6" s="6"/>
      <c r="CD6" s="67">
        <v>0</v>
      </c>
      <c r="CE6" s="67">
        <v>0</v>
      </c>
      <c r="CF6" s="67" t="e">
        <v>#REF!</v>
      </c>
      <c r="CG6" s="68" cm="1">
        <f t="array" ref="CG6">SUMPRODUCT(--(LEN(TRIM(BL6:BT6))&gt;0))</f>
        <v>3</v>
      </c>
      <c r="CH6" s="59" t="str">
        <f>IF(CG6=2,"y","n")</f>
        <v>n</v>
      </c>
      <c r="CI6" s="59" t="str">
        <f>IF(CG6=3,"y","n")</f>
        <v>y</v>
      </c>
      <c r="CJ6" s="59" t="str">
        <f>IF(CG6=4,"y","n")</f>
        <v>n</v>
      </c>
      <c r="CK6" s="59" t="str">
        <f>IF(CG6&gt;4,"y","n")</f>
        <v>n</v>
      </c>
      <c r="CL6" s="59" t="str">
        <f>IF(S6=0,"y","n")</f>
        <v>n</v>
      </c>
      <c r="CM6" s="59" t="str">
        <f>IF(S6=2,"y","n")</f>
        <v>y</v>
      </c>
      <c r="CN6" s="59" t="str">
        <f>IF(S6=3,"y","n")</f>
        <v>n</v>
      </c>
      <c r="CO6" s="59" t="str">
        <f>IF(S6&gt;=4,"y","n")</f>
        <v>n</v>
      </c>
      <c r="CP6" s="59" t="str">
        <f>IF(AT6=0,"y","n")</f>
        <v>y</v>
      </c>
      <c r="CQ6" s="59" t="str">
        <f>IF(AT6=1,"y","n")</f>
        <v>n</v>
      </c>
      <c r="CR6" s="59" t="str">
        <f>IF(AT6=2,"y","n")</f>
        <v>n</v>
      </c>
      <c r="CS6" s="59" t="str">
        <f>IF(AT6&gt;=3,"y","n")</f>
        <v>n</v>
      </c>
      <c r="CT6" s="69" t="str">
        <f>CHAR(34)&amp;A6&amp;CHAR(34)</f>
        <v>"[NGA] Oyo State"</v>
      </c>
      <c r="CU6" s="70" t="str">
        <f>CHAR(34)&amp;"rgn_"&amp;R6&amp;CHAR(34)</f>
        <v>"rgn_Africa"</v>
      </c>
      <c r="CV6" s="48" t="str">
        <f>CHAR(34)&amp;D6&amp;CHAR(34)</f>
        <v>"https://upload.wikimedia.org/wikipedia/commons/thumb/3/3d/Oyo_State_Flag.svg/2560px-Oyo_State_Flag.svg.png"</v>
      </c>
      <c r="CW6" s="48" t="str">
        <f>IF(CH6="y",CHAR(34)&amp;CH$1&amp;CHAR(34)&amp;",","")</f>
        <v/>
      </c>
      <c r="CX6" s="48" t="str">
        <f>IF(CI6="y",CHAR(34)&amp;CI$1&amp;CHAR(34)&amp;",","")</f>
        <v>"3Color",</v>
      </c>
      <c r="CY6" s="48" t="str">
        <f>IF(CJ6="y",CHAR(34)&amp;CJ$1&amp;CHAR(34)&amp;",","")</f>
        <v/>
      </c>
      <c r="CZ6" s="48" t="str">
        <f>IF(CK6="y",CHAR(34)&amp;CK$1&amp;CHAR(34)&amp;",","")</f>
        <v/>
      </c>
      <c r="DA6" s="48" t="str">
        <f>IF(Q6&gt;1,CHAR(34)&amp;"words2"&amp;CHAR(34)&amp;",","")</f>
        <v>"words2",</v>
      </c>
      <c r="DB6" s="48" t="str">
        <f>IF(Q6&gt;2,CHAR(34)&amp;"words3"&amp;CHAR(34)&amp;",","")</f>
        <v/>
      </c>
      <c r="DC6" s="48" t="str">
        <f>IF(Q6=2,CHAR(34)&amp;"exact2"&amp;CHAR(34)&amp;",","")</f>
        <v>"exact2",</v>
      </c>
      <c r="DD6" s="48" t="str">
        <f>IF(LEN(CHAR(34)&amp;"lets"&amp;LEN(SUBSTITUTE(SUBSTITUTE(IFERROR(TRIM(SUBSTITUTE(SUBSTITUTE(SUBSTITUTE(IFERROR(TRIM(SUBSTITUTE(A6,MID(A6,FIND("(",A6),FIND(")",A6)-FIND("(",A6)+1),"")),A6)," ",""),"-",""),MID(SUBSTITUTE(SUBSTITUTE(IFERROR(TRIM(SUBSTITUTE(A6,MID(A6,FIND("(",A6),FIND(")",A6)-FIND("(",A6)+1),"")),A6)," ",""),"-",""),FIND("[",SUBSTITUTE(SUBSTITUTE(IFERROR(TRIM(SUBSTITUTE(A6,MID(A6,FIND("(",A6),FIND(")",A6)-FIND("(",A6)+1),"")),A6)," ",""),"-","")),FIND("]",SUBSTITUTE(SUBSTITUTE(IFERROR(TRIM(SUBSTITUTE(A6,MID(A6,FIND("(",A6),FIND(")",A6)-FIND("(",A6)+1),"")),A6)," ",""),"-",""))-FIND("[",SUBSTITUTE(SUBSTITUTE(IFERROR(TRIM(SUBSTITUTE(A6,MID(A6,FIND("(",A6),FIND(")",A6)-FIND("(",A6)+1),"")),A6)," ",""),"-",""))+1),"")),SUBSTITUTE(SUBSTITUTE(IFERROR(TRIM(SUBSTITUTE(A6,MID(A6,FIND("(",A6),FIND(")",A6)-FIND("(",A6)+1),"")),A6)," ",""),"-",""))," ",""),"-",""))&amp;CHAR(34)&amp;",")=9,CHAR(34)&amp;"lets"&amp;LEN(SUBSTITUTE(SUBSTITUTE(IFERROR(TRIM(SUBSTITUTE(SUBSTITUTE(SUBSTITUTE(IFERROR(TRIM(SUBSTITUTE(A6,MID(A6,FIND("(",A6),FIND(")",A6)-FIND("(",A6)+1),"")),A6)," ",""),"-",""),MID(SUBSTITUTE(SUBSTITUTE(IFERROR(TRIM(SUBSTITUTE(A6,MID(A6,FIND("(",A6),FIND(")",A6)-FIND("(",A6)+1),"")),A6)," ",""),"-",""),FIND("[",SUBSTITUTE(SUBSTITUTE(IFERROR(TRIM(SUBSTITUTE(A6,MID(A6,FIND("(",A6),FIND(")",A6)-FIND("(",A6)+1),"")),A6)," ",""),"-","")),FIND("]",SUBSTITUTE(SUBSTITUTE(IFERROR(TRIM(SUBSTITUTE(A6,MID(A6,FIND("(",A6),FIND(")",A6)-FIND("(",A6)+1),"")),A6)," ",""),"-",""))-FIND("[",SUBSTITUTE(SUBSTITUTE(IFERROR(TRIM(SUBSTITUTE(A6,MID(A6,FIND("(",A6),FIND(")",A6)-FIND("(",A6)+1),"")),A6)," ",""),"-",""))+1),"")),SUBSTITUTE(SUBSTITUTE(IFERROR(TRIM(SUBSTITUTE(A6,MID(A6,FIND("(",A6),FIND(")",A6)-FIND("(",A6)+1),"")),A6)," ",""),"-",""))," ",""),"-",""))&amp;CHAR(34)&amp;",",CHAR(34)&amp;"lets0"&amp;LEN(SUBSTITUTE(SUBSTITUTE(IFERROR(TRIM(SUBSTITUTE(SUBSTITUTE(SUBSTITUTE(IFERROR(TRIM(SUBSTITUTE(A6,MID(A6,FIND("(",A6),FIND(")",A6)-FIND("(",A6)+1),"")),A6)," ",""),"-",""),MID(SUBSTITUTE(SUBSTITUTE(IFERROR(TRIM(SUBSTITUTE(A6,MID(A6,FIND("(",A6),FIND(")",A6)-FIND("(",A6)+1),"")),A6)," ",""),"-",""),FIND("[",SUBSTITUTE(SUBSTITUTE(IFERROR(TRIM(SUBSTITUTE(A6,MID(A6,FIND("(",A6),FIND(")",A6)-FIND("(",A6)+1),"")),A6)," ",""),"-","")),FIND("]",SUBSTITUTE(SUBSTITUTE(IFERROR(TRIM(SUBSTITUTE(A6,MID(A6,FIND("(",A6),FIND(")",A6)-FIND("(",A6)+1),"")),A6)," ",""),"-",""))-FIND("[",SUBSTITUTE(SUBSTITUTE(IFERROR(TRIM(SUBSTITUTE(A6,MID(A6,FIND("(",A6),FIND(")",A6)-FIND("(",A6)+1),"")),A6)," ",""),"-",""))+1),"")),SUBSTITUTE(SUBSTITUTE(IFERROR(TRIM(SUBSTITUTE(A6,MID(A6,FIND("(",A6),FIND(")",A6)-FIND("(",A6)+1),"")),A6)," ",""),"-",""))," ",""),"-",""))&amp;CHAR(34)&amp;",")</f>
        <v>"lets08",</v>
      </c>
      <c r="DE6" s="48" t="str">
        <f>IFERROR(CHAR(34)&amp;"start"&amp;LEFT(TRIM(SUBSTITUTE(SUBSTITUTE(TRIM(SUBSTITUTE(SUBSTITUTE(A6, MID(A6, FIND("[", A6), FIND("]", A6) - FIND("[", A6) + 1), ""), "  ", " ")), MID(TRIM(SUBSTITUTE(SUBSTITUTE(A6, MID(A6, FIND("[", A6), FIND("]", A6) - FIND("[", A6) + 1), ""), "  ", " ")), FIND("[", TRIM(SUBSTITUTE(SUBSTITUTE(A6, MID(A6, FIND("[", A6), FIND("]", A6) - FIND("[", A6) + 1), ""), "  ", " "))), FIND("]", TRIM(SUBSTITUTE(SUBSTITUTE(A6, MID(A6, FIND("[", A6), FIND("]", A6) - FIND("[", A6) + 1), ""), "  ", " "))) - FIND("[", TRIM(SUBSTITUTE(SUBSTITUTE(A6, MID(A6, FIND("[", A6), FIND("]", A6) - FIND("[", A6) + 1), ""), "  ", " "))) + 1), ""), "  ", " ")),1)&amp;CHAR(34)&amp;",",CHAR(34)&amp;"start"&amp;IFERROR(LEFT(SUBSTITUTE(A6,"["&amp;MID(A6,FIND("[",A6)+1,FIND("]",A6)-FIND("[",A6)-1)&amp;"] ",""),1),LEFT(A6,1))&amp;CHAR(34)&amp;",")</f>
        <v>"startO",</v>
      </c>
      <c r="DF6" s="48" t="str">
        <f>IFERROR(IF(SEARCH("tan",A6)&gt;0,CHAR(34)&amp;"withtn"&amp;CHAR(34)&amp;",",""),"")</f>
        <v/>
      </c>
      <c r="DG6" s="48" t="str">
        <f>IFERROR(IF(SEARCH("q",A6)&gt;0,CHAR(34)&amp;"with_q"&amp;CHAR(34)&amp;",",""),"")</f>
        <v/>
      </c>
      <c r="DH6" s="48" t="str">
        <f>IFERROR(IF(SEARCH("v",A6)&gt;0,CHAR(34)&amp;"with_v"&amp;CHAR(34)&amp;",",""),"")</f>
        <v/>
      </c>
      <c r="DI6" s="48" t="str">
        <f>IFERROR(IF(SEARCH("w",A6)&gt;0,CHAR(34)&amp;"with_w"&amp;CHAR(34)&amp;",",""),"")</f>
        <v/>
      </c>
      <c r="DJ6" s="48" t="str">
        <f>IFERROR(IF(SEARCH("y",A6)&gt;0,CHAR(34)&amp;"with_y"&amp;CHAR(34)&amp;",",""),"")</f>
        <v>"with_y",</v>
      </c>
      <c r="DK6" s="48" t="str">
        <f>IFERROR(IF(SEARCH("z",A6)&gt;0,CHAR(34)&amp;"with_z"&amp;CHAR(34)&amp;",",""),"")</f>
        <v/>
      </c>
      <c r="DL6" s="48" t="str">
        <f>IF(CG6=2, CHAR(34) &amp; _xlfn.TEXTJOIN("", TRUE, _xlfn._xlws.SORT(HP6:HX6)) &amp; CHAR(34) &amp; ",", "")</f>
        <v/>
      </c>
      <c r="DM6" s="48" t="str" cm="1">
        <f t="array" ref="DM6">IF(CG6=3,CHAR(34) &amp; _xlfn.TEXTJOIN("", TRUE, RIGHT(HP6:HX6, 2)) &amp; CHAR(34) &amp; ",", "")</f>
        <v>"REEDHI",</v>
      </c>
      <c r="DN6" s="48" t="str">
        <f>IF(AND(ISNUMBER(SEARCH("18", O6)), ISERROR(SEARCH("1918", O6)), ISERROR(SEARCH("2018", O6))), CHAR(34) &amp; "year18" &amp; CHAR(34) &amp; ",", "")</f>
        <v/>
      </c>
      <c r="DO6" s="48" t="str">
        <f>IF(AND(ISNUMBER(SEARCH("19", O6)), ISERROR(SEARCH("1819", O6)),  ISERROR(SEARCH("1219", O6)),ISERROR(SEARCH("1119", O6)),ISERROR(SEARCH("1190", O6)),ISERROR(SEARCH("2019", O6))), CHAR(34) &amp; "year19" &amp; CHAR(34) &amp; ",", "")</f>
        <v/>
      </c>
      <c r="DP6" s="6" t="str">
        <f>IF(AND(ISNUMBER(SEARCH("20", O6)), ISERROR(SEARCH("1920", O6))), CHAR(34)&amp;"year00"&amp;CHAR(34)&amp;",", "")</f>
        <v/>
      </c>
      <c r="DQ6" s="6" t="str">
        <f>IF(CC6="y",CHAR(34)&amp;"soviet"&amp;CHAR(34)&amp;",","")</f>
        <v/>
      </c>
      <c r="DR6" s="6" t="str">
        <f>IF(BY6="y",CHAR(34)&amp;"dgband"&amp;CHAR(34)&amp;",","")</f>
        <v/>
      </c>
      <c r="DS6" s="6" t="str">
        <f>IF(W6="y",IF(AND(V6="n",BY6&lt;&gt;"y"),CHAR(34)&amp;"allver"&amp;CHAR(34)&amp;",",""),"")</f>
        <v/>
      </c>
      <c r="DT6" s="6" t="str">
        <f>IF(V6="y",IF(AND(W6="n",BY6&lt;&gt;"y"),CHAR(34)&amp;"allhor"&amp;CHAR(34)&amp;",",""),"")</f>
        <v>"allhor",</v>
      </c>
      <c r="DU6" s="6" t="str">
        <f>IF(BY6="y",IF(AND(W6="n",V6="n"),CHAR(34)&amp;"alldia"&amp;CHAR(34)&amp;",",""),"")</f>
        <v/>
      </c>
      <c r="DV6" s="48" t="str">
        <f>IF(IA6&lt;&gt;"",(IF(IA6="y",CHAR(34)&amp;"largec"&amp;CHAR(34)&amp;",",CHAR(34)&amp;"smallc"&amp;CHAR(34)&amp;",")),"")</f>
        <v/>
      </c>
      <c r="DW6" s="48" t="str">
        <f>IF(CL6="y",CHAR(34)&amp;CL$1&amp;CHAR(34)&amp;",","")</f>
        <v/>
      </c>
      <c r="DX6" s="48" t="str">
        <f>IF(CM6="y",CHAR(34)&amp;CM$1&amp;CHAR(34)&amp;",","")</f>
        <v>"2Bands",</v>
      </c>
      <c r="DY6" s="48" t="str">
        <f>IF(CN6="y",CHAR(34)&amp;CN$1&amp;CHAR(34)&amp;",","")</f>
        <v/>
      </c>
      <c r="DZ6" s="48" t="str">
        <f>IF(CO6="y",CHAR(34)&amp;CO$1&amp;CHAR(34)&amp;",","")</f>
        <v/>
      </c>
      <c r="EA6" s="48" t="str">
        <f>IF(T6="y",CHAR(34)&amp;T$1&amp;CHAR(34)&amp;",","")</f>
        <v>"Diagon",</v>
      </c>
      <c r="EB6" s="48" t="str">
        <f>IF(U6="y",CHAR(34)&amp;U$1&amp;CHAR(34)&amp;",","")</f>
        <v/>
      </c>
      <c r="EC6" s="48" t="str">
        <f>IF(V6="y",CHAR(34)&amp;V$1&amp;CHAR(34)&amp;",","")</f>
        <v>"Horizo",</v>
      </c>
      <c r="ED6" s="48" t="str">
        <f>IF(W6="y",CHAR(34)&amp;W$1&amp;CHAR(34)&amp;",","")</f>
        <v/>
      </c>
      <c r="EE6" s="48" t="str">
        <f>IF(X6="y",CHAR(34)&amp;X$1&amp;CHAR(34)&amp;",","")</f>
        <v/>
      </c>
      <c r="EF6" s="48" t="str">
        <f>IF(AND(Y6&lt;&gt;"n",Y6&lt;&gt;""),CHAR(34)&amp;Y$1&amp;CHAR(34)&amp;",","")</f>
        <v/>
      </c>
      <c r="EG6" s="48" t="str">
        <f>IF(Z6="y",CHAR(34)&amp;Z$1&amp;CHAR(34)&amp;",","")</f>
        <v/>
      </c>
      <c r="EH6" s="48" t="str">
        <f>IF(AA6="y",CHAR(34)&amp;AA$1&amp;CHAR(34)&amp;",","")</f>
        <v/>
      </c>
      <c r="EI6" s="48" t="str">
        <f>IF(AB6="y",CHAR(34)&amp;AB$1&amp;CHAR(34)&amp;",","")</f>
        <v/>
      </c>
      <c r="EJ6" s="48" t="str">
        <f>IF(AC6="y",CHAR(34)&amp;AC$1&amp;CHAR(34)&amp;",","")</f>
        <v/>
      </c>
      <c r="EK6" s="48" t="str">
        <f>IF(AD6="y",CHAR(34)&amp;AD$1&amp;CHAR(34)&amp;",","")</f>
        <v/>
      </c>
      <c r="EL6" s="48" t="str">
        <f>IF(AE6="y",CHAR(34)&amp;AE$1&amp;CHAR(34)&amp;",","")</f>
        <v/>
      </c>
      <c r="EM6" s="48" t="str">
        <f>IF(AF6="y",CHAR(34)&amp;AF$1&amp;CHAR(34)&amp;",","")</f>
        <v>"Trside",</v>
      </c>
      <c r="EN6" s="48" t="str">
        <f>IF(AG6="y",CHAR(34)&amp;AG$1&amp;CHAR(34)&amp;",","")</f>
        <v>"Unequa",</v>
      </c>
      <c r="EO6" s="48" t="str">
        <f>IF(AH6="y",CHAR(34)&amp;AH$1&amp;CHAR(34)&amp;",","")</f>
        <v/>
      </c>
      <c r="EP6" s="48" t="str">
        <f>IF(AI6="y",CHAR(34)&amp;AI$1&amp;CHAR(34)&amp;",","")</f>
        <v/>
      </c>
      <c r="EQ6" s="48" t="str">
        <f>IF(AJ6="y",CHAR(34)&amp;AJ$1&amp;CHAR(34)&amp;",","")</f>
        <v/>
      </c>
      <c r="ER6" s="48" t="str">
        <f>IF(AK6="y",CHAR(34)&amp;AK$1&amp;CHAR(34)&amp;",","")</f>
        <v/>
      </c>
      <c r="ES6" s="48" t="str">
        <f>IF(AL6="y",CHAR(34)&amp;AL$1&amp;CHAR(34)&amp;",","")</f>
        <v/>
      </c>
      <c r="ET6" s="48" t="str">
        <f>IF(AM6="y",CHAR(34)&amp;AM$1&amp;CHAR(34)&amp;",","")</f>
        <v/>
      </c>
      <c r="EU6" s="48" t="str">
        <f>IF(AN6="y",CHAR(34)&amp;AN$1&amp;CHAR(34)&amp;",","")</f>
        <v/>
      </c>
      <c r="EV6" s="48" t="str">
        <f>IF(AO6="y",CHAR(34)&amp;AO$1&amp;CHAR(34)&amp;",","")</f>
        <v/>
      </c>
      <c r="EW6" s="48" t="str">
        <f>IF(AP6="y",CHAR(34)&amp;AP$1&amp;CHAR(34)&amp;",","")</f>
        <v/>
      </c>
      <c r="EX6" s="48" t="str">
        <f>IF(AQ6="y",CHAR(34)&amp;AQ$1&amp;CHAR(34)&amp;",","")</f>
        <v/>
      </c>
      <c r="EY6" s="48" t="str">
        <f>IF(AR6="y",CHAR(34)&amp;AR$1&amp;CHAR(34)&amp;",","")</f>
        <v/>
      </c>
      <c r="EZ6" s="48" t="str">
        <f>IF(AS6="y",CHAR(34)&amp;AS$1&amp;CHAR(34)&amp;",","")</f>
        <v/>
      </c>
      <c r="FA6" s="48" t="str">
        <f>IF(AT6&gt;0,CHAR(34)&amp;"sta"&amp;AZ6&amp;CHAR(34)&amp;",","")</f>
        <v/>
      </c>
      <c r="FB6" s="48" t="str">
        <f>IF(AND(AT6&gt;0,BA6&lt;&gt;""),CHAR(34)&amp;"sta"&amp;BA6&amp;CHAR(34)&amp;",","")</f>
        <v/>
      </c>
      <c r="FC6" s="48" t="str">
        <f>IF(AND(AT6&gt;0,BB6&lt;&gt;""),CHAR(34)&amp;"sta"&amp;BB6&amp;CHAR(34)&amp;",","")</f>
        <v/>
      </c>
      <c r="FD6" s="48" t="str">
        <f>IF(BV6="n",CHAR(34)&amp;"tcWHYE"&amp;CHAR(34)&amp;",",IF(BV6="y",CHAR(34)&amp;FD$1&amp;CHAR(34)&amp;",",""))</f>
        <v/>
      </c>
      <c r="FE6" s="48" t="str">
        <f>IF(COUNTIF(BL6:BT6,"BLU")=0,CHAR(34)&amp;"NO_BLU"&amp;CHAR(34)&amp;",", "")</f>
        <v>"NO_BLU",</v>
      </c>
      <c r="FF6" s="48" t="str">
        <f>IF(COUNTIF(BL6:BT6,"WHI")=0,CHAR(34)&amp;"NO_WHI"&amp;CHAR(34)&amp;",", "")</f>
        <v/>
      </c>
      <c r="FG6" s="48" t="str">
        <f>IF(COUNTIF(BL6:BT6,"RED")=0,CHAR(34)&amp;"NO_RED"&amp;CHAR(34)&amp;",", "")</f>
        <v/>
      </c>
      <c r="FH6" s="48" t="str">
        <f>IF(COUNTIF(BL6:BS6,"GRE")=0,CHAR(34)&amp;"NO_GRE"&amp;CHAR(34)&amp;",", "")</f>
        <v/>
      </c>
      <c r="FI6" s="48" t="str">
        <f>IF(COUNTIF(BL6:BT6,"YEL")=0,CHAR(34)&amp;"NO_YEL"&amp;CHAR(34)&amp;",", "")</f>
        <v>"NO_YEL",</v>
      </c>
      <c r="FJ6" s="48" t="str">
        <f>IF(COUNTIF(BL6:BT6,"BLA")=0,CHAR(34)&amp;"NO_BLA"&amp;CHAR(34)&amp;",", "")</f>
        <v>"NO_BLA",</v>
      </c>
      <c r="FK6" s="48" t="str">
        <f>IF(AND(FH6&lt;&gt;"",FF6&lt;&gt;""),CHAR(34)&amp;"WHGRNO"&amp;CHAR(34)&amp;",","")</f>
        <v/>
      </c>
      <c r="FL6" s="48" t="str">
        <f>IF(AND(FI6&lt;&gt;"",FF6&lt;&gt;""),CHAR(34)&amp;"WHYENO"&amp;CHAR(34)&amp;",","")</f>
        <v/>
      </c>
      <c r="FM6" s="48" t="str">
        <f>IF(AND(FJ6&lt;&gt;"",FF6&lt;&gt;""),CHAR(34)&amp;"BAWHNO"&amp;CHAR(34)&amp;",","")</f>
        <v/>
      </c>
      <c r="FN6" s="48" t="str">
        <f>IF(AND(FE6&lt;&gt;"",FF6&lt;&gt;""),CHAR(34)&amp;"BLWHNO"&amp;CHAR(34)&amp;",","")</f>
        <v/>
      </c>
      <c r="FO6" s="48" t="str">
        <f>IF(AND(FE6&lt;&gt;"",FG6&lt;&gt;""),CHAR(34)&amp;"BLRENO"&amp;CHAR(34)&amp;",","")</f>
        <v/>
      </c>
      <c r="FP6" s="48" t="str">
        <f>IF(AND(FF6&lt;&gt;"",FF6&lt;&gt;""),CHAR(34)&amp;"WHRENO"&amp;CHAR(34)&amp;",","")</f>
        <v/>
      </c>
      <c r="FQ6" s="48" t="str">
        <f>IF(LEN(BF6)=3,CHAR(34)&amp;"001"&amp;BF6&amp;CHAR(34)&amp;",","")</f>
        <v>"001GRE",</v>
      </c>
      <c r="FR6" s="48" t="str">
        <f>IF(LEN(BG6)=3,CHAR(34)&amp;"002"&amp;BG6&amp;CHAR(34)&amp;",","")</f>
        <v/>
      </c>
      <c r="FS6" s="48" t="str">
        <f>IF(LEN(BH6)=3,CHAR(34)&amp;"003"&amp;BH6&amp;CHAR(34)&amp;",","")</f>
        <v>"003WHI",</v>
      </c>
      <c r="FT6" s="48" t="str">
        <f>CHAR(34)&amp;"myr"&amp;BD6&amp;CHAR(34)&amp;","</f>
        <v>"myrEQ",</v>
      </c>
      <c r="FU6" s="48" t="str">
        <f>IF(AY6="y",CHAR(34)&amp;"island"&amp;CHAR(34)&amp;",","")</f>
        <v/>
      </c>
      <c r="FV6" s="48" t="str">
        <f>IF(BZ6="y",CHAR(34)&amp;"landlo"&amp;CHAR(34)&amp;",","")</f>
        <v/>
      </c>
      <c r="FW6" s="48" t="str">
        <f>IF(CA6="y",CHAR(34)&amp;"eunion"&amp;CHAR(34)&amp;",","")</f>
        <v/>
      </c>
      <c r="FX6" s="48" t="str">
        <f>SUBSTITUTE(IFERROR(SEARCH("[",A6),IFERROR(IF(AND(CA6&lt;&gt;"y",SEARCH("Europe",R6)&gt;0),CHAR(34)&amp;"noeuni"&amp;CHAR(34)&amp;",",""),"")),"1","")</f>
        <v/>
      </c>
      <c r="FY6" s="48" t="str">
        <f>IFERROR(IF(SEARCH("Arabic",CB6)&gt;0,CHAR(34)&amp;"arabic"&amp;CHAR(34)&amp;",",""),"")</f>
        <v/>
      </c>
      <c r="FZ6" s="48" t="str">
        <f>IFERROR(IF(SEARCH("English",CB6)&gt;0,CHAR(34)&amp;"englis"&amp;CHAR(34)&amp;",",""),"")</f>
        <v/>
      </c>
      <c r="GA6" s="48" t="str">
        <f>IFERROR(IF(SEARCH("French",CB6)&gt;0,CHAR(34)&amp;"french"&amp;CHAR(34)&amp;",",""),"")</f>
        <v/>
      </c>
      <c r="GB6" s="48" t="str">
        <f>IFERROR(IF(SEARCH("Spanish",CB6)&gt;0,CHAR(34)&amp;"spanis"&amp;CHAR(34)&amp;",",""),"")</f>
        <v/>
      </c>
      <c r="GC6" s="48" t="str">
        <f>IFERROR(IF(SEARCH("Portuguese",CB6)&gt;0,CHAR(34)&amp;"portug"&amp;CHAR(34)&amp;",",""),"")</f>
        <v/>
      </c>
      <c r="GD6" s="48" t="str">
        <f>IFERROR(IF(SEARCH("German",CB6)&gt;0,CHAR(34)&amp;"german"&amp;CHAR(34)&amp;",",""),"")</f>
        <v/>
      </c>
      <c r="GE6" s="48" t="str">
        <f>IFERROR(IF(SEARCH("Dutch",CB6)&gt;0,CHAR(34)&amp;"dutchs"&amp;CHAR(34)&amp;",",""),"")</f>
        <v/>
      </c>
      <c r="GF6" s="48" t="str">
        <f>IFERROR(IF(SEARCH("Historical",AU6)&gt;0,CHAR(34)&amp;"histor"&amp;CHAR(34)&amp;",",""),"")</f>
        <v/>
      </c>
      <c r="GG6" s="48" t="str">
        <f>IF(BU6="y",CHAR(34)&amp;"unjack"&amp;CHAR(34)&amp;",","")</f>
        <v/>
      </c>
      <c r="GH6" s="48" t="str">
        <f>IF(CD6=1,CHAR(34)&amp;"southc"&amp;CHAR(34)&amp;",","")</f>
        <v/>
      </c>
      <c r="GI6" s="48" t="str">
        <f>IF(CE6=1,CHAR(34)&amp;"hasmap"&amp;CHAR(34)&amp;",","")</f>
        <v/>
      </c>
      <c r="GJ6" s="48" t="str">
        <f>IF(CP6="y",CHAR(34)&amp;CP$1&amp;CHAR(34)&amp;",","")</f>
        <v>"NoStar",</v>
      </c>
      <c r="GK6" s="48" t="str">
        <f>IF(GJ6="",CHAR(34)&amp;"HasSta"&amp;CHAR(34)&amp;",","")</f>
        <v/>
      </c>
      <c r="GL6" s="48" t="str">
        <f>IF(CQ6="y",CHAR(34)&amp;CQ$1&amp;CHAR(34)&amp;",","")</f>
        <v/>
      </c>
      <c r="GM6" s="48" t="str">
        <f>IF(CR6="y",CHAR(34)&amp;CR$1&amp;CHAR(34)&amp;",","")</f>
        <v/>
      </c>
      <c r="GN6" s="48" t="str">
        <f>IF(CS6="y",CHAR(34)&amp;CS$1&amp;CHAR(34)&amp;",","")</f>
        <v/>
      </c>
      <c r="GP6" s="48" t="str">
        <f>CHAR(34)&amp;AU6&amp;CHAR(34)</f>
        <v>"State "</v>
      </c>
      <c r="GS6" s="48" t="str">
        <f>SUBSTITUTE("["&amp;_xlfn.CONCAT(CW6:GN6)&amp;"]",",]","]")</f>
        <v>["3Color","words2","exact2","lets08","startO","with_y","REEDHI","allhor","2Bands","Diagon","Horizo","Trside","Unequa","NO_BLU","NO_YEL","NO_BLA","001GRE","003WHI","myrEQ","NoStar"]</v>
      </c>
      <c r="GT6" s="48" t="str">
        <f>IF(BL6&lt;&gt;"",CHAR(34)&amp;"cl_"&amp;BL6&amp;CHAR(34)&amp;",","")</f>
        <v/>
      </c>
      <c r="GU6" s="48" t="str">
        <f>IF(BM6&lt;&gt;"",CHAR(34)&amp;"cl_"&amp;BM6&amp;CHAR(34)&amp;",","")</f>
        <v/>
      </c>
      <c r="GV6" s="48" t="str">
        <f>IF(BN6&lt;&gt;"",CHAR(34)&amp;"cl_"&amp;BN6&amp;CHAR(34)&amp;",","")</f>
        <v>"cl_GRE",</v>
      </c>
      <c r="GW6" s="48" t="str">
        <f>IF(BO6&lt;&gt;"",CHAR(34)&amp;"cl_"&amp;BO6&amp;CHAR(34)&amp;",","")</f>
        <v>"cl_RED",</v>
      </c>
      <c r="GX6" s="48" t="str">
        <f>IF(BP6&lt;&gt;"",CHAR(34)&amp;"cl_"&amp;BP6&amp;CHAR(34)&amp;",","")</f>
        <v/>
      </c>
      <c r="GY6" s="48" t="str">
        <f>IF(BQ6&lt;&gt;"",CHAR(34)&amp;"cl_"&amp;BQ6&amp;CHAR(34)&amp;",","")</f>
        <v/>
      </c>
      <c r="GZ6" s="48" t="str">
        <f>IF(BR6&lt;&gt;"",CHAR(34)&amp;"cl_"&amp;BR6&amp;CHAR(34)&amp;",","")</f>
        <v/>
      </c>
      <c r="HA6" s="48" t="str">
        <f>IF(BS6&lt;&gt;"",CHAR(34)&amp;"cl_"&amp;BS6&amp;CHAR(34)&amp;",","")</f>
        <v/>
      </c>
      <c r="HB6" s="48" t="str">
        <f>IF(BT6&lt;&gt;"",CHAR(34)&amp;"cl_"&amp;BT6&amp;CHAR(34)&amp;",","")</f>
        <v>"cl_WHI",</v>
      </c>
      <c r="HC6" s="48" t="str">
        <f>SUBSTITUTE("["&amp;_xlfn.CONCAT(GT6:HB6)&amp;"]",",]","]")</f>
        <v>["cl_GRE","cl_RED","cl_WHI"]</v>
      </c>
      <c r="HE6" s="71"/>
      <c r="HF6" s="72" t="str">
        <f>"{couname:"&amp;CT6&amp;(IF(HK6&lt;&gt;"",",subtype:"&amp;CHAR(34)&amp;HK6&amp;CHAR(34),""))&amp;",year:"&amp;HJ6&amp;",region:"&amp;CU6&amp;",Colors:"&amp;HC6&amp;",Items:"&amp;GS6&amp;",Flag:"&amp;CV6&amp;",HDFlag:"&amp;CHAR(34)&amp;E6&amp;CHAR(34)&amp;",type:"&amp;GP6&amp;", describe: "&amp;HH6&amp;", isnew:"&amp;CHAR(34)&amp;F6&amp;CHAR(34)&amp;", links: "&amp;HL6&amp;"},"</f>
        <v>{couname:"[NGA] Oyo State",year:"???",region:"rgn_Africa",Colors:["cl_GRE","cl_RED","cl_WHI"],Items:["3Color","words2","exact2","lets08","startO","with_y","REEDHI","allhor","2Bands","Diagon","Horizo","Trside","Unequa","NO_BLU","NO_YEL","NO_BLA","001GRE","003WHI","myrEQ","NoStar"],Flag:"https://upload.wikimedia.org/wikipedia/commons/thumb/3/3d/Oyo_State_Flag.svg/2560px-Oyo_State_Flag.svg.png",HDFlag:"https://upload.wikimedia.org/wikipedia/commons/thumb/3/3d/Oyo_State_Flag.svg/2560px-Oyo_State_Flag.svg.png",type:"State ", describe: "\nFlag has a red triangle on the hoist. The fly has a horizontal green band on top and a horizontal white band on the bottom. ", isnew:".", links: "https://en.m.wikipedia.org/wiki/Oyo_State"},</v>
      </c>
      <c r="HG6" s="73" t="str">
        <f>"{couname:"&amp;CT6&amp;(IF(HK6&lt;&gt;"",",subtype:"&amp;CHAR(34)&amp;HK6&amp;CHAR(34),""))&amp;",year:"&amp;HJ6&amp;",region:"&amp;CU6&amp;",Colors:"&amp;HC6&amp;",Items:"&amp;GS6&amp;",Flag:"&amp;CV6&amp;",HDFlag:"&amp;CHAR(34)&amp;E6&amp;CHAR(34)&amp;",type:"&amp;GP6&amp;", describe: "&amp;HI6&amp;", links: "&amp;HL6&amp;"},"</f>
        <v>{couname:"[NGA] Oyo State",year:"???",region:"rgn_Africa",Colors:["cl_GRE","cl_RED","cl_WHI"],Items:["3Color","words2","exact2","lets08","startO","with_y","REEDHI","allhor","2Bands","Diagon","Horizo","Trside","Unequa","NO_BLU","NO_YEL","NO_BLA","001GRE","003WHI","myrEQ","NoStar"],Flag:"https://upload.wikimedia.org/wikipedia/commons/thumb/3/3d/Oyo_State_Flag.svg/2560px-Oyo_State_Flag.svg.png",HDFlag:"https://upload.wikimedia.org/wikipedia/commons/thumb/3/3d/Oyo_State_Flag.svg/2560px-Oyo_State_Flag.svg.png",type:"State ", describe: "\nFlag has a red triangle on the hoist. The fly has a horizontal green band on top and a horizontal white band on the bottom. ", links: "https://en.m.wikipedia.org/wiki/Oyo_State"},</v>
      </c>
      <c r="HH6" s="48" t="str">
        <f>IF(P6&lt;&gt;"",CHAR(34)&amp;"\n"&amp;P6&amp;CHAR(34),CHAR(34)&amp;CHAR(34))</f>
        <v>"\nFlag has a red triangle on the hoist. The fly has a horizontal green band on top and a horizontal white band on the bottom. "</v>
      </c>
      <c r="HI6" s="48" t="str">
        <f>IF(J6=0,CHAR(34)&amp;CHAR(34),HH6)</f>
        <v>"\nFlag has a red triangle on the hoist. The fly has a horizontal green band on top and a horizontal white band on the bottom. "</v>
      </c>
      <c r="HJ6" s="48" t="str">
        <f>CHAR(34)&amp;O6&amp;CHAR(34)</f>
        <v>"???"</v>
      </c>
      <c r="HL6" s="48" t="str">
        <f>CHAR(34)&amp;I6&amp;CHAR(34)</f>
        <v>"https://en.m.wikipedia.org/wiki/Oyo_State"</v>
      </c>
      <c r="HM6" s="72" t="str">
        <f>"{"&amp;CHAR(34)&amp;"couname"&amp;CHAR(34)&amp;":"&amp;CT6&amp;(IF(H6&lt;&gt;"",","&amp;CHAR(34)&amp;"subtype"&amp;CHAR(34)&amp;":"&amp;CHAR(34)&amp;H6&amp;CHAR(34),""))&amp;","&amp;CHAR(34)&amp;"year"&amp;CHAR(34)&amp;":"&amp;HJ6&amp;","&amp;CHAR(34)&amp;"region"&amp;CHAR(34)&amp;":"&amp;CU6&amp;","&amp;CHAR(34)&amp;"Colors"&amp;CHAR(34)&amp;":"&amp;HC6&amp;","&amp;CHAR(34)&amp;"Items"&amp;CHAR(34)&amp;":"&amp;GS6&amp;","&amp;CHAR(34)&amp;"Flag"&amp;CHAR(34)&amp;":"&amp;CV6&amp;","&amp;CHAR(34)&amp;"HDFlag"&amp;CHAR(34)&amp;":"&amp;CHAR(34)&amp;E6&amp;CHAR(34)&amp;","&amp;CHAR(34)&amp;"type"&amp;CHAR(34)&amp;":"&amp;GP6&amp;", "&amp;CHAR(34)&amp;"describe"&amp;CHAR(34)&amp;": "&amp;HH6&amp;", "&amp;CHAR(34)&amp;"isnew"&amp;CHAR(34)&amp;": "&amp;CHAR(34)&amp;F6&amp;CHAR(34)&amp;", "&amp;CHAR(34)&amp;"links"&amp;CHAR(34)&amp;": "&amp;HL6&amp;"},"</f>
        <v>{"couname":"[NGA] Oyo State","year":"???","region":"rgn_Africa","Colors":["cl_GRE","cl_RED","cl_WHI"],"Items":["3Color","words2","exact2","lets08","startO","with_y","REEDHI","allhor","2Bands","Diagon","Horizo","Trside","Unequa","NO_BLU","NO_YEL","NO_BLA","001GRE","003WHI","myrEQ","NoStar"],"Flag":"https://upload.wikimedia.org/wikipedia/commons/thumb/3/3d/Oyo_State_Flag.svg/2560px-Oyo_State_Flag.svg.png","HDFlag":"https://upload.wikimedia.org/wikipedia/commons/thumb/3/3d/Oyo_State_Flag.svg/2560px-Oyo_State_Flag.svg.png","type":"State ", "describe": "\nFlag has a red triangle on the hoist. The fly has a horizontal green band on top and a horizontal white band on the bottom. ", "isnew": ".", "links": "https://en.m.wikipedia.org/wiki/Oyo_State"},</v>
      </c>
      <c r="HN6" s="74" t="str">
        <f>"{"&amp;CHAR(34)&amp;"couname"&amp;CHAR(34)&amp;":"&amp;CT6&amp;(IF(H6&lt;&gt;"",","&amp;CHAR(34)&amp;"subtype"&amp;CHAR(34)&amp;":"&amp;CHAR(34)&amp;H6&amp;CHAR(34),""))&amp;","&amp;CHAR(34)&amp;"year"&amp;CHAR(34)&amp;":"&amp;HJ6&amp;","&amp;CHAR(34)&amp;"region"&amp;CHAR(34)&amp;":"&amp;CU6&amp;","&amp;CHAR(34)&amp;"Colors"&amp;CHAR(34)&amp;":"&amp;HC6&amp;","&amp;CHAR(34)&amp;"Items"&amp;CHAR(34)&amp;":"&amp;GS6&amp;","&amp;CHAR(34)&amp;"Flag"&amp;CHAR(34)&amp;":"&amp;CV6&amp;","&amp;CHAR(34)&amp;"HDFlag"&amp;CHAR(34)&amp;":"&amp;CHAR(34)&amp;E6&amp;CHAR(34)&amp;","&amp;CHAR(34)&amp;"type"&amp;CHAR(34)&amp;":"&amp;GP6&amp;", "&amp;CHAR(34)&amp;"describe"&amp;CHAR(34)&amp;": "&amp;HI6&amp;", "&amp;CHAR(34)&amp;"isnew"&amp;CHAR(34)&amp;": "&amp;CHAR(34)&amp;F6&amp;CHAR(34)&amp;", "&amp;CHAR(34)&amp;"links"&amp;CHAR(34)&amp;": "&amp;HL6&amp;"},"</f>
        <v>{"couname":"[NGA] Oyo State","year":"???","region":"rgn_Africa","Colors":["cl_GRE","cl_RED","cl_WHI"],"Items":["3Color","words2","exact2","lets08","startO","with_y","REEDHI","allhor","2Bands","Diagon","Horizo","Trside","Unequa","NO_BLU","NO_YEL","NO_BLA","001GRE","003WHI","myrEQ","NoStar"],"Flag":"https://upload.wikimedia.org/wikipedia/commons/thumb/3/3d/Oyo_State_Flag.svg/2560px-Oyo_State_Flag.svg.png","HDFlag":"https://upload.wikimedia.org/wikipedia/commons/thumb/3/3d/Oyo_State_Flag.svg/2560px-Oyo_State_Flag.svg.png","type":"State ", "describe": "\nFlag has a red triangle on the hoist. The fly has a horizontal green band on top and a horizontal white band on the bottom. ", "isnew": ".", "links": "https://en.m.wikipedia.org/wiki/Oyo_State"},</v>
      </c>
      <c r="HO6" s="75">
        <v>45576</v>
      </c>
      <c r="HP6" s="48" t="str" cm="1">
        <f t="array" ref="HP6">IF(_xlfn.TEXTJOIN(", ", TRUE, IF(ISNUMBER(SEARCH("BLA", BL6:BT6)), COLUMN(BL6:BT6) - COLUMN(BL6) + 1, ""))&lt;&gt;"","BLA","")</f>
        <v/>
      </c>
      <c r="HQ6" s="48" t="str" cm="1">
        <f t="array" ref="HQ6">IF(_xlfn.TEXTJOIN(", ", TRUE, IF(ISNUMBER(SEARCH("BLU", BL6:BT6)), COLUMN(BL6:BT6) - COLUMN(BL6) + 1, ""))&lt;&gt;"","BLU","")</f>
        <v/>
      </c>
      <c r="HR6" s="48" t="str" cm="1">
        <f t="array" ref="HR6">IF(_xlfn.TEXTJOIN(", ", TRUE, IF(ISNUMBER(SEARCH("GRE", BL6:BT6)), COLUMN(BL6:BT6) - COLUMN(BL6) + 1, ""))&lt;&gt;"","GRE","")</f>
        <v>GRE</v>
      </c>
      <c r="HS6" s="48" t="str" cm="1">
        <f t="array" ref="HS6">IF(_xlfn.TEXTJOIN(", ", TRUE, IF(ISNUMBER(SEARCH("RED", BL6:BT6)), COLUMN(BL6:BT6) - COLUMN(BL6) + 1, ""))&lt;&gt;"","RED","")</f>
        <v>RED</v>
      </c>
      <c r="HT6" s="48" t="str" cm="1">
        <f t="array" ref="HT6">IF(_xlfn.TEXTJOIN(", ", TRUE, IF(ISNUMBER(SEARCH("YEL", BL6:BT6)), COLUMN(BL6:BT6) - COLUMN(BL6) + 1, ""))&lt;&gt;"","YEL","")</f>
        <v/>
      </c>
      <c r="HU6" s="48" t="str" cm="1">
        <f t="array" ref="HU6">IF(_xlfn.TEXTJOIN(", ", TRUE, IF(ISNUMBER(SEARCH("ORA", BL6:BT6)), COLUMN(BL6:BT6) - COLUMN(BL6) + 1, ""))&lt;&gt;"","ORA","")</f>
        <v/>
      </c>
      <c r="HV6" s="48" t="str" cm="1">
        <f t="array" ref="HV6">IF(_xlfn.TEXTJOIN(", ", TRUE, IF(ISNUMBER(SEARCH("BRO", BL6:BT6)), COLUMN(BL6:BT6) - COLUMN(BL6) + 1, ""))&lt;&gt;"","BRO","")</f>
        <v/>
      </c>
      <c r="HW6" s="48" t="str" cm="1">
        <f t="array" ref="HW6">IF(_xlfn.TEXTJOIN(", ", TRUE, IF(ISNUMBER(SEARCH("PUR", BL6:BT6)), COLUMN(BL6:BT6) - COLUMN(BL6) + 1, ""))&lt;&gt;"","PUR","")</f>
        <v/>
      </c>
      <c r="HX6" s="48" t="str" cm="1">
        <f t="array" ref="HX6">IF(_xlfn.TEXTJOIN(", ", TRUE, IF(ISNUMBER(SEARCH("WHI", BL6:BT6)), COLUMN(BL6:BT6) - COLUMN(BL6) + 1, ""))&lt;&gt;"","WHI","")</f>
        <v>WHI</v>
      </c>
      <c r="HY6" s="76"/>
      <c r="HZ6" s="76"/>
      <c r="IA6" s="6"/>
      <c r="IB6" s="6"/>
      <c r="IC6" s="77"/>
      <c r="ID6" s="77"/>
      <c r="IE6" s="77"/>
      <c r="IF6" s="77"/>
      <c r="IG6" s="77"/>
      <c r="IH6" s="77"/>
      <c r="II6" s="77"/>
      <c r="IJ6" s="77"/>
      <c r="IK6" s="77"/>
      <c r="IL6" s="48">
        <f>SUM(IC6:IK6)</f>
        <v>0</v>
      </c>
      <c r="IM6" s="45">
        <f>COUNTIF(IC6:IK6,"&gt;0")-CG6</f>
        <v>-3</v>
      </c>
      <c r="IN6" s="78" t="str">
        <f>"http://mkweb.bcgsc.ca/color-summarizer/?url="&amp;D6&amp;"&amp;precision=low&amp;num_clusters="&amp;CG6&amp;"&amp;text=1"</f>
        <v>http://mkweb.bcgsc.ca/color-summarizer/?url=https://upload.wikimedia.org/wikipedia/commons/thumb/3/3d/Oyo_State_Flag.svg/2560px-Oyo_State_Flag.svg.png&amp;precision=low&amp;num_clusters=3&amp;text=1</v>
      </c>
      <c r="IO6" s="48" t="str">
        <f>IF(HP6&lt;&gt;"",CHAR(34)&amp;"black"&amp;CHAR(34),"")</f>
        <v/>
      </c>
      <c r="IP6" s="48" t="str">
        <f>IF(HQ6&lt;&gt;"",CHAR(34)&amp;"blue"&amp;CHAR(34),"")</f>
        <v/>
      </c>
      <c r="IQ6" s="48" t="str">
        <f>IF(HR6&lt;&gt;"",CHAR(34)&amp;"green"&amp;CHAR(34),"")</f>
        <v>"green"</v>
      </c>
      <c r="IR6" s="48" t="str">
        <f>IF(HS6&lt;&gt;"",CHAR(34)&amp;"red"&amp;CHAR(34),"")</f>
        <v>"red"</v>
      </c>
      <c r="IS6" s="48" t="str">
        <f>IF(HT6&lt;&gt;"",CHAR(34)&amp;"yellow"&amp;CHAR(34),"")</f>
        <v/>
      </c>
      <c r="IT6" s="48" t="str">
        <f>IF(HU6&lt;&gt;"",CHAR(34)&amp;"orange"&amp;CHAR(34),"")</f>
        <v/>
      </c>
      <c r="IU6" s="48" t="str">
        <f>IF(HV6&lt;&gt;"",CHAR(34)&amp;"brown"&amp;CHAR(34),"")</f>
        <v/>
      </c>
      <c r="IV6" s="48" t="str">
        <f>IF(HW6&lt;&gt;"",CHAR(34)&amp;"purple"&amp;CHAR(34),"")</f>
        <v/>
      </c>
      <c r="IW6" s="48" t="str">
        <f>IF(HX6&lt;&gt;"",CHAR(34)&amp;"white"&amp;CHAR(34),"")</f>
        <v>"white"</v>
      </c>
      <c r="IX6" s="48" t="str">
        <f>"{"&amp;CHAR(34)&amp;"url"&amp;CHAR(34)&amp;":"&amp;CHAR(34)&amp;IN6&amp;CHAR(34)&amp;","&amp;CHAR(34)&amp;"name"&amp;CHAR(34)&amp;":"&amp;CHAR(34)&amp;A6&amp;CHAR(34)&amp;"},"</f>
        <v>{"url":"http://mkweb.bcgsc.ca/color-summarizer/?url=https://upload.wikimedia.org/wikipedia/commons/thumb/3/3d/Oyo_State_Flag.svg/2560px-Oyo_State_Flag.svg.png&amp;precision=low&amp;num_clusters=3&amp;text=1","name":"[NGA] Oyo State"},</v>
      </c>
      <c r="IY6" s="48">
        <v>671</v>
      </c>
    </row>
    <row r="7" spans="1:259" ht="38.4" customHeight="1" x14ac:dyDescent="0.3">
      <c r="F7" s="81"/>
      <c r="K7" s="81"/>
      <c r="L7" s="81"/>
      <c r="M7" s="81"/>
      <c r="N7" s="81"/>
      <c r="O7" s="81"/>
    </row>
    <row r="8" spans="1:259" ht="38.4" customHeight="1" x14ac:dyDescent="0.3">
      <c r="F8" s="81"/>
      <c r="K8" s="81"/>
      <c r="L8" s="81"/>
      <c r="M8" s="81"/>
      <c r="N8" s="81"/>
      <c r="O8" s="81"/>
    </row>
    <row r="9" spans="1:259" ht="38.4" customHeight="1" x14ac:dyDescent="0.3">
      <c r="F9" s="81"/>
      <c r="K9" s="81"/>
      <c r="L9" s="81"/>
      <c r="M9" s="81"/>
      <c r="N9" s="81"/>
      <c r="O9" s="81"/>
    </row>
    <row r="10" spans="1:259" ht="38.4" customHeight="1" x14ac:dyDescent="0.3">
      <c r="F10" s="81"/>
      <c r="K10" s="81"/>
      <c r="L10" s="81"/>
      <c r="M10" s="81"/>
      <c r="N10" s="81"/>
      <c r="O10" s="81"/>
    </row>
    <row r="11" spans="1:259" ht="38.4" customHeight="1" x14ac:dyDescent="0.3">
      <c r="F11" s="81"/>
      <c r="K11" s="81"/>
      <c r="L11" s="81"/>
      <c r="M11" s="81"/>
      <c r="N11" s="81"/>
      <c r="O11" s="81"/>
    </row>
  </sheetData>
  <autoFilter ref="A1:IY1" xr:uid="{A1051193-A95B-4CFB-A73C-F0184620C81F}">
    <sortState xmlns:xlrd2="http://schemas.microsoft.com/office/spreadsheetml/2017/richdata2" ref="A2:IY5">
      <sortCondition ref="AW1"/>
    </sortState>
  </autoFilter>
  <conditionalFormatting sqref="H1 CW1:GS1 IA1:IB1">
    <cfRule type="cellIs" dxfId="3110" priority="118" operator="greaterThan">
      <formula>0</formula>
    </cfRule>
  </conditionalFormatting>
  <conditionalFormatting sqref="H1 H7:H1048576 F7:O11">
    <cfRule type="cellIs" dxfId="3109" priority="84" stopIfTrue="1" operator="notEqual">
      <formula>""</formula>
    </cfRule>
  </conditionalFormatting>
  <conditionalFormatting sqref="T1:BK1">
    <cfRule type="cellIs" dxfId="3108" priority="121" operator="greaterThan">
      <formula>0</formula>
    </cfRule>
  </conditionalFormatting>
  <conditionalFormatting sqref="BV1:BW1 BV7:BW1048576">
    <cfRule type="cellIs" dxfId="3107" priority="120" operator="equal">
      <formula>"nc"</formula>
    </cfRule>
  </conditionalFormatting>
  <conditionalFormatting sqref="HF1:HG1">
    <cfRule type="cellIs" dxfId="3106" priority="122" operator="greaterThan">
      <formula>0</formula>
    </cfRule>
  </conditionalFormatting>
  <conditionalFormatting sqref="HK1">
    <cfRule type="cellIs" dxfId="3105" priority="119" operator="greaterThan">
      <formula>0</formula>
    </cfRule>
  </conditionalFormatting>
  <conditionalFormatting sqref="HP1:HX1">
    <cfRule type="cellIs" dxfId="3104" priority="96" operator="equal">
      <formula>"PIN"</formula>
    </cfRule>
    <cfRule type="cellIs" dxfId="3103" priority="97" operator="equal">
      <formula>"ORA"</formula>
    </cfRule>
    <cfRule type="cellIs" dxfId="3102" priority="98" operator="equal">
      <formula>"GRA"</formula>
    </cfRule>
    <cfRule type="cellIs" dxfId="3101" priority="99" operator="equal">
      <formula>"PUR"</formula>
    </cfRule>
    <cfRule type="cellIs" dxfId="3100" priority="100" operator="equal">
      <formula>"BRO"</formula>
    </cfRule>
    <cfRule type="cellIs" dxfId="3099" priority="101" operator="equal">
      <formula>"YEL"</formula>
    </cfRule>
    <cfRule type="cellIs" dxfId="3098" priority="102" operator="equal">
      <formula>"BLU"</formula>
    </cfRule>
    <cfRule type="cellIs" dxfId="3097" priority="103" operator="equal">
      <formula>"WHI"</formula>
    </cfRule>
    <cfRule type="cellIs" dxfId="3096" priority="104" operator="equal">
      <formula>"GRE"</formula>
    </cfRule>
    <cfRule type="cellIs" dxfId="3095" priority="105" operator="equal">
      <formula>"RED"</formula>
    </cfRule>
    <cfRule type="cellIs" dxfId="3094" priority="106" operator="equal">
      <formula>"BLA"</formula>
    </cfRule>
  </conditionalFormatting>
  <conditionalFormatting sqref="IC1:IK1">
    <cfRule type="cellIs" dxfId="3093" priority="107" operator="equal">
      <formula>"PIN"</formula>
    </cfRule>
    <cfRule type="cellIs" dxfId="3092" priority="108" operator="equal">
      <formula>"ORA"</formula>
    </cfRule>
    <cfRule type="cellIs" dxfId="3091" priority="109" operator="equal">
      <formula>"GRA"</formula>
    </cfRule>
    <cfRule type="cellIs" dxfId="3090" priority="110" operator="equal">
      <formula>"PUR"</formula>
    </cfRule>
    <cfRule type="cellIs" dxfId="3089" priority="111" operator="equal">
      <formula>"BRO"</formula>
    </cfRule>
    <cfRule type="cellIs" dxfId="3088" priority="112" operator="equal">
      <formula>"YEL"</formula>
    </cfRule>
    <cfRule type="cellIs" dxfId="3087" priority="113" operator="equal">
      <formula>"BLU"</formula>
    </cfRule>
    <cfRule type="cellIs" dxfId="3086" priority="114" operator="equal">
      <formula>"WHI"</formula>
    </cfRule>
    <cfRule type="cellIs" dxfId="3085" priority="115" operator="equal">
      <formula>"GRE"</formula>
    </cfRule>
    <cfRule type="cellIs" dxfId="3084" priority="116" operator="equal">
      <formula>"RED"</formula>
    </cfRule>
    <cfRule type="cellIs" dxfId="3083" priority="117" operator="equal">
      <formula>"BLA"</formula>
    </cfRule>
  </conditionalFormatting>
  <conditionalFormatting sqref="IO1:IW1">
    <cfRule type="cellIs" dxfId="3082" priority="85" operator="equal">
      <formula>"PIN"</formula>
    </cfRule>
    <cfRule type="cellIs" dxfId="3081" priority="86" operator="equal">
      <formula>"ORA"</formula>
    </cfRule>
    <cfRule type="cellIs" dxfId="3080" priority="87" operator="equal">
      <formula>"GRA"</formula>
    </cfRule>
    <cfRule type="cellIs" dxfId="3079" priority="88" operator="equal">
      <formula>"PUR"</formula>
    </cfRule>
    <cfRule type="cellIs" dxfId="3078" priority="89" operator="equal">
      <formula>"BRO"</formula>
    </cfRule>
    <cfRule type="cellIs" dxfId="3077" priority="90" operator="equal">
      <formula>"YEL"</formula>
    </cfRule>
    <cfRule type="cellIs" dxfId="3076" priority="91" operator="equal">
      <formula>"BLU"</formula>
    </cfRule>
    <cfRule type="cellIs" dxfId="3075" priority="92" operator="equal">
      <formula>"WHI"</formula>
    </cfRule>
    <cfRule type="cellIs" dxfId="3074" priority="93" operator="equal">
      <formula>"GRE"</formula>
    </cfRule>
    <cfRule type="cellIs" dxfId="3073" priority="94" operator="equal">
      <formula>"RED"</formula>
    </cfRule>
    <cfRule type="cellIs" dxfId="3072" priority="95" operator="equal">
      <formula>"BLA"</formula>
    </cfRule>
  </conditionalFormatting>
  <conditionalFormatting sqref="H3:H6">
    <cfRule type="cellIs" dxfId="3071" priority="76" stopIfTrue="1" operator="notEqual">
      <formula>""</formula>
    </cfRule>
  </conditionalFormatting>
  <conditionalFormatting sqref="R3:R6 CU3:CU6">
    <cfRule type="cellIs" dxfId="3070" priority="79" operator="greaterThan">
      <formula>0</formula>
    </cfRule>
  </conditionalFormatting>
  <conditionalFormatting sqref="T3:AS6 CH3:CS6">
    <cfRule type="cellIs" dxfId="3069" priority="73" stopIfTrue="1" operator="equal">
      <formula>"n"</formula>
    </cfRule>
    <cfRule type="cellIs" dxfId="3068" priority="74" stopIfTrue="1" operator="equal">
      <formula>"y"</formula>
    </cfRule>
    <cfRule type="cellIs" dxfId="3067" priority="75" operator="greaterThan">
      <formula>0</formula>
    </cfRule>
  </conditionalFormatting>
  <conditionalFormatting sqref="AZ3:BB6">
    <cfRule type="expression" dxfId="3066" priority="60">
      <formula>$AT3=0</formula>
    </cfRule>
  </conditionalFormatting>
  <conditionalFormatting sqref="CD3:CF6 BX3:CA6 AZ3:BU6">
    <cfRule type="cellIs" dxfId="3065" priority="61" operator="equal">
      <formula>"PIN"</formula>
    </cfRule>
    <cfRule type="cellIs" dxfId="3064" priority="62" operator="equal">
      <formula>"ORA"</formula>
    </cfRule>
    <cfRule type="cellIs" dxfId="3063" priority="63" operator="equal">
      <formula>"GRA"</formula>
    </cfRule>
    <cfRule type="cellIs" dxfId="3062" priority="64" operator="equal">
      <formula>"PUR"</formula>
    </cfRule>
    <cfRule type="cellIs" dxfId="3061" priority="65" operator="equal">
      <formula>"BRO"</formula>
    </cfRule>
    <cfRule type="cellIs" dxfId="3060" priority="66" operator="equal">
      <formula>"YEL"</formula>
    </cfRule>
    <cfRule type="cellIs" dxfId="3059" priority="67" operator="equal">
      <formula>"BLU"</formula>
    </cfRule>
    <cfRule type="cellIs" dxfId="3058" priority="68" operator="equal">
      <formula>"WHI"</formula>
    </cfRule>
    <cfRule type="cellIs" dxfId="3057" priority="69" operator="equal">
      <formula>"GRE"</formula>
    </cfRule>
    <cfRule type="cellIs" dxfId="3056" priority="70" operator="equal">
      <formula>"RED"</formula>
    </cfRule>
    <cfRule type="cellIs" dxfId="3055" priority="71" operator="equal">
      <formula>"BLA"</formula>
    </cfRule>
  </conditionalFormatting>
  <conditionalFormatting sqref="BV3:BV6">
    <cfRule type="cellIs" dxfId="3054" priority="78" operator="equal">
      <formula>"nc"</formula>
    </cfRule>
  </conditionalFormatting>
  <conditionalFormatting sqref="CD3:CF6 BX3:CA6">
    <cfRule type="cellIs" dxfId="3053" priority="77" operator="equal">
      <formula>"y"</formula>
    </cfRule>
  </conditionalFormatting>
  <conditionalFormatting sqref="CD3:CF6 BZ3:CA6">
    <cfRule type="cellIs" dxfId="3052" priority="72" operator="greaterThan">
      <formula>0</formula>
    </cfRule>
  </conditionalFormatting>
  <conditionalFormatting sqref="IC3:IK6">
    <cfRule type="expression" dxfId="3051" priority="59">
      <formula>$IL3&gt;0</formula>
    </cfRule>
  </conditionalFormatting>
  <conditionalFormatting sqref="IC3:IC6">
    <cfRule type="cellIs" dxfId="3050" priority="53" stopIfTrue="1" operator="greaterThan">
      <formula>0</formula>
    </cfRule>
  </conditionalFormatting>
  <conditionalFormatting sqref="ID3:ID6">
    <cfRule type="cellIs" dxfId="3049" priority="51" stopIfTrue="1" operator="greaterThan">
      <formula>0</formula>
    </cfRule>
  </conditionalFormatting>
  <conditionalFormatting sqref="II3:II6 IE3:IF6">
    <cfRule type="cellIs" dxfId="3048" priority="58" operator="greaterThan">
      <formula>0</formula>
    </cfRule>
  </conditionalFormatting>
  <conditionalFormatting sqref="II3:II6 IF3:IF6">
    <cfRule type="cellIs" dxfId="3047" priority="52" stopIfTrue="1" operator="greaterThan">
      <formula>0</formula>
    </cfRule>
  </conditionalFormatting>
  <conditionalFormatting sqref="IG3:IG6">
    <cfRule type="cellIs" dxfId="3046" priority="57" operator="greaterThan">
      <formula>0</formula>
    </cfRule>
  </conditionalFormatting>
  <conditionalFormatting sqref="IH3:II6">
    <cfRule type="cellIs" dxfId="3045" priority="56" operator="greaterThan">
      <formula>0</formula>
    </cfRule>
  </conditionalFormatting>
  <conditionalFormatting sqref="IJ3:IJ6">
    <cfRule type="cellIs" dxfId="3044" priority="55" operator="greaterThan">
      <formula>0</formula>
    </cfRule>
  </conditionalFormatting>
  <conditionalFormatting sqref="IK3:IK6">
    <cfRule type="cellIs" dxfId="3043" priority="54" operator="greaterThan">
      <formula>0</formula>
    </cfRule>
  </conditionalFormatting>
  <conditionalFormatting sqref="IF3:IF6">
    <cfRule type="cellIs" dxfId="3042" priority="50" stopIfTrue="1" operator="greaterThan">
      <formula>0</formula>
    </cfRule>
  </conditionalFormatting>
  <conditionalFormatting sqref="IM3:IM6">
    <cfRule type="cellIs" dxfId="3041" priority="49" operator="equal">
      <formula>0</formula>
    </cfRule>
  </conditionalFormatting>
  <conditionalFormatting sqref="BX3:CA6 CD3:CF6">
    <cfRule type="cellIs" dxfId="3040" priority="37" operator="equal">
      <formula>"y"</formula>
    </cfRule>
    <cfRule type="cellIs" dxfId="3039" priority="38" operator="equal">
      <formula>"PIN"</formula>
    </cfRule>
    <cfRule type="cellIs" dxfId="3038" priority="39" operator="equal">
      <formula>"ORA"</formula>
    </cfRule>
    <cfRule type="cellIs" dxfId="3037" priority="40" operator="equal">
      <formula>"GRA"</formula>
    </cfRule>
    <cfRule type="cellIs" dxfId="3036" priority="41" operator="equal">
      <formula>"PUR"</formula>
    </cfRule>
    <cfRule type="cellIs" dxfId="3035" priority="42" operator="equal">
      <formula>"BRO"</formula>
    </cfRule>
    <cfRule type="cellIs" dxfId="3034" priority="43" operator="equal">
      <formula>"YEL"</formula>
    </cfRule>
    <cfRule type="cellIs" dxfId="3033" priority="44" operator="equal">
      <formula>"BLU"</formula>
    </cfRule>
    <cfRule type="cellIs" dxfId="3032" priority="45" operator="equal">
      <formula>"WHI"</formula>
    </cfRule>
    <cfRule type="cellIs" dxfId="3031" priority="46" operator="equal">
      <formula>"GRE"</formula>
    </cfRule>
    <cfRule type="cellIs" dxfId="3030" priority="47" operator="equal">
      <formula>"RED"</formula>
    </cfRule>
    <cfRule type="cellIs" dxfId="3029" priority="48" operator="equal">
      <formula>"BLA"</formula>
    </cfRule>
  </conditionalFormatting>
  <conditionalFormatting sqref="AT3:AT6">
    <cfRule type="colorScale" priority="80">
      <colorScale>
        <cfvo type="min"/>
        <cfvo type="max"/>
        <color rgb="FFFCFCFF"/>
        <color theme="8" tint="0.39997558519241921"/>
      </colorScale>
    </cfRule>
  </conditionalFormatting>
  <conditionalFormatting sqref="S3:S6">
    <cfRule type="colorScale" priority="81">
      <colorScale>
        <cfvo type="min"/>
        <cfvo type="max"/>
        <color rgb="FFFCFCFF"/>
        <color rgb="FF754BFB"/>
      </colorScale>
    </cfRule>
  </conditionalFormatting>
  <conditionalFormatting sqref="J3:J6">
    <cfRule type="colorScale" priority="82">
      <colorScale>
        <cfvo type="min"/>
        <cfvo type="percentile" val="50"/>
        <cfvo type="max"/>
        <color rgb="FFF8696B"/>
        <color rgb="FFFFEB84"/>
        <color rgb="FF63BE7B"/>
      </colorScale>
    </cfRule>
  </conditionalFormatting>
  <conditionalFormatting sqref="CG3:CG6">
    <cfRule type="colorScale" priority="83">
      <colorScale>
        <cfvo type="min"/>
        <cfvo type="max"/>
        <color rgb="FFFCFCFF"/>
        <color rgb="FF63BE7B"/>
      </colorScale>
    </cfRule>
  </conditionalFormatting>
  <conditionalFormatting sqref="H2">
    <cfRule type="cellIs" dxfId="3028" priority="30" stopIfTrue="1" operator="notEqual">
      <formula>""</formula>
    </cfRule>
  </conditionalFormatting>
  <conditionalFormatting sqref="R2 CU2">
    <cfRule type="cellIs" dxfId="3027" priority="32" operator="greaterThan">
      <formula>0</formula>
    </cfRule>
  </conditionalFormatting>
  <conditionalFormatting sqref="T2:AS2 CH2:CS2">
    <cfRule type="cellIs" dxfId="3026" priority="27" stopIfTrue="1" operator="equal">
      <formula>"n"</formula>
    </cfRule>
    <cfRule type="cellIs" dxfId="3025" priority="28" stopIfTrue="1" operator="equal">
      <formula>"y"</formula>
    </cfRule>
    <cfRule type="cellIs" dxfId="3024" priority="29" operator="greaterThan">
      <formula>0</formula>
    </cfRule>
  </conditionalFormatting>
  <conditionalFormatting sqref="AZ2:BB2">
    <cfRule type="expression" dxfId="3023" priority="14">
      <formula>$AT2=0</formula>
    </cfRule>
  </conditionalFormatting>
  <conditionalFormatting sqref="AZ2:BU2">
    <cfRule type="cellIs" dxfId="3022" priority="15" operator="equal">
      <formula>"PIN"</formula>
    </cfRule>
    <cfRule type="cellIs" dxfId="3021" priority="16" operator="equal">
      <formula>"ORA"</formula>
    </cfRule>
    <cfRule type="cellIs" dxfId="3020" priority="17" operator="equal">
      <formula>"GRA"</formula>
    </cfRule>
    <cfRule type="cellIs" dxfId="3019" priority="18" operator="equal">
      <formula>"PUR"</formula>
    </cfRule>
    <cfRule type="cellIs" dxfId="3018" priority="19" operator="equal">
      <formula>"BRO"</formula>
    </cfRule>
    <cfRule type="cellIs" dxfId="3017" priority="20" operator="equal">
      <formula>"YEL"</formula>
    </cfRule>
    <cfRule type="cellIs" dxfId="3016" priority="21" operator="equal">
      <formula>"BLU"</formula>
    </cfRule>
    <cfRule type="cellIs" dxfId="3015" priority="22" operator="equal">
      <formula>"WHI"</formula>
    </cfRule>
    <cfRule type="cellIs" dxfId="3014" priority="23" operator="equal">
      <formula>"GRE"</formula>
    </cfRule>
    <cfRule type="cellIs" dxfId="3013" priority="24" operator="equal">
      <formula>"RED"</formula>
    </cfRule>
    <cfRule type="cellIs" dxfId="3012" priority="25" operator="equal">
      <formula>"BLA"</formula>
    </cfRule>
  </conditionalFormatting>
  <conditionalFormatting sqref="BV2">
    <cfRule type="cellIs" dxfId="3011" priority="31" operator="equal">
      <formula>"nc"</formula>
    </cfRule>
  </conditionalFormatting>
  <conditionalFormatting sqref="CD2:CF2 BZ2:CA2">
    <cfRule type="cellIs" dxfId="3010" priority="26" operator="greaterThan">
      <formula>0</formula>
    </cfRule>
  </conditionalFormatting>
  <conditionalFormatting sqref="IC2:IK2">
    <cfRule type="expression" dxfId="3009" priority="13">
      <formula>$IL2&gt;0</formula>
    </cfRule>
  </conditionalFormatting>
  <conditionalFormatting sqref="BX2:CA2 CD2:CF2">
    <cfRule type="cellIs" dxfId="3008" priority="1" operator="equal">
      <formula>"y"</formula>
    </cfRule>
    <cfRule type="cellIs" dxfId="3007" priority="2" operator="equal">
      <formula>"PIN"</formula>
    </cfRule>
    <cfRule type="cellIs" dxfId="3006" priority="3" operator="equal">
      <formula>"ORA"</formula>
    </cfRule>
    <cfRule type="cellIs" dxfId="3005" priority="4" operator="equal">
      <formula>"GRA"</formula>
    </cfRule>
    <cfRule type="cellIs" dxfId="3004" priority="5" operator="equal">
      <formula>"PUR"</formula>
    </cfRule>
    <cfRule type="cellIs" dxfId="3003" priority="6" operator="equal">
      <formula>"BRO"</formula>
    </cfRule>
    <cfRule type="cellIs" dxfId="3002" priority="7" operator="equal">
      <formula>"YEL"</formula>
    </cfRule>
    <cfRule type="cellIs" dxfId="3001" priority="8" operator="equal">
      <formula>"BLU"</formula>
    </cfRule>
    <cfRule type="cellIs" dxfId="3000" priority="9" operator="equal">
      <formula>"WHI"</formula>
    </cfRule>
    <cfRule type="cellIs" dxfId="2999" priority="10" operator="equal">
      <formula>"GRE"</formula>
    </cfRule>
    <cfRule type="cellIs" dxfId="2998" priority="11" operator="equal">
      <formula>"RED"</formula>
    </cfRule>
    <cfRule type="cellIs" dxfId="2997" priority="12" operator="equal">
      <formula>"BLA"</formula>
    </cfRule>
  </conditionalFormatting>
  <conditionalFormatting sqref="J2">
    <cfRule type="colorScale" priority="33">
      <colorScale>
        <cfvo type="min"/>
        <cfvo type="percentile" val="50"/>
        <cfvo type="max"/>
        <color rgb="FFF8696B"/>
        <color rgb="FFFFEB84"/>
        <color rgb="FF63BE7B"/>
      </colorScale>
    </cfRule>
  </conditionalFormatting>
  <conditionalFormatting sqref="S2">
    <cfRule type="colorScale" priority="34">
      <colorScale>
        <cfvo type="min"/>
        <cfvo type="max"/>
        <color rgb="FFFCFCFF"/>
        <color rgb="FF754BFB"/>
      </colorScale>
    </cfRule>
  </conditionalFormatting>
  <conditionalFormatting sqref="AT2">
    <cfRule type="colorScale" priority="35">
      <colorScale>
        <cfvo type="min"/>
        <cfvo type="max"/>
        <color rgb="FFFCFCFF"/>
        <color theme="8" tint="0.39997558519241921"/>
      </colorScale>
    </cfRule>
  </conditionalFormatting>
  <conditionalFormatting sqref="CG2">
    <cfRule type="colorScale" priority="36">
      <colorScale>
        <cfvo type="min"/>
        <cfvo type="max"/>
        <color rgb="FFFCFCFF"/>
        <color rgb="FF63BE7B"/>
      </colorScale>
    </cfRule>
  </conditionalFormatting>
  <hyperlinks>
    <hyperlink ref="A2" r:id="rId1" display="https://fbref.com/en/country/NGA/Nigeria-Football" xr:uid="{1DF2D51D-0670-4996-AE83-5BAA417A4AF3}"/>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4273" r:id="rId5"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54274" r:id="rId6"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54275" r:id="rId7"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6EF3ED-C1C8-4942-BD4D-C7D9FF0AB1CC}">
  <sheetPr codeName="Sheet69"/>
  <dimension ref="A1:IY6"/>
  <sheetViews>
    <sheetView zoomScale="70" zoomScaleNormal="70" workbookViewId="0">
      <pane xSplit="5" ySplit="1" topLeftCell="F2" activePane="bottomRight" state="frozen"/>
      <selection pane="topRight" activeCell="F1" sqref="F1"/>
      <selection pane="bottomLeft" activeCell="A2" sqref="A2"/>
      <selection pane="bottomRight" activeCell="M3" sqref="M3"/>
    </sheetView>
  </sheetViews>
  <sheetFormatPr defaultRowHeight="38.4" customHeight="1" x14ac:dyDescent="0.3"/>
  <cols>
    <col min="1" max="1" width="52.44140625" style="81" bestFit="1" customWidth="1"/>
    <col min="2" max="2" width="10.109375" style="81" customWidth="1"/>
    <col min="3" max="3" width="7.44140625" style="82" customWidth="1"/>
    <col min="4" max="4" width="4.77734375" style="83" customWidth="1"/>
    <col min="5" max="5" width="4.5546875" style="83" customWidth="1"/>
    <col min="6" max="6" width="5.77734375" style="83" customWidth="1"/>
    <col min="7" max="7" width="7.44140625" style="81" customWidth="1"/>
    <col min="8" max="8" width="11.44140625" style="81" customWidth="1"/>
    <col min="9" max="9" width="10" style="81" customWidth="1"/>
    <col min="10" max="10" width="4.21875" style="81" customWidth="1"/>
    <col min="11" max="11" width="5.6640625" style="83" customWidth="1"/>
    <col min="12" max="12" width="2.88671875" style="83" customWidth="1"/>
    <col min="13" max="13" width="6.44140625" style="83" customWidth="1"/>
    <col min="14" max="14" width="4.5546875" style="83" customWidth="1"/>
    <col min="15" max="15" width="10.5546875" style="84" customWidth="1"/>
    <col min="16" max="16" width="6.88671875" style="83" customWidth="1"/>
    <col min="17" max="17" width="4.77734375" style="83" customWidth="1"/>
    <col min="18" max="18" width="13.109375" style="82" customWidth="1"/>
    <col min="19" max="19" width="6.77734375" style="82" customWidth="1"/>
    <col min="20" max="46" width="8.44140625" style="81" customWidth="1"/>
    <col min="47" max="47" width="24.5546875" style="81" customWidth="1"/>
    <col min="48" max="51" width="16.6640625" style="81" customWidth="1"/>
    <col min="52" max="52" width="6.5546875" style="81" customWidth="1"/>
    <col min="53" max="54" width="5.88671875" style="81" customWidth="1"/>
    <col min="55" max="55" width="1.33203125" style="81" customWidth="1"/>
    <col min="56" max="56" width="7.44140625" style="81" customWidth="1"/>
    <col min="57" max="57" width="2.33203125" style="81" customWidth="1"/>
    <col min="58" max="62" width="6.109375" style="81" customWidth="1"/>
    <col min="63" max="63" width="2.33203125" style="81" customWidth="1"/>
    <col min="64" max="64" width="7" style="81" bestFit="1" customWidth="1"/>
    <col min="65" max="65" width="6.44140625" style="81" bestFit="1" customWidth="1"/>
    <col min="66" max="66" width="7.109375" style="81" bestFit="1" customWidth="1"/>
    <col min="67" max="71" width="6.44140625" style="81" bestFit="1" customWidth="1"/>
    <col min="72" max="73" width="6.44140625" style="81" customWidth="1"/>
    <col min="74" max="75" width="13.44140625" style="81" customWidth="1"/>
    <col min="76" max="84" width="14.6640625" style="81" customWidth="1"/>
    <col min="85" max="85" width="6.44140625" style="81" customWidth="1"/>
    <col min="86" max="87" width="11.6640625" style="81" bestFit="1" customWidth="1"/>
    <col min="88" max="88" width="11.6640625" style="81" customWidth="1"/>
    <col min="89" max="89" width="12.77734375" style="81" bestFit="1" customWidth="1"/>
    <col min="90" max="90" width="16.44140625" style="82" bestFit="1" customWidth="1"/>
    <col min="91" max="92" width="14.88671875" style="82" bestFit="1" customWidth="1"/>
    <col min="93" max="93" width="16" style="82" bestFit="1" customWidth="1"/>
    <col min="94" max="97" width="7.77734375" style="81" customWidth="1"/>
    <col min="98" max="98" width="33.21875" style="81" customWidth="1"/>
    <col min="99" max="99" width="18" style="81" customWidth="1"/>
    <col min="100" max="100" width="75.6640625" style="81" customWidth="1"/>
    <col min="101" max="125" width="33" style="81" customWidth="1"/>
    <col min="126" max="126" width="8.88671875" style="81"/>
    <col min="127" max="128" width="9.44140625" style="81" bestFit="1" customWidth="1"/>
    <col min="129" max="129" width="10.77734375" style="81" bestFit="1" customWidth="1"/>
    <col min="130" max="134" width="10.77734375" style="81" customWidth="1"/>
    <col min="135" max="135" width="10.109375" style="81" bestFit="1" customWidth="1"/>
    <col min="136" max="136" width="7.77734375" style="81" bestFit="1" customWidth="1"/>
    <col min="137" max="137" width="7.77734375" style="81" customWidth="1"/>
    <col min="138" max="138" width="9" style="81" bestFit="1" customWidth="1"/>
    <col min="139" max="139" width="11.33203125" style="81" bestFit="1" customWidth="1"/>
    <col min="140" max="140" width="9.109375" style="81" bestFit="1" customWidth="1"/>
    <col min="141" max="141" width="9" style="81" bestFit="1" customWidth="1"/>
    <col min="142" max="142" width="12" style="81" bestFit="1" customWidth="1"/>
    <col min="143" max="166" width="12" style="81" customWidth="1"/>
    <col min="167" max="167" width="17.21875" style="81" customWidth="1"/>
    <col min="168" max="191" width="12" style="81" customWidth="1"/>
    <col min="192" max="192" width="8.5546875" style="81" bestFit="1" customWidth="1"/>
    <col min="193" max="193" width="8.5546875" style="81" customWidth="1"/>
    <col min="194" max="194" width="7.109375" style="81" bestFit="1" customWidth="1"/>
    <col min="195" max="195" width="7.5546875" style="81" bestFit="1" customWidth="1"/>
    <col min="196" max="196" width="8.5546875" style="81" bestFit="1" customWidth="1"/>
    <col min="197" max="200" width="8.5546875" style="81" customWidth="1"/>
    <col min="201" max="201" width="188.88671875" style="81" customWidth="1"/>
    <col min="202" max="202" width="9.5546875" style="81" bestFit="1" customWidth="1"/>
    <col min="203" max="203" width="10.44140625" style="81" bestFit="1" customWidth="1"/>
    <col min="204" max="204" width="11.109375" style="81" bestFit="1" customWidth="1"/>
    <col min="205" max="205" width="10.44140625" style="81" bestFit="1" customWidth="1"/>
    <col min="206" max="210" width="10.44140625" style="81" customWidth="1"/>
    <col min="211" max="211" width="45.44140625" style="81" customWidth="1"/>
    <col min="212" max="212" width="47.5546875" style="81" bestFit="1" customWidth="1"/>
    <col min="213" max="213" width="9.33203125" style="85" customWidth="1"/>
    <col min="214" max="214" width="119.5546875" style="81" customWidth="1"/>
    <col min="215" max="215" width="69.6640625" style="81" customWidth="1"/>
    <col min="216" max="218" width="8.88671875" style="81"/>
    <col min="219" max="219" width="37.109375" style="81" customWidth="1"/>
    <col min="220" max="220" width="16.33203125" style="81" customWidth="1"/>
    <col min="221" max="222" width="8.88671875" style="81"/>
    <col min="223" max="223" width="10.109375" style="81" bestFit="1" customWidth="1"/>
    <col min="224" max="232" width="10.88671875" style="81" customWidth="1"/>
    <col min="233" max="234" width="30.77734375" style="81" customWidth="1"/>
    <col min="235" max="235" width="5.109375" style="81" customWidth="1"/>
    <col min="236" max="236" width="3" style="81" customWidth="1"/>
    <col min="237" max="245" width="6.77734375" style="86" customWidth="1"/>
    <col min="246" max="247" width="8.88671875" style="81"/>
    <col min="248" max="248" width="61.5546875" style="81" customWidth="1"/>
    <col min="249" max="253" width="8.88671875" style="81"/>
    <col min="254" max="254" width="9" style="81" customWidth="1"/>
    <col min="255" max="16384" width="8.88671875" style="8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977</v>
      </c>
      <c r="B2" s="40" t="e" vm="77">
        <v>#VALUE!</v>
      </c>
      <c r="C2" s="41">
        <v>1</v>
      </c>
      <c r="D2" s="42" t="s">
        <v>978</v>
      </c>
      <c r="E2" s="43" t="s">
        <v>979</v>
      </c>
      <c r="F2" s="44" t="s">
        <v>163</v>
      </c>
      <c r="G2" s="45">
        <f>COUNTIF($A$1:$A$8342,A2)</f>
        <v>1</v>
      </c>
      <c r="H2" s="46"/>
      <c r="I2" s="47" t="s">
        <v>974</v>
      </c>
      <c r="J2" s="48" t="str">
        <f>""</f>
        <v/>
      </c>
      <c r="K2" s="49"/>
      <c r="L2" s="50"/>
      <c r="M2" s="50" t="s">
        <v>983</v>
      </c>
      <c r="N2" s="51" t="s">
        <v>180</v>
      </c>
      <c r="O2" s="52" t="s">
        <v>980</v>
      </c>
      <c r="P2" s="53" t="s">
        <v>981</v>
      </c>
      <c r="Q2" s="54">
        <v>1</v>
      </c>
      <c r="R2" s="55" t="s">
        <v>180</v>
      </c>
      <c r="S2" s="56">
        <v>0</v>
      </c>
      <c r="T2" s="57" t="s">
        <v>164</v>
      </c>
      <c r="U2" s="58" t="s">
        <v>164</v>
      </c>
      <c r="V2" s="58" t="s">
        <v>164</v>
      </c>
      <c r="W2" s="58" t="s">
        <v>164</v>
      </c>
      <c r="X2" s="58" t="s">
        <v>164</v>
      </c>
      <c r="Y2" s="58" t="s">
        <v>167</v>
      </c>
      <c r="Z2" s="58" t="s">
        <v>164</v>
      </c>
      <c r="AA2" s="58" t="s">
        <v>167</v>
      </c>
      <c r="AB2" s="58" t="s">
        <v>167</v>
      </c>
      <c r="AC2" s="58" t="s">
        <v>164</v>
      </c>
      <c r="AD2" s="58" t="s">
        <v>164</v>
      </c>
      <c r="AE2" s="58" t="s">
        <v>167</v>
      </c>
      <c r="AF2" s="59" t="s">
        <v>164</v>
      </c>
      <c r="AG2" s="59" t="s">
        <v>164</v>
      </c>
      <c r="AH2" s="59" t="s">
        <v>167</v>
      </c>
      <c r="AI2" s="59" t="s">
        <v>164</v>
      </c>
      <c r="AJ2" s="59" t="s">
        <v>164</v>
      </c>
      <c r="AK2" s="59" t="s">
        <v>164</v>
      </c>
      <c r="AL2" s="59" t="s">
        <v>164</v>
      </c>
      <c r="AM2" s="59" t="s">
        <v>164</v>
      </c>
      <c r="AN2" s="59" t="s">
        <v>164</v>
      </c>
      <c r="AO2" s="59" t="s">
        <v>164</v>
      </c>
      <c r="AP2" s="59" t="s">
        <v>164</v>
      </c>
      <c r="AQ2" s="59" t="s">
        <v>164</v>
      </c>
      <c r="AR2" s="59" t="s">
        <v>164</v>
      </c>
      <c r="AS2" s="59" t="s">
        <v>164</v>
      </c>
      <c r="AT2" s="60">
        <v>0</v>
      </c>
      <c r="AU2" s="59"/>
      <c r="AV2" s="59" t="str">
        <f>IF(LEFT(A2,1)="[",LEFT(A2,5)&amp;AU2&amp;A2,"")</f>
        <v/>
      </c>
      <c r="AW2" s="59" t="str">
        <f t="shared" ref="AW2" si="0">C2&amp;H2&amp;A2</f>
        <v>1Mayotte</v>
      </c>
      <c r="AX2" s="61"/>
      <c r="AY2" s="61" t="s">
        <v>167</v>
      </c>
      <c r="AZ2" s="62"/>
      <c r="BA2" s="62"/>
      <c r="BB2" s="62"/>
      <c r="BC2" s="63"/>
      <c r="BD2" s="64" t="s">
        <v>159</v>
      </c>
      <c r="BE2" s="47"/>
      <c r="BF2" s="64"/>
      <c r="BG2" s="64"/>
      <c r="BH2" s="64"/>
      <c r="BI2" s="64"/>
      <c r="BJ2" s="64"/>
      <c r="BK2" s="47"/>
      <c r="BL2" s="64" t="s">
        <v>159</v>
      </c>
      <c r="BM2" s="64" t="s">
        <v>151</v>
      </c>
      <c r="BN2" s="64" t="s">
        <v>152</v>
      </c>
      <c r="BO2" s="64" t="s">
        <v>154</v>
      </c>
      <c r="BP2" s="64" t="s">
        <v>155</v>
      </c>
      <c r="BQ2" s="64"/>
      <c r="BR2" s="64"/>
      <c r="BS2" s="64"/>
      <c r="BT2" s="64"/>
      <c r="BU2" s="65"/>
      <c r="BV2" s="66"/>
      <c r="BW2" s="66" t="s">
        <v>903</v>
      </c>
      <c r="BX2" s="47"/>
      <c r="CB2" s="6" t="s">
        <v>137</v>
      </c>
      <c r="CC2" s="6"/>
      <c r="CD2" s="67">
        <v>0</v>
      </c>
      <c r="CE2" s="67">
        <v>0</v>
      </c>
      <c r="CF2" s="67" t="e">
        <v>#REF!</v>
      </c>
      <c r="CG2" s="68" cm="1">
        <f t="array" ref="CG2">SUMPRODUCT(--(LEN(TRIM(BL2:BT2))&gt;0))</f>
        <v>5</v>
      </c>
      <c r="CH2" s="59" t="str">
        <f>IF(CG2=2,"y","n")</f>
        <v>n</v>
      </c>
      <c r="CI2" s="59" t="str">
        <f>IF(CG2=3,"y","n")</f>
        <v>n</v>
      </c>
      <c r="CJ2" s="59" t="str">
        <f>IF(CG2=4,"y","n")</f>
        <v>n</v>
      </c>
      <c r="CK2" s="59" t="str">
        <f>IF(CG2&gt;4,"y","n")</f>
        <v>y</v>
      </c>
      <c r="CL2" s="59" t="str">
        <f>IF(S2=0,"y","n")</f>
        <v>y</v>
      </c>
      <c r="CM2" s="59" t="str">
        <f>IF(S2=2,"y","n")</f>
        <v>n</v>
      </c>
      <c r="CN2" s="59" t="str">
        <f>IF(S2=3,"y","n")</f>
        <v>n</v>
      </c>
      <c r="CO2" s="59" t="str">
        <f>IF(S2&gt;=4,"y","n")</f>
        <v>n</v>
      </c>
      <c r="CP2" s="59" t="str">
        <f>IF(AT2=0,"y","n")</f>
        <v>y</v>
      </c>
      <c r="CQ2" s="59" t="str">
        <f>IF(AT2=1,"y","n")</f>
        <v>n</v>
      </c>
      <c r="CR2" s="59" t="str">
        <f>IF(AT2=2,"y","n")</f>
        <v>n</v>
      </c>
      <c r="CS2" s="59" t="str">
        <f>IF(AT2&gt;=3,"y","n")</f>
        <v>n</v>
      </c>
      <c r="CT2" s="69" t="str">
        <f>CHAR(34)&amp;A2&amp;CHAR(34)</f>
        <v>"Mayotte"</v>
      </c>
      <c r="CU2" s="70" t="str">
        <f>CHAR(34)&amp;"rgn_"&amp;R2&amp;CHAR(34)</f>
        <v>"rgn_Africa"</v>
      </c>
      <c r="CV2" s="48" t="str">
        <f>CHAR(34)&amp;D2&amp;CHAR(34)</f>
        <v>"https://upload.wikimedia.org/wikipedia/commons/thumb/4/4f/Flag_of_Mayotte_%28Local%29.svg/640px-Flag_of_Mayotte_%28Local%29.svg.png"</v>
      </c>
      <c r="CW2" s="48" t="str">
        <f>IF(CH2="y",CHAR(34)&amp;CH$1&amp;CHAR(34)&amp;",","")</f>
        <v/>
      </c>
      <c r="CX2" s="48" t="str">
        <f>IF(CI2="y",CHAR(34)&amp;CI$1&amp;CHAR(34)&amp;",","")</f>
        <v/>
      </c>
      <c r="CY2" s="48" t="str">
        <f>IF(CJ2="y",CHAR(34)&amp;CJ$1&amp;CHAR(34)&amp;",","")</f>
        <v/>
      </c>
      <c r="CZ2" s="48" t="str">
        <f>IF(CK2="y",CHAR(34)&amp;CK$1&amp;CHAR(34)&amp;",","")</f>
        <v>"5+Colo",</v>
      </c>
      <c r="DA2" s="48" t="str">
        <f>IF(Q2&gt;1,CHAR(34)&amp;"words2"&amp;CHAR(34)&amp;",","")</f>
        <v/>
      </c>
      <c r="DB2" s="48" t="str">
        <f>IF(Q2&gt;2,CHAR(34)&amp;"words3"&amp;CHAR(34)&amp;",","")</f>
        <v/>
      </c>
      <c r="DD2" s="48" t="str">
        <f>IF(LEN(CHAR(34)&amp;"lets"&amp;LEN(SUBSTITUTE(SUBSTITUTE(IFERROR(TRIM(SUBSTITUTE(A2,MID(A2,FIND("[",A2),FIND("]",A2)-FIND("[",A2)+1),"")),A2)," ",""),"-",""))&amp;CHAR(34)&amp;",")=9,CHAR(34)&amp;"lets"&amp;LEN(SUBSTITUTE(SUBSTITUTE(IFERROR(TRIM(SUBSTITUTE(A2,MID(A2,FIND("[",A2),FIND("]",A2)-FIND("[",A2)+1),"")),A2)," ",""),"-",""))&amp;CHAR(34)&amp;",",CHAR(34)&amp;"lets0"&amp;LEN(SUBSTITUTE(SUBSTITUTE(IFERROR(TRIM(SUBSTITUTE(A2,MID(A2,FIND("[",A2),FIND("]",A2)-FIND("[",A2)+1),"")),A2)," ",""),"-",""))&amp;CHAR(34)&amp;",")</f>
        <v>"lets07",</v>
      </c>
      <c r="DE2" s="48" t="str">
        <f>CHAR(34)&amp;"start"&amp;IFERROR(LEFT(SUBSTITUTE(A2,"["&amp;MID(A2,FIND("[",A2)+1,FIND("]",A2)-FIND("[",A2)-1)&amp;"] ",""),1),LEFT(A2,1))&amp;CHAR(34)&amp;","</f>
        <v>"startM",</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"with_y",</v>
      </c>
      <c r="DK2" s="48" t="str">
        <f>IFERROR(IF(SEARCH("z",A2)&gt;0,CHAR(34)&amp;"with_z"&amp;CHAR(34)&amp;",",""),"")</f>
        <v/>
      </c>
      <c r="DL2" s="48" t="str">
        <f>IF(CG2=2, CHAR(34) &amp; _xlfn.TEXTJOIN("", TRUE, _xlfn._xlws.SORT(HP2:HX2)) &amp; CHAR(34) &amp; ",", "")</f>
        <v/>
      </c>
      <c r="DM2" s="48" t="str" cm="1">
        <f t="array" ref="DM2">IF(CG2=3,CHAR(34) &amp; _xlfn.TEXTJOIN("", TRUE, RIGHT(HP2:HX2, 2)) &amp; CHAR(34) &amp; ",", "")</f>
        <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
      </c>
      <c r="DP2" s="6" t="str">
        <f>IF(AND(ISNUMBER(SEARCH("20", O2)), ISERROR(SEARCH("1920", O2))), CHAR(34)&amp;"year00"&amp;CHAR(34)&amp;",", "")</f>
        <v>"year00",</v>
      </c>
      <c r="DQ2" s="6" t="str">
        <f>IF(CC2="y",CHAR(34)&amp;"soviet"&amp;CHAR(34)&amp;",","")</f>
        <v/>
      </c>
      <c r="DR2" s="6" t="str">
        <f>IF(BY2="y",CHAR(34)&amp;"dgband"&amp;CHAR(34)&amp;",","")</f>
        <v/>
      </c>
      <c r="DS2" s="6" t="str">
        <f>IF(W2="y",IF(AND(V2="n",BY2&lt;&gt;"y"),CHAR(34)&amp;"allver"&amp;CHAR(34)&amp;",",""),"")</f>
        <v/>
      </c>
      <c r="DT2" s="6" t="str">
        <f>IF(V2="y",IF(AND(W2="n",BY2&lt;&gt;"y"),CHAR(34)&amp;"allhor"&amp;CHAR(34)&amp;",",""),"")</f>
        <v/>
      </c>
      <c r="DU2" s="6" t="str">
        <f>IF(BY2="y",IF(AND(W2="n",V2="n"),CHAR(34)&amp;"alldia"&amp;CHAR(34)&amp;",",""),"")</f>
        <v/>
      </c>
      <c r="DW2" s="48" t="str">
        <f>IF(CL2="y",CHAR(34)&amp;CL$1&amp;CHAR(34)&amp;",","")</f>
        <v>"NoBand",</v>
      </c>
      <c r="DX2" s="48" t="str">
        <f>IF(CM2="y",CHAR(34)&amp;CM$1&amp;CHAR(34)&amp;",","")</f>
        <v/>
      </c>
      <c r="DY2" s="48" t="str">
        <f>IF(CN2="y",CHAR(34)&amp;CN$1&amp;CHAR(34)&amp;",","")</f>
        <v/>
      </c>
      <c r="DZ2" s="48" t="str">
        <f>IF(CO2="y",CHAR(34)&amp;CO$1&amp;CHAR(34)&amp;",","")</f>
        <v/>
      </c>
      <c r="EA2" s="48" t="str">
        <f>IF(T2="y",CHAR(34)&amp;T$1&amp;CHAR(34)&amp;",","")</f>
        <v/>
      </c>
      <c r="EB2" s="48" t="str">
        <f>IF(U2="y",CHAR(34)&amp;U$1&amp;CHAR(34)&amp;",","")</f>
        <v/>
      </c>
      <c r="EC2" s="48" t="str">
        <f>IF(V2="y",CHAR(34)&amp;V$1&amp;CHAR(34)&amp;",","")</f>
        <v/>
      </c>
      <c r="ED2" s="48" t="str">
        <f>IF(W2="y",CHAR(34)&amp;W$1&amp;CHAR(34)&amp;",","")</f>
        <v/>
      </c>
      <c r="EE2" s="48" t="str">
        <f>IF(X2="y",CHAR(34)&amp;X$1&amp;CHAR(34)&amp;",","")</f>
        <v/>
      </c>
      <c r="EF2" s="48" t="str">
        <f>IF(AND(Y2&lt;&gt;"n",Y2&lt;&gt;""),CHAR(34)&amp;Y$1&amp;CHAR(34)&amp;",","")</f>
        <v>"Animal",</v>
      </c>
      <c r="EG2" s="48" t="str">
        <f>IF(Z2="y",CHAR(34)&amp;Z$1&amp;CHAR(34)&amp;",","")</f>
        <v/>
      </c>
      <c r="EH2" s="48" t="str">
        <f>IF(AA2="y",CHAR(34)&amp;AA$1&amp;CHAR(34)&amp;",","")</f>
        <v>"Plants",</v>
      </c>
      <c r="EI2" s="48" t="str">
        <f>IF(AB2="y",CHAR(34)&amp;AB$1&amp;CHAR(34)&amp;",","")</f>
        <v>"Texted",</v>
      </c>
      <c r="EJ2" s="48" t="str">
        <f>IF(AC2="y",CHAR(34)&amp;AC$1&amp;CHAR(34)&amp;",","")</f>
        <v/>
      </c>
      <c r="EK2" s="48" t="str">
        <f>IF(AD2="y",CHAR(34)&amp;AD$1&amp;CHAR(34)&amp;",","")</f>
        <v/>
      </c>
      <c r="EL2" s="48" t="str">
        <f>IF(AE2="y",CHAR(34)&amp;AE$1&amp;CHAR(34)&amp;",","")</f>
        <v>"IsMoon",</v>
      </c>
      <c r="EM2" s="48" t="str">
        <f>IF(AF2="y",CHAR(34)&amp;AF$1&amp;CHAR(34)&amp;",","")</f>
        <v/>
      </c>
      <c r="EN2" s="48" t="str">
        <f>IF(AG2="y",CHAR(34)&amp;AG$1&amp;CHAR(34)&amp;",","")</f>
        <v/>
      </c>
      <c r="EO2" s="48" t="str">
        <f>IF(AH2="y",CHAR(34)&amp;AH$1&amp;CHAR(34)&amp;",","")</f>
        <v>"Center",</v>
      </c>
      <c r="EP2" s="48" t="str">
        <f>IF(AI2="y",CHAR(34)&amp;AI$1&amp;CHAR(34)&amp;",","")</f>
        <v/>
      </c>
      <c r="EQ2" s="48" t="str">
        <f>IF(AJ2="y",CHAR(34)&amp;AJ$1&amp;CHAR(34)&amp;",","")</f>
        <v/>
      </c>
      <c r="ER2" s="48" t="str">
        <f>IF(AK2="y",CHAR(34)&amp;AK$1&amp;CHAR(34)&amp;",","")</f>
        <v/>
      </c>
      <c r="ES2" s="48" t="str">
        <f>IF(AL2="y",CHAR(34)&amp;AL$1&amp;CHAR(34)&amp;",","")</f>
        <v/>
      </c>
      <c r="ET2" s="48" t="str">
        <f>IF(AM2="y",CHAR(34)&amp;AM$1&amp;CHAR(34)&amp;",","")</f>
        <v/>
      </c>
      <c r="EU2" s="48" t="str">
        <f>IF(AN2="y",CHAR(34)&amp;AN$1&amp;CHAR(34)&amp;",","")</f>
        <v/>
      </c>
      <c r="EV2" s="48" t="str">
        <f>IF(AO2="y",CHAR(34)&amp;AO$1&amp;CHAR(34)&amp;",","")</f>
        <v/>
      </c>
      <c r="EW2" s="48" t="str">
        <f>IF(AP2="y",CHAR(34)&amp;AP$1&amp;CHAR(34)&amp;",","")</f>
        <v/>
      </c>
      <c r="EX2" s="48" t="str">
        <f>IF(AQ2="y",CHAR(34)&amp;AQ$1&amp;CHAR(34)&amp;",","")</f>
        <v/>
      </c>
      <c r="EY2" s="48" t="str">
        <f>IF(AR2="y",CHAR(34)&amp;AR$1&amp;CHAR(34)&amp;",","")</f>
        <v/>
      </c>
      <c r="EZ2" s="48" t="str">
        <f>IF(AS2="y",CHAR(34)&amp;AS$1&amp;CHAR(34)&amp;",","")</f>
        <v/>
      </c>
      <c r="FA2" s="48" t="str">
        <f>IF(AT2&gt;0,CHAR(34)&amp;"sta"&amp;AZ2&amp;CHAR(34)&amp;",","")</f>
        <v/>
      </c>
      <c r="FB2" s="48" t="str">
        <f>IF(AND(AT2&gt;0,BA2&lt;&gt;""),CHAR(34)&amp;"sta"&amp;BA2&amp;CHAR(34)&amp;",","")</f>
        <v/>
      </c>
      <c r="FD2" s="48" t="str">
        <f>IF(BV2="n",CHAR(34)&amp;"tcWHYE"&amp;CHAR(34)&amp;",",IF(BV2="y",CHAR(34)&amp;FD$1&amp;CHAR(34)&amp;",",""))</f>
        <v/>
      </c>
      <c r="FE2" s="48" t="str">
        <f>IF(COUNTIF(BL2:BT2,"BLU")=0,CHAR(34)&amp;"NO_BLU"&amp;CHAR(34)&amp;",", "")</f>
        <v/>
      </c>
      <c r="FF2" s="48" t="str">
        <f>IF(COUNTIF(BL2:BT2,"WHI")=0,CHAR(34)&amp;"NO_WHI"&amp;CHAR(34)&amp;",", "")</f>
        <v/>
      </c>
      <c r="FG2" s="48" t="str">
        <f>IF(COUNTIF(BL2:BT2,"RED")=0,CHAR(34)&amp;"NO_RED"&amp;CHAR(34)&amp;",", "")</f>
        <v/>
      </c>
      <c r="FH2" s="48" t="str">
        <f>IF(COUNTIF(BL2:BS2,"GRE")=0,CHAR(34)&amp;"NO_GRE"&amp;CHAR(34)&amp;",", "")</f>
        <v>"NO_GRE",</v>
      </c>
      <c r="FI2" s="48" t="str">
        <f>IF(COUNTIF(BL2:BT2,"YEL")=0,CHAR(34)&amp;"NO_YEL"&amp;CHAR(34)&amp;",", "")</f>
        <v/>
      </c>
      <c r="FJ2" s="48" t="str">
        <f>IF(COUNTIF(BL2:BT2,"BLA")=0,CHAR(34)&amp;"NO_BLA"&amp;CHAR(34)&amp;",", "")</f>
        <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
      </c>
      <c r="FP2" s="48" t="str">
        <f>IF(AND(FF2&lt;&gt;"",FF2&lt;&gt;""),CHAR(34)&amp;"WHRENO"&amp;CHAR(34)&amp;",","")</f>
        <v/>
      </c>
      <c r="FQ2" s="48" t="str">
        <f>IF(LEN(BF2)=3,CHAR(34)&amp;"001"&amp;BF2&amp;CHAR(34)&amp;",","")</f>
        <v/>
      </c>
      <c r="FR2" s="48" t="str">
        <f>IF(LEN(BG2)=3,CHAR(34)&amp;"002"&amp;BG2&amp;CHAR(34)&amp;",","")</f>
        <v/>
      </c>
      <c r="FS2" s="48" t="str">
        <f>IF(LEN(BH2)=3,CHAR(34)&amp;"003"&amp;BH2&amp;CHAR(34)&amp;",","")</f>
        <v/>
      </c>
      <c r="FT2" s="48" t="str">
        <f>CHAR(34)&amp;"myr"&amp;BD2&amp;CHAR(34)&amp;","</f>
        <v>"myrWHI",</v>
      </c>
      <c r="FU2" s="48" t="str">
        <f>IF(AY2="y",CHAR(34)&amp;"island"&amp;CHAR(34)&amp;",","")</f>
        <v>"island",</v>
      </c>
      <c r="FV2" s="48" t="str">
        <f>IF(BZ2="y",CHAR(34)&amp;"landlo"&amp;CHAR(34)&amp;",","")</f>
        <v/>
      </c>
      <c r="FW2" s="48" t="str">
        <f>IF(CA2="y",CHAR(34)&amp;"eunion"&amp;CHAR(34)&amp;",","")</f>
        <v/>
      </c>
      <c r="FY2" s="48" t="str">
        <f>IFERROR(IF(SEARCH("Arabic",CB2)&gt;0,CHAR(34)&amp;"arabic"&amp;CHAR(34)&amp;",",""),"")</f>
        <v/>
      </c>
      <c r="FZ2" s="48" t="str">
        <f>IFERROR(IF(SEARCH("English",CB2)&gt;0,CHAR(34)&amp;"englis"&amp;CHAR(34)&amp;",",""),"")</f>
        <v/>
      </c>
      <c r="GA2" s="48" t="str">
        <f>IFERROR(IF(SEARCH("French",CB2)&gt;0,CHAR(34)&amp;"french"&amp;CHAR(34)&amp;",",""),"")</f>
        <v>"french",</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
      </c>
      <c r="GF2" s="48" t="str">
        <f>IFERROR(IF(SEARCH("Historical",AU2)&gt;0,CHAR(34)&amp;"histor"&amp;CHAR(34)&amp;",",""),"")</f>
        <v/>
      </c>
      <c r="GG2" s="48" t="str">
        <f>IF(BU2="y",CHAR(34)&amp;"unjack"&amp;CHAR(34)&amp;",","")</f>
        <v/>
      </c>
      <c r="GH2" s="48" t="str">
        <f>IF(CD2=1,CHAR(34)&amp;"southc"&amp;CHAR(34)&amp;",","")</f>
        <v/>
      </c>
      <c r="GI2" s="48" t="str">
        <f>IF(CE2=1,CHAR(34)&amp;"hasmap"&amp;CHAR(34)&amp;",","")</f>
        <v/>
      </c>
      <c r="GJ2" s="48" t="str">
        <f>IF(CP2="y",CHAR(34)&amp;CP$1&amp;CHAR(34)&amp;",","")</f>
        <v>"NoStar",</v>
      </c>
      <c r="GK2" s="48" t="str">
        <f>IF(GJ2="",CHAR(34)&amp;"HasSta"&amp;CHAR(34)&amp;",","")</f>
        <v/>
      </c>
      <c r="GL2" s="48" t="str">
        <f>IF(CQ2="y",CHAR(34)&amp;CQ$1&amp;CHAR(34)&amp;",","")</f>
        <v/>
      </c>
      <c r="GM2" s="48" t="str">
        <f>IF(CR2="y",CHAR(34)&amp;CR$1&amp;CHAR(34)&amp;",","")</f>
        <v/>
      </c>
      <c r="GN2" s="48" t="str">
        <f>IF(CS2="y",CHAR(34)&amp;CS$1&amp;CHAR(34)&amp;",","")</f>
        <v/>
      </c>
      <c r="GP2" s="48" t="str">
        <f>CHAR(34)&amp;AU2&amp;CHAR(34)</f>
        <v>""</v>
      </c>
      <c r="GS2" s="48" t="str">
        <f>SUBSTITUTE("["&amp;_xlfn.CONCAT(CW2:GN2)&amp;"]",",]","]")</f>
        <v>["5+Colo","lets07","startM","with_y","year00","NoBand","Animal","Plants","Texted","IsMoon","Center","NO_GRE","myrWHI","island","french","NoStar"]</v>
      </c>
      <c r="GT2" s="48" t="str">
        <f>IF(BL2&lt;&gt;"",CHAR(34)&amp;"cl_"&amp;BL2&amp;CHAR(34)&amp;",","")</f>
        <v>"cl_WHI",</v>
      </c>
      <c r="GU2" s="48" t="str">
        <f>IF(BM2&lt;&gt;"",CHAR(34)&amp;"cl_"&amp;BM2&amp;CHAR(34)&amp;",","")</f>
        <v>"cl_BLA",</v>
      </c>
      <c r="GV2" s="48" t="str">
        <f>IF(BN2&lt;&gt;"",CHAR(34)&amp;"cl_"&amp;BN2&amp;CHAR(34)&amp;",","")</f>
        <v>"cl_BLU",</v>
      </c>
      <c r="GW2" s="48" t="str">
        <f>IF(BO2&lt;&gt;"",CHAR(34)&amp;"cl_"&amp;BO2&amp;CHAR(34)&amp;",","")</f>
        <v>"cl_RED",</v>
      </c>
      <c r="GX2" s="48" t="str">
        <f>IF(BP2&lt;&gt;"",CHAR(34)&amp;"cl_"&amp;BP2&amp;CHAR(34)&amp;",","")</f>
        <v>"cl_YEL",</v>
      </c>
      <c r="GY2" s="48" t="str">
        <f>IF(BQ2&lt;&gt;"",CHAR(34)&amp;"cl_"&amp;BQ2&amp;CHAR(34)&amp;",","")</f>
        <v/>
      </c>
      <c r="GZ2" s="48" t="str">
        <f>IF(BR2&lt;&gt;"",CHAR(34)&amp;"cl_"&amp;BR2&amp;CHAR(34)&amp;",","")</f>
        <v/>
      </c>
      <c r="HA2" s="48" t="str">
        <f>IF(BS2&lt;&gt;"",CHAR(34)&amp;"cl_"&amp;BS2&amp;CHAR(34)&amp;",","")</f>
        <v/>
      </c>
      <c r="HB2" s="48" t="str">
        <f>IF(BT2&lt;&gt;"",CHAR(34)&amp;"cl_"&amp;BT2&amp;CHAR(34)&amp;",","")</f>
        <v/>
      </c>
      <c r="HC2" s="48" t="str">
        <f>SUBSTITUTE("["&amp;_xlfn.CONCAT(GT2:HB2)&amp;"]",",]","]")</f>
        <v>["cl_WHI","cl_BLA","cl_BLU","cl_RED","cl_YEL"]</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Mayotte",year:"2011",region:"rgn_Africa",Colors:["cl_WHI","cl_BLA","cl_BLU","cl_RED","cl_YEL"],Items:["5+Colo","lets07","startM","with_y","year00","NoBand","Animal","Plants","Texted","IsMoon","Center","NO_GRE","myrWHI","island","french","NoStar"],Flag:"https://upload.wikimedia.org/wikipedia/commons/thumb/4/4f/Flag_of_Mayotte_%28Local%29.svg/640px-Flag_of_Mayotte_%28Local%29.svg.png",HDFlag:"https://upload.wikimedia.org/wikipedia/commons/thumb/4/4f/Flag_of_Mayotte_%28Local%29.svg/2560px-Flag_of_Mayotte_%28Local%29.svg.png",type:"", describe: "\nBanner used by the Departmental Council of Mayotte. The escutcheon, supported by two seahorses, reads as follows: Per fess azure a crescent argent and gules two ylang-ylang flowers or; within a bordure engrelled argent. The coat of arms also displays Mayotte motto, Ra Hachiri, translated from Shimaore as 'We are vigilant'. Finally, the whole is enframed at the top by Département and at the bottom by de Mayotte, with de written vertically. The font used is Barmeno Bold.", isnew:".", links: "https://en.wikipedia.org/wiki/Flag_and_coat_of_arms_of_Mayotte"},</v>
      </c>
      <c r="HG2" s="73" t="str">
        <f>"{couname:"&amp;CT2&amp;(IF(HK2&lt;&gt;"",",subtype:"&amp;CHAR(34)&amp;HK2&amp;CHAR(34),""))&amp;",year:"&amp;HJ2&amp;",region:"&amp;CU2&amp;",Colors:"&amp;HC2&amp;",Items:"&amp;GS2&amp;",Flag:"&amp;CV2&amp;",HDFlag:"&amp;CHAR(34)&amp;E2&amp;CHAR(34)&amp;",type:"&amp;GP2&amp;", describe: "&amp;HI2&amp;", links: "&amp;HL2&amp;"},"</f>
        <v>{couname:"Mayotte",year:"2011",region:"rgn_Africa",Colors:["cl_WHI","cl_BLA","cl_BLU","cl_RED","cl_YEL"],Items:["5+Colo","lets07","startM","with_y","year00","NoBand","Animal","Plants","Texted","IsMoon","Center","NO_GRE","myrWHI","island","french","NoStar"],Flag:"https://upload.wikimedia.org/wikipedia/commons/thumb/4/4f/Flag_of_Mayotte_%28Local%29.svg/640px-Flag_of_Mayotte_%28Local%29.svg.png",HDFlag:"https://upload.wikimedia.org/wikipedia/commons/thumb/4/4f/Flag_of_Mayotte_%28Local%29.svg/2560px-Flag_of_Mayotte_%28Local%29.svg.png",type:"", describe: "\nBanner used by the Departmental Council of Mayotte. The escutcheon, supported by two seahorses, reads as follows: Per fess azure a crescent argent and gules two ylang-ylang flowers or; within a bordure engrelled argent. The coat of arms also displays Mayotte motto, Ra Hachiri, translated from Shimaore as 'We are vigilant'. Finally, the whole is enframed at the top by Département and at the bottom by de Mayotte, with de written vertically. The font used is Barmeno Bold.", links: "https://en.wikipedia.org/wiki/Flag_and_coat_of_arms_of_Mayotte"},</v>
      </c>
      <c r="HH2" s="48" t="str">
        <f>IF(P2&lt;&gt;"",CHAR(34)&amp;"\n"&amp;P2&amp;CHAR(34),CHAR(34)&amp;CHAR(34))</f>
        <v>"\nBanner used by the Departmental Council of Mayotte. The escutcheon, supported by two seahorses, reads as follows: Per fess azure a crescent argent and gules two ylang-ylang flowers or; within a bordure engrelled argent. The coat of arms also displays Mayotte motto, Ra Hachiri, translated from Shimaore as 'We are vigilant'. Finally, the whole is enframed at the top by Département and at the bottom by de Mayotte, with de written vertically. The font used is Barmeno Bold."</v>
      </c>
      <c r="HI2" s="48" t="str">
        <f>IF(J2=0,CHAR(34)&amp;CHAR(34),HH2)</f>
        <v>"\nBanner used by the Departmental Council of Mayotte. The escutcheon, supported by two seahorses, reads as follows: Per fess azure a crescent argent and gules two ylang-ylang flowers or; within a bordure engrelled argent. The coat of arms also displays Mayotte motto, Ra Hachiri, translated from Shimaore as 'We are vigilant'. Finally, the whole is enframed at the top by Département and at the bottom by de Mayotte, with de written vertically. The font used is Barmeno Bold."</v>
      </c>
      <c r="HJ2" s="48" t="str">
        <f>CHAR(34)&amp;O2&amp;CHAR(34)</f>
        <v>"2011"</v>
      </c>
      <c r="HL2" s="48" t="str">
        <f>CHAR(34)&amp;I2&amp;CHAR(34)</f>
        <v>"https://en.wikipedia.org/wiki/Flag_and_coat_of_arms_of_Mayotte"</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Mayotte","year":"2011","region":"rgn_Africa","Colors":["cl_WHI","cl_BLA","cl_BLU","cl_RED","cl_YEL"],"Items":["5+Colo","lets07","startM","with_y","year00","NoBand","Animal","Plants","Texted","IsMoon","Center","NO_GRE","myrWHI","island","french","NoStar"],"Flag":"https://upload.wikimedia.org/wikipedia/commons/thumb/4/4f/Flag_of_Mayotte_%28Local%29.svg/640px-Flag_of_Mayotte_%28Local%29.svg.png","HDFlag":"https://upload.wikimedia.org/wikipedia/commons/thumb/4/4f/Flag_of_Mayotte_%28Local%29.svg/2560px-Flag_of_Mayotte_%28Local%29.svg.png","type":"", "describe": "\nBanner used by the Departmental Council of Mayotte. The escutcheon, supported by two seahorses, reads as follows: Per fess azure a crescent argent and gules two ylang-ylang flowers or; within a bordure engrelled argent. The coat of arms also displays Mayotte motto, Ra Hachiri, translated from Shimaore as 'We are vigilant'. Finally, the whole is enframed at the top by Département and at the bottom by de Mayotte, with de written vertically. The font used is Barmeno Bold.", "isnew": ".", "links": "https://en.wikipedia.org/wiki/Flag_and_coat_of_arms_of_Mayotte"},</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Mayotte","year":"2011","region":"rgn_Africa","Colors":["cl_WHI","cl_BLA","cl_BLU","cl_RED","cl_YEL"],"Items":["5+Colo","lets07","startM","with_y","year00","NoBand","Animal","Plants","Texted","IsMoon","Center","NO_GRE","myrWHI","island","french","NoStar"],"Flag":"https://upload.wikimedia.org/wikipedia/commons/thumb/4/4f/Flag_of_Mayotte_%28Local%29.svg/640px-Flag_of_Mayotte_%28Local%29.svg.png","HDFlag":"https://upload.wikimedia.org/wikipedia/commons/thumb/4/4f/Flag_of_Mayotte_%28Local%29.svg/2560px-Flag_of_Mayotte_%28Local%29.svg.png","type":"", "describe": "\nBanner used by the Departmental Council of Mayotte. The escutcheon, supported by two seahorses, reads as follows: Per fess azure a crescent argent and gules two ylang-ylang flowers or; within a bordure engrelled argent. The coat of arms also displays Mayotte motto, Ra Hachiri, translated from Shimaore as 'We are vigilant'. Finally, the whole is enframed at the top by Département and at the bottom by de Mayotte, with de written vertically. The font used is Barmeno Bold.", "isnew": ".", "links": "https://en.wikipedia.org/wiki/Flag_and_coat_of_arms_of_Mayotte"},</v>
      </c>
      <c r="HO2" s="75">
        <v>45596</v>
      </c>
      <c r="HP2" s="48" t="str" cm="1">
        <f t="array" ref="HP2">IF(_xlfn.TEXTJOIN(", ", TRUE, IF(ISNUMBER(SEARCH("BLA", BL2:BT2)), COLUMN(BL2:BT2) - COLUMN(BL2) + 1, ""))&lt;&gt;"","BLA","")</f>
        <v>BLA</v>
      </c>
      <c r="HQ2" s="48" t="str" cm="1">
        <f t="array" ref="HQ2">IF(_xlfn.TEXTJOIN(", ", TRUE, IF(ISNUMBER(SEARCH("BLU", BL2:BT2)), COLUMN(BL2:BT2) - COLUMN(BL2) + 1, ""))&lt;&gt;"","BLU","")</f>
        <v>BLU</v>
      </c>
      <c r="HR2" s="48" t="str" cm="1">
        <f t="array" ref="HR2">IF(_xlfn.TEXTJOIN(", ", TRUE, IF(ISNUMBER(SEARCH("GRE", BL2:BT2)), COLUMN(BL2:BT2) - COLUMN(BL2) + 1, ""))&lt;&gt;"","GRE","")</f>
        <v/>
      </c>
      <c r="HS2" s="48" t="str" cm="1">
        <f t="array" ref="HS2">IF(_xlfn.TEXTJOIN(", ", TRUE, IF(ISNUMBER(SEARCH("RED", BL2:BT2)), COLUMN(BL2:BT2) - COLUMN(BL2) + 1, ""))&lt;&gt;"","RED","")</f>
        <v>RED</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c r="IB2" s="6"/>
      <c r="IC2" s="77"/>
      <c r="ID2" s="77"/>
      <c r="IE2" s="77"/>
      <c r="IF2" s="77"/>
      <c r="IG2" s="77"/>
      <c r="IH2" s="77"/>
      <c r="II2" s="77"/>
      <c r="IJ2" s="77"/>
      <c r="IK2" s="77"/>
      <c r="IL2" s="48">
        <f>SUM(IC2:IK2)</f>
        <v>0</v>
      </c>
      <c r="IM2" s="45">
        <f>COUNTIF(IC2:IK2,"&gt;0")-CG2</f>
        <v>-5</v>
      </c>
      <c r="IN2" s="78" t="str">
        <f>"http://mkweb.bcgsc.ca/color-summarizer/?url="&amp;D2&amp;"&amp;precision=low&amp;num_clusters="&amp;CG2&amp;"&amp;text=1"</f>
        <v>http://mkweb.bcgsc.ca/color-summarizer/?url=https://upload.wikimedia.org/wikipedia/commons/thumb/4/4f/Flag_of_Mayotte_%28Local%29.svg/640px-Flag_of_Mayotte_%28Local%29.svg.png&amp;precision=low&amp;num_clusters=5&amp;text=1</v>
      </c>
      <c r="IO2" s="48" t="str">
        <f>IF(HP2&lt;&gt;"",CHAR(34)&amp;"black"&amp;CHAR(34),"")</f>
        <v>"black"</v>
      </c>
      <c r="IP2" s="48" t="str">
        <f>IF(HQ2&lt;&gt;"",CHAR(34)&amp;"blue"&amp;CHAR(34),"")</f>
        <v>"blue"</v>
      </c>
      <c r="IQ2" s="48" t="str">
        <f>IF(HR2&lt;&gt;"",CHAR(34)&amp;"green"&amp;CHAR(34),"")</f>
        <v/>
      </c>
      <c r="IR2" s="48" t="str">
        <f>IF(HS2&lt;&gt;"",CHAR(34)&amp;"red"&amp;CHAR(34),"")</f>
        <v>"red"</v>
      </c>
      <c r="IS2" s="48" t="str">
        <f>IF(HT2&lt;&gt;"",CHAR(34)&amp;"yellow"&amp;CHAR(34),"")</f>
        <v>"yellow"</v>
      </c>
      <c r="IT2" s="48" t="str">
        <f>IF(HU2&lt;&gt;"",CHAR(34)&amp;"orange"&amp;CHAR(34),"")</f>
        <v/>
      </c>
      <c r="IU2" s="48" t="str">
        <f>IF(HV2&lt;&gt;"",CHAR(34)&amp;"brown"&amp;CHAR(34),"")</f>
        <v/>
      </c>
      <c r="IV2" s="48" t="str">
        <f>IF(HW2&lt;&gt;"",CHAR(34)&amp;"purple"&amp;CHAR(34),"")</f>
        <v/>
      </c>
      <c r="IW2" s="48" t="str">
        <f>IF(HX2&lt;&gt;"",CHAR(34)&amp;"white"&amp;CHAR(34),"")</f>
        <v>"white"</v>
      </c>
      <c r="IX2" s="48" t="str">
        <f>"{"&amp;CHAR(34)&amp;"url"&amp;CHAR(34)&amp;":"&amp;CHAR(34)&amp;IN2&amp;CHAR(34)&amp;","&amp;CHAR(34)&amp;"name"&amp;CHAR(34)&amp;":"&amp;CHAR(34)&amp;A2&amp;CHAR(34)&amp;"},"</f>
        <v>{"url":"http://mkweb.bcgsc.ca/color-summarizer/?url=https://upload.wikimedia.org/wikipedia/commons/thumb/4/4f/Flag_of_Mayotte_%28Local%29.svg/640px-Flag_of_Mayotte_%28Local%29.svg.png&amp;precision=low&amp;num_clusters=5&amp;text=1","name":"Mayotte"},</v>
      </c>
      <c r="IY2" s="48">
        <v>137</v>
      </c>
    </row>
    <row r="3" spans="1:259" s="48" customFormat="1" ht="38.4" customHeight="1" thickBot="1" x14ac:dyDescent="0.35">
      <c r="A3" s="80" t="s">
        <v>971</v>
      </c>
      <c r="B3" s="40" t="e" vm="78">
        <v>#VALUE!</v>
      </c>
      <c r="C3" s="41" t="s">
        <v>173</v>
      </c>
      <c r="D3" s="42" t="s">
        <v>972</v>
      </c>
      <c r="E3" s="43" t="s">
        <v>973</v>
      </c>
      <c r="F3" s="44" t="s">
        <v>163</v>
      </c>
      <c r="G3" s="45">
        <f>COUNTIF($A$1:$A$8340,A3)</f>
        <v>1</v>
      </c>
      <c r="H3" s="46" t="s">
        <v>982</v>
      </c>
      <c r="I3" s="47" t="s">
        <v>974</v>
      </c>
      <c r="J3" s="48" t="str">
        <f>""</f>
        <v/>
      </c>
      <c r="K3" s="49"/>
      <c r="L3" s="50"/>
      <c r="M3" s="50"/>
      <c r="N3" s="51" t="s">
        <v>180</v>
      </c>
      <c r="O3" s="52" t="s">
        <v>975</v>
      </c>
      <c r="P3" s="53" t="s">
        <v>976</v>
      </c>
      <c r="Q3" s="54">
        <f>IFERROR(LEN(TRIM(SUBSTITUTE(SUBSTITUTE(SUBSTITUTE(A3,LEFT(A3,6),""), "(", ""), ")", "")))-LEN(SUBSTITUTE(TRIM(SUBSTITUTE(SUBSTITUTE(SUBSTITUTE(A3,LEFT(A3,6),""), "(", ""), ")", "")), " ", ""))+1, 0)</f>
        <v>2</v>
      </c>
      <c r="R3" s="55" t="s">
        <v>180</v>
      </c>
      <c r="S3" s="56">
        <v>0</v>
      </c>
      <c r="T3" s="57" t="s">
        <v>164</v>
      </c>
      <c r="U3" s="58" t="s">
        <v>164</v>
      </c>
      <c r="V3" s="58" t="s">
        <v>164</v>
      </c>
      <c r="W3" s="58" t="s">
        <v>164</v>
      </c>
      <c r="X3" s="58" t="s">
        <v>164</v>
      </c>
      <c r="Y3" s="58" t="s">
        <v>167</v>
      </c>
      <c r="Z3" s="58" t="s">
        <v>164</v>
      </c>
      <c r="AA3" s="58" t="s">
        <v>167</v>
      </c>
      <c r="AB3" s="58" t="s">
        <v>167</v>
      </c>
      <c r="AC3" s="58" t="s">
        <v>164</v>
      </c>
      <c r="AD3" s="58" t="s">
        <v>164</v>
      </c>
      <c r="AE3" s="58" t="s">
        <v>167</v>
      </c>
      <c r="AF3" s="59" t="s">
        <v>164</v>
      </c>
      <c r="AG3" s="59" t="s">
        <v>164</v>
      </c>
      <c r="AH3" s="59" t="s">
        <v>167</v>
      </c>
      <c r="AI3" s="59" t="s">
        <v>164</v>
      </c>
      <c r="AJ3" s="59" t="s">
        <v>164</v>
      </c>
      <c r="AK3" s="59" t="s">
        <v>164</v>
      </c>
      <c r="AL3" s="59" t="s">
        <v>164</v>
      </c>
      <c r="AM3" s="59" t="s">
        <v>164</v>
      </c>
      <c r="AN3" s="59" t="s">
        <v>164</v>
      </c>
      <c r="AO3" s="59" t="s">
        <v>164</v>
      </c>
      <c r="AP3" s="59" t="s">
        <v>164</v>
      </c>
      <c r="AQ3" s="59" t="s">
        <v>164</v>
      </c>
      <c r="AR3" s="59" t="s">
        <v>164</v>
      </c>
      <c r="AS3" s="59" t="s">
        <v>164</v>
      </c>
      <c r="AT3" s="60">
        <v>0</v>
      </c>
      <c r="AU3" s="59" t="s">
        <v>174</v>
      </c>
      <c r="AV3" s="59" t="str">
        <f>IF(LEFT(A3,1)="[",LEFT(A3,5)&amp;AU3&amp;A3,"")</f>
        <v>[MYT]Historical[MYT] Mayotte (2004-2013)</v>
      </c>
      <c r="AW3" s="59" t="str">
        <f t="shared" ref="AW3" si="1">C3&amp;H3&amp;A3</f>
        <v>3b[MYT] Other[MYT] Mayotte (2004-2013)</v>
      </c>
      <c r="AX3" s="61"/>
      <c r="AY3" s="61" t="s">
        <v>167</v>
      </c>
      <c r="AZ3" s="62"/>
      <c r="BA3" s="62"/>
      <c r="BB3" s="62"/>
      <c r="BC3" s="63"/>
      <c r="BD3" s="64" t="s">
        <v>159</v>
      </c>
      <c r="BE3" s="47"/>
      <c r="BF3" s="64"/>
      <c r="BG3" s="64"/>
      <c r="BH3" s="64"/>
      <c r="BI3" s="64"/>
      <c r="BJ3" s="64"/>
      <c r="BK3" s="47"/>
      <c r="BL3" s="64" t="s">
        <v>159</v>
      </c>
      <c r="BM3" s="64" t="s">
        <v>151</v>
      </c>
      <c r="BN3" s="64" t="s">
        <v>152</v>
      </c>
      <c r="BO3" s="64" t="s">
        <v>154</v>
      </c>
      <c r="BP3" s="64" t="s">
        <v>155</v>
      </c>
      <c r="BQ3" s="64"/>
      <c r="BR3" s="64"/>
      <c r="BS3" s="64"/>
      <c r="BT3" s="64"/>
      <c r="BU3" s="65"/>
      <c r="BV3" s="66"/>
      <c r="BW3" s="66">
        <v>0</v>
      </c>
      <c r="BX3" s="47"/>
      <c r="CB3" s="6"/>
      <c r="CC3" s="6"/>
      <c r="CD3" s="67">
        <v>0</v>
      </c>
      <c r="CE3" s="67">
        <v>0</v>
      </c>
      <c r="CF3" s="67" t="e">
        <v>#REF!</v>
      </c>
      <c r="CG3" s="68" cm="1">
        <f t="array" ref="CG3">SUMPRODUCT(--(LEN(TRIM(BL3:BT3))&gt;0))</f>
        <v>5</v>
      </c>
      <c r="CH3" s="59" t="str">
        <f>IF(CG3=2,"y","n")</f>
        <v>n</v>
      </c>
      <c r="CI3" s="59" t="str">
        <f>IF(CG3=3,"y","n")</f>
        <v>n</v>
      </c>
      <c r="CJ3" s="59" t="str">
        <f>IF(CG3=4,"y","n")</f>
        <v>n</v>
      </c>
      <c r="CK3" s="59" t="str">
        <f>IF(CG3&gt;4,"y","n")</f>
        <v>y</v>
      </c>
      <c r="CL3" s="59" t="str">
        <f>IF(S3=0,"y","n")</f>
        <v>y</v>
      </c>
      <c r="CM3" s="59" t="str">
        <f>IF(S3=2,"y","n")</f>
        <v>n</v>
      </c>
      <c r="CN3" s="59" t="str">
        <f>IF(S3=3,"y","n")</f>
        <v>n</v>
      </c>
      <c r="CO3" s="59" t="str">
        <f>IF(S3&gt;=4,"y","n")</f>
        <v>n</v>
      </c>
      <c r="CP3" s="59" t="str">
        <f>IF(AT3=0,"y","n")</f>
        <v>y</v>
      </c>
      <c r="CQ3" s="59" t="str">
        <f>IF(AT3=1,"y","n")</f>
        <v>n</v>
      </c>
      <c r="CR3" s="59" t="str">
        <f>IF(AT3=2,"y","n")</f>
        <v>n</v>
      </c>
      <c r="CS3" s="59" t="str">
        <f>IF(AT3&gt;=3,"y","n")</f>
        <v>n</v>
      </c>
      <c r="CT3" s="69" t="str">
        <f>CHAR(34)&amp;A3&amp;CHAR(34)</f>
        <v>"[MYT] Mayotte (2004-2013)"</v>
      </c>
      <c r="CU3" s="70" t="str">
        <f>CHAR(34)&amp;"rgn_"&amp;R3&amp;CHAR(34)</f>
        <v>"rgn_Africa"</v>
      </c>
      <c r="CV3" s="48" t="str">
        <f>CHAR(34)&amp;D3&amp;CHAR(34)</f>
        <v>"https://upload.wikimedia.org/wikipedia/commons/thumb/4/4a/Flag_of_Mayotte_%28local%29.svg/640px-Flag_of_Mayotte_%28local%29.svg.png"</v>
      </c>
      <c r="CW3" s="48" t="str">
        <f>IF(CH3="y",CHAR(34)&amp;CH$1&amp;CHAR(34)&amp;",","")</f>
        <v/>
      </c>
      <c r="CX3" s="48" t="str">
        <f>IF(CI3="y",CHAR(34)&amp;CI$1&amp;CHAR(34)&amp;",","")</f>
        <v/>
      </c>
      <c r="CY3" s="48" t="str">
        <f>IF(CJ3="y",CHAR(34)&amp;CJ$1&amp;CHAR(34)&amp;",","")</f>
        <v/>
      </c>
      <c r="CZ3" s="48" t="str">
        <f>IF(CK3="y",CHAR(34)&amp;CK$1&amp;CHAR(34)&amp;",","")</f>
        <v>"5+Colo",</v>
      </c>
      <c r="DA3" s="48" t="str">
        <f>IF(Q3&gt;1,CHAR(34)&amp;"words2"&amp;CHAR(34)&amp;",","")</f>
        <v>"words2",</v>
      </c>
      <c r="DB3" s="48" t="str">
        <f>IF(Q3&gt;2,CHAR(34)&amp;"words3"&amp;CHAR(34)&amp;",","")</f>
        <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"lets17",</v>
      </c>
      <c r="DE3" s="48" t="str">
        <f>CHAR(34)&amp;"start"&amp;IFERROR(LEFT(SUBSTITUTE(A3,"["&amp;MID(A3,FIND("[",A3)+1,FIND("]",A3)-FIND("[",A3)-1)&amp;"] ",""),1),LEFT(A3,1))&amp;CHAR(34)&amp;","</f>
        <v>"startM",</v>
      </c>
      <c r="DF3" s="48" t="str">
        <f>IFERROR(IF(SEARCH("tan",A3)&gt;0,CHAR(34)&amp;"withtn"&amp;CHAR(34)&amp;",",""),"")</f>
        <v/>
      </c>
      <c r="DG3" s="48" t="str">
        <f>IFERROR(IF(SEARCH("q",A3)&gt;0,CHAR(34)&amp;"with_q"&amp;CHAR(34)&amp;",",""),"")</f>
        <v/>
      </c>
      <c r="DH3" s="48" t="str">
        <f>IFERROR(IF(SEARCH("v",A3)&gt;0,CHAR(34)&amp;"with_v"&amp;CHAR(34)&amp;",",""),"")</f>
        <v/>
      </c>
      <c r="DI3" s="48" t="str">
        <f>IFERROR(IF(SEARCH("w",A3)&gt;0,CHAR(34)&amp;"with_w"&amp;CHAR(34)&amp;",",""),"")</f>
        <v/>
      </c>
      <c r="DJ3" s="48" t="str">
        <f>IFERROR(IF(SEARCH("y",A3)&gt;0,CHAR(34)&amp;"with_y"&amp;CHAR(34)&amp;",",""),"")</f>
        <v>"with_y",</v>
      </c>
      <c r="DK3" s="48" t="str">
        <f>IFERROR(IF(SEARCH("z",A3)&gt;0,CHAR(34)&amp;"with_z"&amp;CHAR(34)&amp;",",""),"")</f>
        <v/>
      </c>
      <c r="DL3" s="48" t="str">
        <f>IF(CG3=2, CHAR(34) &amp; _xlfn.TEXTJOIN("", TRUE, _xlfn._xlws.SORT(HP3:HX3)) &amp; CHAR(34) &amp; ",", "")</f>
        <v/>
      </c>
      <c r="DM3" s="48" t="str" cm="1">
        <f t="array" ref="DM3">IF(CG3=3,CHAR(34) &amp; _xlfn.TEXTJOIN("", TRUE, RIGHT(HP3:HX3, 2)) &amp; CHAR(34) &amp; ",", "")</f>
        <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
      </c>
      <c r="DP3" s="6" t="str">
        <f>IF(AND(ISNUMBER(SEARCH("20", O3)), ISERROR(SEARCH("1920", O3))), CHAR(34)&amp;"year00"&amp;CHAR(34)&amp;",", "")</f>
        <v>"year00",</v>
      </c>
      <c r="DQ3" s="6" t="str">
        <f>IF(CC3="y",CHAR(34)&amp;"soviet"&amp;CHAR(34)&amp;",","")</f>
        <v/>
      </c>
      <c r="DR3" s="6" t="str">
        <f>IF(BY3="y",CHAR(34)&amp;"dgband"&amp;CHAR(34)&amp;",","")</f>
        <v/>
      </c>
      <c r="DS3" s="6" t="str">
        <f>IF(W3="y",IF(AND(V3="n",BY3&lt;&gt;"y"),CHAR(34)&amp;"allver"&amp;CHAR(34)&amp;",",""),"")</f>
        <v/>
      </c>
      <c r="DT3" s="6" t="str">
        <f>IF(V3="y",IF(AND(W3="n",BY3&lt;&gt;"y"),CHAR(34)&amp;"allhor"&amp;CHAR(34)&amp;",",""),"")</f>
        <v/>
      </c>
      <c r="DU3" s="6" t="str">
        <f>IF(BY3="y",IF(AND(W3="n",V3="n"),CHAR(34)&amp;"alldia"&amp;CHAR(34)&amp;",",""),"")</f>
        <v/>
      </c>
      <c r="DW3" s="48" t="str">
        <f>IF(CL3="y",CHAR(34)&amp;CL$1&amp;CHAR(34)&amp;",","")</f>
        <v>"NoBand",</v>
      </c>
      <c r="DX3" s="48" t="str">
        <f>IF(CM3="y",CHAR(34)&amp;CM$1&amp;CHAR(34)&amp;",","")</f>
        <v/>
      </c>
      <c r="DY3" s="48" t="str">
        <f>IF(CN3="y",CHAR(34)&amp;CN$1&amp;CHAR(34)&amp;",","")</f>
        <v/>
      </c>
      <c r="DZ3" s="48" t="str">
        <f>IF(CO3="y",CHAR(34)&amp;CO$1&amp;CHAR(34)&amp;",","")</f>
        <v/>
      </c>
      <c r="EA3" s="48" t="str">
        <f>IF(T3="y",CHAR(34)&amp;T$1&amp;CHAR(34)&amp;",","")</f>
        <v/>
      </c>
      <c r="EB3" s="48" t="str">
        <f>IF(U3="y",CHAR(34)&amp;U$1&amp;CHAR(34)&amp;",","")</f>
        <v/>
      </c>
      <c r="EC3" s="48" t="str">
        <f>IF(V3="y",CHAR(34)&amp;V$1&amp;CHAR(34)&amp;",","")</f>
        <v/>
      </c>
      <c r="ED3" s="48" t="str">
        <f>IF(W3="y",CHAR(34)&amp;W$1&amp;CHAR(34)&amp;",","")</f>
        <v/>
      </c>
      <c r="EE3" s="48" t="str">
        <f>IF(X3="y",CHAR(34)&amp;X$1&amp;CHAR(34)&amp;",","")</f>
        <v/>
      </c>
      <c r="EF3" s="48" t="str">
        <f>IF(AND(Y3&lt;&gt;"n",Y3&lt;&gt;""),CHAR(34)&amp;Y$1&amp;CHAR(34)&amp;",","")</f>
        <v>"Animal",</v>
      </c>
      <c r="EG3" s="48" t="str">
        <f>IF(Z3="y",CHAR(34)&amp;Z$1&amp;CHAR(34)&amp;",","")</f>
        <v/>
      </c>
      <c r="EH3" s="48" t="str">
        <f>IF(AA3="y",CHAR(34)&amp;AA$1&amp;CHAR(34)&amp;",","")</f>
        <v>"Plants",</v>
      </c>
      <c r="EI3" s="48" t="str">
        <f>IF(AB3="y",CHAR(34)&amp;AB$1&amp;CHAR(34)&amp;",","")</f>
        <v>"Texted",</v>
      </c>
      <c r="EJ3" s="48" t="str">
        <f>IF(AC3="y",CHAR(34)&amp;AC$1&amp;CHAR(34)&amp;",","")</f>
        <v/>
      </c>
      <c r="EK3" s="48" t="str">
        <f>IF(AD3="y",CHAR(34)&amp;AD$1&amp;CHAR(34)&amp;",","")</f>
        <v/>
      </c>
      <c r="EL3" s="48" t="str">
        <f>IF(AE3="y",CHAR(34)&amp;AE$1&amp;CHAR(34)&amp;",","")</f>
        <v>"IsMoon",</v>
      </c>
      <c r="EM3" s="48" t="str">
        <f>IF(AF3="y",CHAR(34)&amp;AF$1&amp;CHAR(34)&amp;",","")</f>
        <v/>
      </c>
      <c r="EN3" s="48" t="str">
        <f>IF(AG3="y",CHAR(34)&amp;AG$1&amp;CHAR(34)&amp;",","")</f>
        <v/>
      </c>
      <c r="EO3" s="48" t="str">
        <f>IF(AH3="y",CHAR(34)&amp;AH$1&amp;CHAR(34)&amp;",","")</f>
        <v>"Center",</v>
      </c>
      <c r="EP3" s="48" t="str">
        <f>IF(AI3="y",CHAR(34)&amp;AI$1&amp;CHAR(34)&amp;",","")</f>
        <v/>
      </c>
      <c r="EQ3" s="48" t="str">
        <f>IF(AJ3="y",CHAR(34)&amp;AJ$1&amp;CHAR(34)&amp;",","")</f>
        <v/>
      </c>
      <c r="ER3" s="48" t="str">
        <f>IF(AK3="y",CHAR(34)&amp;AK$1&amp;CHAR(34)&amp;",","")</f>
        <v/>
      </c>
      <c r="ES3" s="48" t="str">
        <f>IF(AL3="y",CHAR(34)&amp;AL$1&amp;CHAR(34)&amp;",","")</f>
        <v/>
      </c>
      <c r="ET3" s="48" t="str">
        <f>IF(AM3="y",CHAR(34)&amp;AM$1&amp;CHAR(34)&amp;",","")</f>
        <v/>
      </c>
      <c r="EU3" s="48" t="str">
        <f>IF(AN3="y",CHAR(34)&amp;AN$1&amp;CHAR(34)&amp;",","")</f>
        <v/>
      </c>
      <c r="EV3" s="48" t="str">
        <f>IF(AO3="y",CHAR(34)&amp;AO$1&amp;CHAR(34)&amp;",","")</f>
        <v/>
      </c>
      <c r="EW3" s="48" t="str">
        <f>IF(AP3="y",CHAR(34)&amp;AP$1&amp;CHAR(34)&amp;",","")</f>
        <v/>
      </c>
      <c r="EX3" s="48" t="str">
        <f>IF(AQ3="y",CHAR(34)&amp;AQ$1&amp;CHAR(34)&amp;",","")</f>
        <v/>
      </c>
      <c r="EY3" s="48" t="str">
        <f>IF(AR3="y",CHAR(34)&amp;AR$1&amp;CHAR(34)&amp;",","")</f>
        <v/>
      </c>
      <c r="EZ3" s="48" t="str">
        <f>IF(AS3="y",CHAR(34)&amp;AS$1&amp;CHAR(34)&amp;",","")</f>
        <v/>
      </c>
      <c r="FA3" s="48" t="str">
        <f>IF(AT3&gt;0,CHAR(34)&amp;"sta"&amp;AZ3&amp;CHAR(34)&amp;",","")</f>
        <v/>
      </c>
      <c r="FB3" s="48" t="str">
        <f>IF(AND(AT3&gt;0,BA3&lt;&gt;""),CHAR(34)&amp;"sta"&amp;BA3&amp;CHAR(34)&amp;",","")</f>
        <v/>
      </c>
      <c r="FD3" s="48" t="str">
        <f>IF(BV3="n",CHAR(34)&amp;"tcWHYE"&amp;CHAR(34)&amp;",",IF(BV3="y",CHAR(34)&amp;FD$1&amp;CHAR(34)&amp;",",""))</f>
        <v/>
      </c>
      <c r="FE3" s="48" t="str">
        <f>IF(COUNTIF(BL3:BT3,"BLU")=0,CHAR(34)&amp;"NO_BLU"&amp;CHAR(34)&amp;",", "")</f>
        <v/>
      </c>
      <c r="FF3" s="48" t="str">
        <f>IF(COUNTIF(BL3:BT3,"WHI")=0,CHAR(34)&amp;"NO_WHI"&amp;CHAR(34)&amp;",", "")</f>
        <v/>
      </c>
      <c r="FG3" s="48" t="str">
        <f>IF(COUNTIF(BL3:BT3,"RED")=0,CHAR(34)&amp;"NO_RED"&amp;CHAR(34)&amp;",", "")</f>
        <v/>
      </c>
      <c r="FH3" s="48" t="str">
        <f>IF(COUNTIF(BL3:BS3,"GRE")=0,CHAR(34)&amp;"NO_GRE"&amp;CHAR(34)&amp;",", "")</f>
        <v>"NO_GRE",</v>
      </c>
      <c r="FI3" s="48" t="str">
        <f>IF(COUNTIF(BL3:BT3,"YEL")=0,CHAR(34)&amp;"NO_YEL"&amp;CHAR(34)&amp;",", "")</f>
        <v/>
      </c>
      <c r="FJ3" s="48" t="str">
        <f>IF(COUNTIF(BL3:BT3,"BLA")=0,CHAR(34)&amp;"NO_BLA"&amp;CHAR(34)&amp;",", "")</f>
        <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
      </c>
      <c r="FQ3" s="48" t="str">
        <f>IF(LEN(BF3)=3,CHAR(34)&amp;"001"&amp;BF3&amp;CHAR(34)&amp;",","")</f>
        <v/>
      </c>
      <c r="FR3" s="48" t="str">
        <f>IF(LEN(BG3)=3,CHAR(34)&amp;"002"&amp;BG3&amp;CHAR(34)&amp;",","")</f>
        <v/>
      </c>
      <c r="FS3" s="48" t="str">
        <f>IF(LEN(BH3)=3,CHAR(34)&amp;"003"&amp;BH3&amp;CHAR(34)&amp;",","")</f>
        <v/>
      </c>
      <c r="FT3" s="48" t="str">
        <f>CHAR(34)&amp;"myr"&amp;BD3&amp;CHAR(34)&amp;","</f>
        <v>"myrWHI",</v>
      </c>
      <c r="FU3" s="48" t="str">
        <f>IF(AY3="y",CHAR(34)&amp;"island"&amp;CHAR(34)&amp;",","")</f>
        <v>"island",</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"histor",</v>
      </c>
      <c r="GG3" s="48" t="str">
        <f>IF(BU3="y",CHAR(34)&amp;"unjack"&amp;CHAR(34)&amp;",","")</f>
        <v/>
      </c>
      <c r="GH3" s="48" t="str">
        <f>IF(CD3=1,CHAR(34)&amp;"southc"&amp;CHAR(34)&amp;",","")</f>
        <v/>
      </c>
      <c r="GI3" s="48" t="str">
        <f>IF(CE3=1,CHAR(34)&amp;"hasmap"&amp;CHAR(34)&amp;",","")</f>
        <v/>
      </c>
      <c r="GJ3" s="48" t="str">
        <f>IF(CP3="y",CHAR(34)&amp;CP$1&amp;CHAR(34)&amp;",","")</f>
        <v>"NoStar",</v>
      </c>
      <c r="GK3" s="48" t="str">
        <f>IF(GJ3="",CHAR(34)&amp;"HasSta"&amp;CHAR(34)&amp;",","")</f>
        <v/>
      </c>
      <c r="GL3" s="48" t="str">
        <f>IF(CQ3="y",CHAR(34)&amp;CQ$1&amp;CHAR(34)&amp;",","")</f>
        <v/>
      </c>
      <c r="GM3" s="48" t="str">
        <f>IF(CR3="y",CHAR(34)&amp;CR$1&amp;CHAR(34)&amp;",","")</f>
        <v/>
      </c>
      <c r="GN3" s="48" t="str">
        <f>IF(CS3="y",CHAR(34)&amp;CS$1&amp;CHAR(34)&amp;",","")</f>
        <v/>
      </c>
      <c r="GP3" s="48" t="str">
        <f>CHAR(34)&amp;AU3&amp;CHAR(34)</f>
        <v>"Historical"</v>
      </c>
      <c r="GS3" s="48" t="str">
        <f>SUBSTITUTE("["&amp;_xlfn.CONCAT(CW3:GN3)&amp;"]",",]","]")</f>
        <v>["5+Colo","words2","lets17","startM","with_y","year00","NoBand","Animal","Plants","Texted","IsMoon","Center","NO_GRE","myrWHI","island","histor","NoStar"]</v>
      </c>
      <c r="GT3" s="48" t="str">
        <f>IF(BL3&lt;&gt;"",CHAR(34)&amp;"cl_"&amp;BL3&amp;CHAR(34)&amp;",","")</f>
        <v>"cl_WHI",</v>
      </c>
      <c r="GU3" s="48" t="str">
        <f>IF(BM3&lt;&gt;"",CHAR(34)&amp;"cl_"&amp;BM3&amp;CHAR(34)&amp;",","")</f>
        <v>"cl_BLA",</v>
      </c>
      <c r="GV3" s="48" t="str">
        <f>IF(BN3&lt;&gt;"",CHAR(34)&amp;"cl_"&amp;BN3&amp;CHAR(34)&amp;",","")</f>
        <v>"cl_BLU",</v>
      </c>
      <c r="GW3" s="48" t="str">
        <f>IF(BO3&lt;&gt;"",CHAR(34)&amp;"cl_"&amp;BO3&amp;CHAR(34)&amp;",","")</f>
        <v>"cl_RED",</v>
      </c>
      <c r="GX3" s="48" t="str">
        <f>IF(BP3&lt;&gt;"",CHAR(34)&amp;"cl_"&amp;BP3&amp;CHAR(34)&amp;",","")</f>
        <v>"cl_YEL",</v>
      </c>
      <c r="GY3" s="48" t="str">
        <f>IF(BQ3&lt;&gt;"",CHAR(34)&amp;"cl_"&amp;BQ3&amp;CHAR(34)&amp;",","")</f>
        <v/>
      </c>
      <c r="GZ3" s="48" t="str">
        <f>IF(BR3&lt;&gt;"",CHAR(34)&amp;"cl_"&amp;BR3&amp;CHAR(34)&amp;",","")</f>
        <v/>
      </c>
      <c r="HA3" s="48" t="str">
        <f>IF(BS3&lt;&gt;"",CHAR(34)&amp;"cl_"&amp;BS3&amp;CHAR(34)&amp;",","")</f>
        <v/>
      </c>
      <c r="HB3" s="48" t="str">
        <f>IF(BT3&lt;&gt;"",CHAR(34)&amp;"cl_"&amp;BT3&amp;CHAR(34)&amp;",","")</f>
        <v/>
      </c>
      <c r="HC3" s="48" t="str">
        <f>SUBSTITUTE("["&amp;_xlfn.CONCAT(GT3:HB3)&amp;"]",",]","]")</f>
        <v>["cl_WHI","cl_BLA","cl_BLU","cl_RED","cl_YEL"]</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{couname:"[MYT] Mayotte (2004-2013)",year:"2004",region:"rgn_Africa",Colors:["cl_WHI","cl_BLA","cl_BLU","cl_RED","cl_YEL"],Items:["5+Colo","words2","lets17","startM","with_y","year00","NoBand","Animal","Plants","Texted","IsMoon","Center","NO_GRE","myrWHI","island","histor","NoStar"],Flag:"https://upload.wikimedia.org/wikipedia/commons/thumb/4/4a/Flag_of_Mayotte_%28local%29.svg/640px-Flag_of_Mayotte_%28local%29.svg.png",HDFlag:"https://upload.wikimedia.org/wikipedia/commons/thumb/4/4a/Flag_of_Mayotte_%28local%29.svg/2560px-Flag_of_Mayotte_%28local%29.svg.png",type:"Historical", describe: "\nBanner used by the Departmental Council of Mayotte from 2004 to 2013", isnew:".", links: "https://en.wikipedia.org/wiki/Flag_and_coat_of_arms_of_Mayotte"},</v>
      </c>
      <c r="HG3" s="73" t="str">
        <f>"{couname:"&amp;CT3&amp;(IF(HK3&lt;&gt;"",",subtype:"&amp;CHAR(34)&amp;HK3&amp;CHAR(34),""))&amp;",year:"&amp;HJ3&amp;",region:"&amp;CU3&amp;",Colors:"&amp;HC3&amp;",Items:"&amp;GS3&amp;",Flag:"&amp;CV3&amp;",HDFlag:"&amp;CHAR(34)&amp;E3&amp;CHAR(34)&amp;",type:"&amp;GP3&amp;", describe: "&amp;HI3&amp;", links: "&amp;HL3&amp;"},"</f>
        <v>{couname:"[MYT] Mayotte (2004-2013)",year:"2004",region:"rgn_Africa",Colors:["cl_WHI","cl_BLA","cl_BLU","cl_RED","cl_YEL"],Items:["5+Colo","words2","lets17","startM","with_y","year00","NoBand","Animal","Plants","Texted","IsMoon","Center","NO_GRE","myrWHI","island","histor","NoStar"],Flag:"https://upload.wikimedia.org/wikipedia/commons/thumb/4/4a/Flag_of_Mayotte_%28local%29.svg/640px-Flag_of_Mayotte_%28local%29.svg.png",HDFlag:"https://upload.wikimedia.org/wikipedia/commons/thumb/4/4a/Flag_of_Mayotte_%28local%29.svg/2560px-Flag_of_Mayotte_%28local%29.svg.png",type:"Historical", describe: "\nBanner used by the Departmental Council of Mayotte from 2004 to 2013", links: "https://en.wikipedia.org/wiki/Flag_and_coat_of_arms_of_Mayotte"},</v>
      </c>
      <c r="HH3" s="48" t="str">
        <f>IF(P3&lt;&gt;"",CHAR(34)&amp;"\n"&amp;P3&amp;CHAR(34),CHAR(34)&amp;CHAR(34))</f>
        <v>"\nBanner used by the Departmental Council of Mayotte from 2004 to 2013"</v>
      </c>
      <c r="HI3" s="48" t="str">
        <f>IF(J3=0,CHAR(34)&amp;CHAR(34),HH3)</f>
        <v>"\nBanner used by the Departmental Council of Mayotte from 2004 to 2013"</v>
      </c>
      <c r="HJ3" s="48" t="str">
        <f>CHAR(34)&amp;O3&amp;CHAR(34)</f>
        <v>"2004"</v>
      </c>
      <c r="HL3" s="48" t="str">
        <f>CHAR(34)&amp;I3&amp;CHAR(34)</f>
        <v>"https://en.wikipedia.org/wiki/Flag_and_coat_of_arms_of_Mayotte"</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{"couname":"[MYT] Mayotte (2004-2013)","subtype":"[MYT] Other","year":"2004","region":"rgn_Africa","Colors":["cl_WHI","cl_BLA","cl_BLU","cl_RED","cl_YEL"],"Items":["5+Colo","words2","lets17","startM","with_y","year00","NoBand","Animal","Plants","Texted","IsMoon","Center","NO_GRE","myrWHI","island","histor","NoStar"],"Flag":"https://upload.wikimedia.org/wikipedia/commons/thumb/4/4a/Flag_of_Mayotte_%28local%29.svg/640px-Flag_of_Mayotte_%28local%29.svg.png","HDFlag":"https://upload.wikimedia.org/wikipedia/commons/thumb/4/4a/Flag_of_Mayotte_%28local%29.svg/2560px-Flag_of_Mayotte_%28local%29.svg.png","type":"Historical", "describe": "\nBanner used by the Departmental Council of Mayotte from 2004 to 2013", "isnew": ".", "links": "https://en.wikipedia.org/wiki/Flag_and_coat_of_arms_of_Mayotte"},</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{"couname":"[MYT] Mayotte (2004-2013)","subtype":"[MYT] Other","year":"2004","region":"rgn_Africa","Colors":["cl_WHI","cl_BLA","cl_BLU","cl_RED","cl_YEL"],"Items":["5+Colo","words2","lets17","startM","with_y","year00","NoBand","Animal","Plants","Texted","IsMoon","Center","NO_GRE","myrWHI","island","histor","NoStar"],"Flag":"https://upload.wikimedia.org/wikipedia/commons/thumb/4/4a/Flag_of_Mayotte_%28local%29.svg/640px-Flag_of_Mayotte_%28local%29.svg.png","HDFlag":"https://upload.wikimedia.org/wikipedia/commons/thumb/4/4a/Flag_of_Mayotte_%28local%29.svg/2560px-Flag_of_Mayotte_%28local%29.svg.png","type":"Historical", "describe": "\nBanner used by the Departmental Council of Mayotte from 2004 to 2013", "isnew": ".", "links": "https://en.wikipedia.org/wiki/Flag_and_coat_of_arms_of_Mayotte"},</v>
      </c>
      <c r="HO3" s="75">
        <v>45618</v>
      </c>
      <c r="HP3" s="48" t="str" cm="1">
        <f t="array" ref="HP3">IF(_xlfn.TEXTJOIN(", ", TRUE, IF(ISNUMBER(SEARCH("BLA", BL3:BT3)), COLUMN(BL3:BT3) - COLUMN(BL3) + 1, ""))&lt;&gt;"","BLA","")</f>
        <v>BLA</v>
      </c>
      <c r="HQ3" s="48" t="str" cm="1">
        <f t="array" ref="HQ3">IF(_xlfn.TEXTJOIN(", ", TRUE, IF(ISNUMBER(SEARCH("BLU", BL3:BT3)), COLUMN(BL3:BT3) - COLUMN(BL3) + 1, ""))&lt;&gt;"","BLU","")</f>
        <v>BLU</v>
      </c>
      <c r="HR3" s="48" t="str" cm="1">
        <f t="array" ref="HR3">IF(_xlfn.TEXTJOIN(", ", TRUE, IF(ISNUMBER(SEARCH("GRE", BL3:BT3)), COLUMN(BL3:BT3) - COLUMN(BL3) + 1, ""))&lt;&gt;"","GRE","")</f>
        <v/>
      </c>
      <c r="HS3" s="48" t="str" cm="1">
        <f t="array" ref="HS3">IF(_xlfn.TEXTJOIN(", ", TRUE, IF(ISNUMBER(SEARCH("RED", BL3:BT3)), COLUMN(BL3:BT3) - COLUMN(BL3) + 1, ""))&lt;&gt;"","RED","")</f>
        <v>RED</v>
      </c>
      <c r="HT3" s="48" t="str" cm="1">
        <f t="array" ref="HT3">IF(_xlfn.TEXTJOIN(", ", TRUE, IF(ISNUMBER(SEARCH("YEL", BL3:BT3)), COLUMN(BL3:BT3) - COLUMN(BL3) + 1, ""))&lt;&gt;"","YEL","")</f>
        <v>YEL</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M3" s="45">
        <f>COUNTIF(IC3:IK3,"&gt;0")-CG3</f>
        <v>-5</v>
      </c>
      <c r="IN3" s="78" t="str">
        <f>"http://mkweb.bcgsc.ca/color-summarizer/?url="&amp;D3&amp;"&amp;precision=low&amp;num_clusters="&amp;CG3&amp;"&amp;text=1"</f>
        <v>http://mkweb.bcgsc.ca/color-summarizer/?url=https://upload.wikimedia.org/wikipedia/commons/thumb/4/4a/Flag_of_Mayotte_%28local%29.svg/640px-Flag_of_Mayotte_%28local%29.svg.png&amp;precision=low&amp;num_clusters=5&amp;text=1</v>
      </c>
      <c r="IO3" s="48" t="str">
        <f>IF(HP3&lt;&gt;"",CHAR(34)&amp;"black"&amp;CHAR(34),"")</f>
        <v>"black"</v>
      </c>
      <c r="IP3" s="48" t="str">
        <f>IF(HQ3&lt;&gt;"",CHAR(34)&amp;"blue"&amp;CHAR(34),"")</f>
        <v>"blue"</v>
      </c>
      <c r="IQ3" s="48" t="str">
        <f>IF(HR3&lt;&gt;"",CHAR(34)&amp;"green"&amp;CHAR(34),"")</f>
        <v/>
      </c>
      <c r="IR3" s="48" t="str">
        <f>IF(HS3&lt;&gt;"",CHAR(34)&amp;"red"&amp;CHAR(34),"")</f>
        <v>"red"</v>
      </c>
      <c r="IS3" s="48" t="str">
        <f>IF(HT3&lt;&gt;"",CHAR(34)&amp;"yellow"&amp;CHAR(34),"")</f>
        <v>"yellow"</v>
      </c>
      <c r="IT3" s="48" t="str">
        <f>IF(HU3&lt;&gt;"",CHAR(34)&amp;"orange"&amp;CHAR(34),"")</f>
        <v/>
      </c>
      <c r="IU3" s="48" t="str">
        <f>IF(HV3&lt;&gt;"",CHAR(34)&amp;"brown"&amp;CHAR(34),"")</f>
        <v/>
      </c>
      <c r="IV3" s="48" t="str">
        <f>IF(HW3&lt;&gt;"",CHAR(34)&amp;"purple"&amp;CHAR(34),"")</f>
        <v/>
      </c>
      <c r="IW3" s="48" t="str">
        <f>IF(HX3&lt;&gt;"",CHAR(34)&amp;"white"&amp;CHAR(34),"")</f>
        <v>"white"</v>
      </c>
      <c r="IX3" s="48" t="str">
        <f>"{"&amp;CHAR(34)&amp;"url"&amp;CHAR(34)&amp;":"&amp;CHAR(34)&amp;IN3&amp;CHAR(34)&amp;","&amp;CHAR(34)&amp;"name"&amp;CHAR(34)&amp;":"&amp;CHAR(34)&amp;A3&amp;CHAR(34)&amp;"},"</f>
        <v>{"url":"http://mkweb.bcgsc.ca/color-summarizer/?url=https://upload.wikimedia.org/wikipedia/commons/thumb/4/4a/Flag_of_Mayotte_%28local%29.svg/640px-Flag_of_Mayotte_%28local%29.svg.png&amp;precision=low&amp;num_clusters=5&amp;text=1","name":"[MYT] Mayotte (2004-2013)"},</v>
      </c>
      <c r="IY3" s="48">
        <v>1019</v>
      </c>
    </row>
    <row r="4" spans="1:259" ht="38.4" customHeight="1" x14ac:dyDescent="0.3">
      <c r="F4" s="82"/>
      <c r="G4" s="82"/>
      <c r="H4" s="82"/>
      <c r="I4" s="82"/>
      <c r="J4" s="82"/>
      <c r="K4" s="82"/>
    </row>
    <row r="5" spans="1:259" ht="38.4" customHeight="1" x14ac:dyDescent="0.3">
      <c r="F5" s="82"/>
      <c r="G5" s="82"/>
      <c r="H5" s="82"/>
      <c r="I5" s="82"/>
      <c r="J5" s="82"/>
      <c r="K5" s="82"/>
    </row>
    <row r="6" spans="1:259" ht="38.4" customHeight="1" x14ac:dyDescent="0.3">
      <c r="F6" s="82"/>
      <c r="G6" s="82"/>
      <c r="H6" s="82"/>
      <c r="I6" s="82"/>
      <c r="J6" s="82"/>
      <c r="K6" s="82"/>
    </row>
  </sheetData>
  <autoFilter ref="A1:IY1" xr:uid="{A1051193-A95B-4CFB-A73C-F0184620C81F}">
    <sortState xmlns:xlrd2="http://schemas.microsoft.com/office/spreadsheetml/2017/richdata2" ref="A2:IY5">
      <sortCondition ref="AW1"/>
    </sortState>
  </autoFilter>
  <conditionalFormatting sqref="H1 CW1:GS1 IA1:IB1">
    <cfRule type="cellIs" dxfId="2996" priority="118" operator="greaterThan">
      <formula>0</formula>
    </cfRule>
  </conditionalFormatting>
  <conditionalFormatting sqref="H1 H7:H1048576">
    <cfRule type="cellIs" dxfId="2995" priority="84" stopIfTrue="1" operator="notEqual">
      <formula>""</formula>
    </cfRule>
  </conditionalFormatting>
  <conditionalFormatting sqref="T1:BK1">
    <cfRule type="cellIs" dxfId="2994" priority="121" operator="greaterThan">
      <formula>0</formula>
    </cfRule>
  </conditionalFormatting>
  <conditionalFormatting sqref="BV1:BW1 BV4:BW1048576">
    <cfRule type="cellIs" dxfId="2993" priority="120" operator="equal">
      <formula>"nc"</formula>
    </cfRule>
  </conditionalFormatting>
  <conditionalFormatting sqref="HF1:HG1">
    <cfRule type="cellIs" dxfId="2992" priority="122" operator="greaterThan">
      <formula>0</formula>
    </cfRule>
  </conditionalFormatting>
  <conditionalFormatting sqref="HK1">
    <cfRule type="cellIs" dxfId="2991" priority="119" operator="greaterThan">
      <formula>0</formula>
    </cfRule>
  </conditionalFormatting>
  <conditionalFormatting sqref="HP1:HX1">
    <cfRule type="cellIs" dxfId="2990" priority="96" operator="equal">
      <formula>"PIN"</formula>
    </cfRule>
    <cfRule type="cellIs" dxfId="2989" priority="97" operator="equal">
      <formula>"ORA"</formula>
    </cfRule>
    <cfRule type="cellIs" dxfId="2988" priority="98" operator="equal">
      <formula>"GRA"</formula>
    </cfRule>
    <cfRule type="cellIs" dxfId="2987" priority="99" operator="equal">
      <formula>"PUR"</formula>
    </cfRule>
    <cfRule type="cellIs" dxfId="2986" priority="100" operator="equal">
      <formula>"BRO"</formula>
    </cfRule>
    <cfRule type="cellIs" dxfId="2985" priority="101" operator="equal">
      <formula>"YEL"</formula>
    </cfRule>
    <cfRule type="cellIs" dxfId="2984" priority="102" operator="equal">
      <formula>"BLU"</formula>
    </cfRule>
    <cfRule type="cellIs" dxfId="2983" priority="103" operator="equal">
      <formula>"WHI"</formula>
    </cfRule>
    <cfRule type="cellIs" dxfId="2982" priority="104" operator="equal">
      <formula>"GRE"</formula>
    </cfRule>
    <cfRule type="cellIs" dxfId="2981" priority="105" operator="equal">
      <formula>"RED"</formula>
    </cfRule>
    <cfRule type="cellIs" dxfId="2980" priority="106" operator="equal">
      <formula>"BLA"</formula>
    </cfRule>
  </conditionalFormatting>
  <conditionalFormatting sqref="IC1:IK1">
    <cfRule type="cellIs" dxfId="2979" priority="107" operator="equal">
      <formula>"PIN"</formula>
    </cfRule>
    <cfRule type="cellIs" dxfId="2978" priority="108" operator="equal">
      <formula>"ORA"</formula>
    </cfRule>
    <cfRule type="cellIs" dxfId="2977" priority="109" operator="equal">
      <formula>"GRA"</formula>
    </cfRule>
    <cfRule type="cellIs" dxfId="2976" priority="110" operator="equal">
      <formula>"PUR"</formula>
    </cfRule>
    <cfRule type="cellIs" dxfId="2975" priority="111" operator="equal">
      <formula>"BRO"</formula>
    </cfRule>
    <cfRule type="cellIs" dxfId="2974" priority="112" operator="equal">
      <formula>"YEL"</formula>
    </cfRule>
    <cfRule type="cellIs" dxfId="2973" priority="113" operator="equal">
      <formula>"BLU"</formula>
    </cfRule>
    <cfRule type="cellIs" dxfId="2972" priority="114" operator="equal">
      <formula>"WHI"</formula>
    </cfRule>
    <cfRule type="cellIs" dxfId="2971" priority="115" operator="equal">
      <formula>"GRE"</formula>
    </cfRule>
    <cfRule type="cellIs" dxfId="2970" priority="116" operator="equal">
      <formula>"RED"</formula>
    </cfRule>
    <cfRule type="cellIs" dxfId="2969" priority="117" operator="equal">
      <formula>"BLA"</formula>
    </cfRule>
  </conditionalFormatting>
  <conditionalFormatting sqref="IO1:IW1">
    <cfRule type="cellIs" dxfId="2968" priority="85" operator="equal">
      <formula>"PIN"</formula>
    </cfRule>
    <cfRule type="cellIs" dxfId="2967" priority="86" operator="equal">
      <formula>"ORA"</formula>
    </cfRule>
    <cfRule type="cellIs" dxfId="2966" priority="87" operator="equal">
      <formula>"GRA"</formula>
    </cfRule>
    <cfRule type="cellIs" dxfId="2965" priority="88" operator="equal">
      <formula>"PUR"</formula>
    </cfRule>
    <cfRule type="cellIs" dxfId="2964" priority="89" operator="equal">
      <formula>"BRO"</formula>
    </cfRule>
    <cfRule type="cellIs" dxfId="2963" priority="90" operator="equal">
      <formula>"YEL"</formula>
    </cfRule>
    <cfRule type="cellIs" dxfId="2962" priority="91" operator="equal">
      <formula>"BLU"</formula>
    </cfRule>
    <cfRule type="cellIs" dxfId="2961" priority="92" operator="equal">
      <formula>"WHI"</formula>
    </cfRule>
    <cfRule type="cellIs" dxfId="2960" priority="93" operator="equal">
      <formula>"GRE"</formula>
    </cfRule>
    <cfRule type="cellIs" dxfId="2959" priority="94" operator="equal">
      <formula>"RED"</formula>
    </cfRule>
    <cfRule type="cellIs" dxfId="2958" priority="95" operator="equal">
      <formula>"BLA"</formula>
    </cfRule>
  </conditionalFormatting>
  <conditionalFormatting sqref="H3">
    <cfRule type="cellIs" dxfId="2957" priority="76" stopIfTrue="1" operator="notEqual">
      <formula>""</formula>
    </cfRule>
  </conditionalFormatting>
  <conditionalFormatting sqref="R3 CU3">
    <cfRule type="cellIs" dxfId="2956" priority="79" operator="greaterThan">
      <formula>0</formula>
    </cfRule>
  </conditionalFormatting>
  <conditionalFormatting sqref="T3:AS3 CH3:CS3">
    <cfRule type="cellIs" dxfId="2955" priority="73" stopIfTrue="1" operator="equal">
      <formula>"n"</formula>
    </cfRule>
    <cfRule type="cellIs" dxfId="2954" priority="74" stopIfTrue="1" operator="equal">
      <formula>"y"</formula>
    </cfRule>
    <cfRule type="cellIs" dxfId="2953" priority="75" operator="greaterThan">
      <formula>0</formula>
    </cfRule>
  </conditionalFormatting>
  <conditionalFormatting sqref="AZ3:BB3">
    <cfRule type="expression" dxfId="2952" priority="60">
      <formula>$AT3=0</formula>
    </cfRule>
  </conditionalFormatting>
  <conditionalFormatting sqref="CD3:CF3 BX3:CA3 AZ3:BU3">
    <cfRule type="cellIs" dxfId="2951" priority="61" operator="equal">
      <formula>"PIN"</formula>
    </cfRule>
    <cfRule type="cellIs" dxfId="2950" priority="62" operator="equal">
      <formula>"ORA"</formula>
    </cfRule>
    <cfRule type="cellIs" dxfId="2949" priority="63" operator="equal">
      <formula>"GRA"</formula>
    </cfRule>
    <cfRule type="cellIs" dxfId="2948" priority="64" operator="equal">
      <formula>"PUR"</formula>
    </cfRule>
    <cfRule type="cellIs" dxfId="2947" priority="65" operator="equal">
      <formula>"BRO"</formula>
    </cfRule>
    <cfRule type="cellIs" dxfId="2946" priority="66" operator="equal">
      <formula>"YEL"</formula>
    </cfRule>
    <cfRule type="cellIs" dxfId="2945" priority="67" operator="equal">
      <formula>"BLU"</formula>
    </cfRule>
    <cfRule type="cellIs" dxfId="2944" priority="68" operator="equal">
      <formula>"WHI"</formula>
    </cfRule>
    <cfRule type="cellIs" dxfId="2943" priority="69" operator="equal">
      <formula>"GRE"</formula>
    </cfRule>
    <cfRule type="cellIs" dxfId="2942" priority="70" operator="equal">
      <formula>"RED"</formula>
    </cfRule>
    <cfRule type="cellIs" dxfId="2941" priority="71" operator="equal">
      <formula>"BLA"</formula>
    </cfRule>
  </conditionalFormatting>
  <conditionalFormatting sqref="BV3">
    <cfRule type="cellIs" dxfId="2940" priority="78" operator="equal">
      <formula>"nc"</formula>
    </cfRule>
  </conditionalFormatting>
  <conditionalFormatting sqref="CD3:CF3 BX3:CA3">
    <cfRule type="cellIs" dxfId="2939" priority="77" operator="equal">
      <formula>"y"</formula>
    </cfRule>
  </conditionalFormatting>
  <conditionalFormatting sqref="CD3:CF3 BZ3:CA3">
    <cfRule type="cellIs" dxfId="2938" priority="72" operator="greaterThan">
      <formula>0</formula>
    </cfRule>
  </conditionalFormatting>
  <conditionalFormatting sqref="IC3:IK3">
    <cfRule type="expression" dxfId="2937" priority="59">
      <formula>$IL3&gt;0</formula>
    </cfRule>
  </conditionalFormatting>
  <conditionalFormatting sqref="IC3">
    <cfRule type="cellIs" dxfId="2936" priority="53" stopIfTrue="1" operator="greaterThan">
      <formula>0</formula>
    </cfRule>
  </conditionalFormatting>
  <conditionalFormatting sqref="ID3">
    <cfRule type="cellIs" dxfId="2935" priority="51" stopIfTrue="1" operator="greaterThan">
      <formula>0</formula>
    </cfRule>
  </conditionalFormatting>
  <conditionalFormatting sqref="II3 IE3:IF3">
    <cfRule type="cellIs" dxfId="2934" priority="58" operator="greaterThan">
      <formula>0</formula>
    </cfRule>
  </conditionalFormatting>
  <conditionalFormatting sqref="II3 IF3">
    <cfRule type="cellIs" dxfId="2933" priority="52" stopIfTrue="1" operator="greaterThan">
      <formula>0</formula>
    </cfRule>
  </conditionalFormatting>
  <conditionalFormatting sqref="IG3">
    <cfRule type="cellIs" dxfId="2932" priority="57" operator="greaterThan">
      <formula>0</formula>
    </cfRule>
  </conditionalFormatting>
  <conditionalFormatting sqref="IH3:II3">
    <cfRule type="cellIs" dxfId="2931" priority="56" operator="greaterThan">
      <formula>0</formula>
    </cfRule>
  </conditionalFormatting>
  <conditionalFormatting sqref="IJ3">
    <cfRule type="cellIs" dxfId="2930" priority="55" operator="greaterThan">
      <formula>0</formula>
    </cfRule>
  </conditionalFormatting>
  <conditionalFormatting sqref="IK3">
    <cfRule type="cellIs" dxfId="2929" priority="54" operator="greaterThan">
      <formula>0</formula>
    </cfRule>
  </conditionalFormatting>
  <conditionalFormatting sqref="IF3">
    <cfRule type="cellIs" dxfId="2928" priority="50" stopIfTrue="1" operator="greaterThan">
      <formula>0</formula>
    </cfRule>
  </conditionalFormatting>
  <conditionalFormatting sqref="IM3">
    <cfRule type="cellIs" dxfId="2927" priority="49" operator="equal">
      <formula>0</formula>
    </cfRule>
  </conditionalFormatting>
  <conditionalFormatting sqref="BX3:CA3 CD3:CF3">
    <cfRule type="cellIs" dxfId="2926" priority="37" operator="equal">
      <formula>"y"</formula>
    </cfRule>
    <cfRule type="cellIs" dxfId="2925" priority="38" operator="equal">
      <formula>"PIN"</formula>
    </cfRule>
    <cfRule type="cellIs" dxfId="2924" priority="39" operator="equal">
      <formula>"ORA"</formula>
    </cfRule>
    <cfRule type="cellIs" dxfId="2923" priority="40" operator="equal">
      <formula>"GRA"</formula>
    </cfRule>
    <cfRule type="cellIs" dxfId="2922" priority="41" operator="equal">
      <formula>"PUR"</formula>
    </cfRule>
    <cfRule type="cellIs" dxfId="2921" priority="42" operator="equal">
      <formula>"BRO"</formula>
    </cfRule>
    <cfRule type="cellIs" dxfId="2920" priority="43" operator="equal">
      <formula>"YEL"</formula>
    </cfRule>
    <cfRule type="cellIs" dxfId="2919" priority="44" operator="equal">
      <formula>"BLU"</formula>
    </cfRule>
    <cfRule type="cellIs" dxfId="2918" priority="45" operator="equal">
      <formula>"WHI"</formula>
    </cfRule>
    <cfRule type="cellIs" dxfId="2917" priority="46" operator="equal">
      <formula>"GRE"</formula>
    </cfRule>
    <cfRule type="cellIs" dxfId="2916" priority="47" operator="equal">
      <formula>"RED"</formula>
    </cfRule>
    <cfRule type="cellIs" dxfId="2915" priority="48" operator="equal">
      <formula>"BLA"</formula>
    </cfRule>
  </conditionalFormatting>
  <conditionalFormatting sqref="AT3">
    <cfRule type="colorScale" priority="80">
      <colorScale>
        <cfvo type="min"/>
        <cfvo type="max"/>
        <color rgb="FFFCFCFF"/>
        <color theme="8" tint="0.39997558519241921"/>
      </colorScale>
    </cfRule>
  </conditionalFormatting>
  <conditionalFormatting sqref="S3">
    <cfRule type="colorScale" priority="81">
      <colorScale>
        <cfvo type="min"/>
        <cfvo type="max"/>
        <color rgb="FFFCFCFF"/>
        <color rgb="FF754BFB"/>
      </colorScale>
    </cfRule>
  </conditionalFormatting>
  <conditionalFormatting sqref="J3">
    <cfRule type="colorScale" priority="82">
      <colorScale>
        <cfvo type="min"/>
        <cfvo type="percentile" val="50"/>
        <cfvo type="max"/>
        <color rgb="FFF8696B"/>
        <color rgb="FFFFEB84"/>
        <color rgb="FF63BE7B"/>
      </colorScale>
    </cfRule>
  </conditionalFormatting>
  <conditionalFormatting sqref="CG3">
    <cfRule type="colorScale" priority="83">
      <colorScale>
        <cfvo type="min"/>
        <cfvo type="max"/>
        <color rgb="FFFCFCFF"/>
        <color rgb="FF63BE7B"/>
      </colorScale>
    </cfRule>
  </conditionalFormatting>
  <conditionalFormatting sqref="H2">
    <cfRule type="cellIs" dxfId="2914" priority="30" stopIfTrue="1" operator="notEqual">
      <formula>""</formula>
    </cfRule>
  </conditionalFormatting>
  <conditionalFormatting sqref="R2 CU2">
    <cfRule type="cellIs" dxfId="2913" priority="32" operator="greaterThan">
      <formula>0</formula>
    </cfRule>
  </conditionalFormatting>
  <conditionalFormatting sqref="T2:AS2 CH2:CS2">
    <cfRule type="cellIs" dxfId="2912" priority="27" stopIfTrue="1" operator="equal">
      <formula>"n"</formula>
    </cfRule>
    <cfRule type="cellIs" dxfId="2911" priority="28" stopIfTrue="1" operator="equal">
      <formula>"y"</formula>
    </cfRule>
    <cfRule type="cellIs" dxfId="2910" priority="29" operator="greaterThan">
      <formula>0</formula>
    </cfRule>
  </conditionalFormatting>
  <conditionalFormatting sqref="AZ2:BB2">
    <cfRule type="expression" dxfId="2909" priority="14">
      <formula>$AT2=0</formula>
    </cfRule>
  </conditionalFormatting>
  <conditionalFormatting sqref="AZ2:BU2">
    <cfRule type="cellIs" dxfId="2908" priority="15" operator="equal">
      <formula>"PIN"</formula>
    </cfRule>
    <cfRule type="cellIs" dxfId="2907" priority="16" operator="equal">
      <formula>"ORA"</formula>
    </cfRule>
    <cfRule type="cellIs" dxfId="2906" priority="17" operator="equal">
      <formula>"GRA"</formula>
    </cfRule>
    <cfRule type="cellIs" dxfId="2905" priority="18" operator="equal">
      <formula>"PUR"</formula>
    </cfRule>
    <cfRule type="cellIs" dxfId="2904" priority="19" operator="equal">
      <formula>"BRO"</formula>
    </cfRule>
    <cfRule type="cellIs" dxfId="2903" priority="20" operator="equal">
      <formula>"YEL"</formula>
    </cfRule>
    <cfRule type="cellIs" dxfId="2902" priority="21" operator="equal">
      <formula>"BLU"</formula>
    </cfRule>
    <cfRule type="cellIs" dxfId="2901" priority="22" operator="equal">
      <formula>"WHI"</formula>
    </cfRule>
    <cfRule type="cellIs" dxfId="2900" priority="23" operator="equal">
      <formula>"GRE"</formula>
    </cfRule>
    <cfRule type="cellIs" dxfId="2899" priority="24" operator="equal">
      <formula>"RED"</formula>
    </cfRule>
    <cfRule type="cellIs" dxfId="2898" priority="25" operator="equal">
      <formula>"BLA"</formula>
    </cfRule>
  </conditionalFormatting>
  <conditionalFormatting sqref="BV2">
    <cfRule type="cellIs" dxfId="2897" priority="31" operator="equal">
      <formula>"nc"</formula>
    </cfRule>
  </conditionalFormatting>
  <conditionalFormatting sqref="CD2:CF2 BZ2:CA2">
    <cfRule type="cellIs" dxfId="2896" priority="26" operator="greaterThan">
      <formula>0</formula>
    </cfRule>
  </conditionalFormatting>
  <conditionalFormatting sqref="IC2:IK2">
    <cfRule type="expression" dxfId="2895" priority="13">
      <formula>$IL2&gt;0</formula>
    </cfRule>
  </conditionalFormatting>
  <conditionalFormatting sqref="BX2:CA2 CD2:CF2">
    <cfRule type="cellIs" dxfId="2894" priority="1" operator="equal">
      <formula>"y"</formula>
    </cfRule>
    <cfRule type="cellIs" dxfId="2893" priority="2" operator="equal">
      <formula>"PIN"</formula>
    </cfRule>
    <cfRule type="cellIs" dxfId="2892" priority="3" operator="equal">
      <formula>"ORA"</formula>
    </cfRule>
    <cfRule type="cellIs" dxfId="2891" priority="4" operator="equal">
      <formula>"GRA"</formula>
    </cfRule>
    <cfRule type="cellIs" dxfId="2890" priority="5" operator="equal">
      <formula>"PUR"</formula>
    </cfRule>
    <cfRule type="cellIs" dxfId="2889" priority="6" operator="equal">
      <formula>"BRO"</formula>
    </cfRule>
    <cfRule type="cellIs" dxfId="2888" priority="7" operator="equal">
      <formula>"YEL"</formula>
    </cfRule>
    <cfRule type="cellIs" dxfId="2887" priority="8" operator="equal">
      <formula>"BLU"</formula>
    </cfRule>
    <cfRule type="cellIs" dxfId="2886" priority="9" operator="equal">
      <formula>"WHI"</formula>
    </cfRule>
    <cfRule type="cellIs" dxfId="2885" priority="10" operator="equal">
      <formula>"GRE"</formula>
    </cfRule>
    <cfRule type="cellIs" dxfId="2884" priority="11" operator="equal">
      <formula>"RED"</formula>
    </cfRule>
    <cfRule type="cellIs" dxfId="2883" priority="12" operator="equal">
      <formula>"BLA"</formula>
    </cfRule>
  </conditionalFormatting>
  <conditionalFormatting sqref="J2">
    <cfRule type="colorScale" priority="33">
      <colorScale>
        <cfvo type="min"/>
        <cfvo type="percentile" val="50"/>
        <cfvo type="max"/>
        <color rgb="FFF8696B"/>
        <color rgb="FFFFEB84"/>
        <color rgb="FF63BE7B"/>
      </colorScale>
    </cfRule>
  </conditionalFormatting>
  <conditionalFormatting sqref="S2">
    <cfRule type="colorScale" priority="34">
      <colorScale>
        <cfvo type="min"/>
        <cfvo type="max"/>
        <color rgb="FFFCFCFF"/>
        <color rgb="FF754BFB"/>
      </colorScale>
    </cfRule>
  </conditionalFormatting>
  <conditionalFormatting sqref="AT2">
    <cfRule type="colorScale" priority="35">
      <colorScale>
        <cfvo type="min"/>
        <cfvo type="max"/>
        <color rgb="FFFCFCFF"/>
        <color theme="8" tint="0.39997558519241921"/>
      </colorScale>
    </cfRule>
  </conditionalFormatting>
  <conditionalFormatting sqref="CG2">
    <cfRule type="colorScale" priority="36">
      <colorScale>
        <cfvo type="min"/>
        <cfvo type="max"/>
        <color rgb="FFFCFCFF"/>
        <color rgb="FF63BE7B"/>
      </colorScale>
    </cfRule>
  </conditionalFormatting>
  <hyperlinks>
    <hyperlink ref="E2" r:id="rId1" xr:uid="{FFEAD27A-CF46-49F1-BC06-32F15F9D8B6B}"/>
    <hyperlink ref="D2" r:id="rId2" xr:uid="{D1865EEE-40C9-426D-9C34-6090A483B5F4}"/>
    <hyperlink ref="I2" r:id="rId3" xr:uid="{CA4F9D80-983D-4130-B112-28FBBBB4F5AF}"/>
  </hyperlinks>
  <pageMargins left="0.7" right="0.7" top="0.75" bottom="0.75"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57345" r:id="rId7"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57346" r:id="rId8"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57347" r:id="rId9"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C3F514-B54C-4C6C-891F-3C16A92A7C99}">
  <sheetPr codeName="Sheet71"/>
  <dimension ref="A1:IY6"/>
  <sheetViews>
    <sheetView zoomScale="70" zoomScaleNormal="70" workbookViewId="0">
      <pane xSplit="5" ySplit="1" topLeftCell="F2" activePane="bottomRight" state="frozen"/>
      <selection pane="topRight" activeCell="F1" sqref="F1"/>
      <selection pane="bottomLeft" activeCell="A2" sqref="A2"/>
      <selection pane="bottomRight" activeCell="U11" sqref="U11"/>
    </sheetView>
  </sheetViews>
  <sheetFormatPr defaultRowHeight="38.4" customHeight="1" x14ac:dyDescent="0.3"/>
  <cols>
    <col min="1" max="1" width="52.44140625" style="81" bestFit="1" customWidth="1"/>
    <col min="2" max="2" width="10.109375" style="81" customWidth="1"/>
    <col min="3" max="3" width="7.44140625" style="82" customWidth="1"/>
    <col min="4" max="4" width="4.77734375" style="83" customWidth="1"/>
    <col min="5" max="5" width="4.5546875" style="83" customWidth="1"/>
    <col min="6" max="6" width="5.77734375" style="83" customWidth="1"/>
    <col min="7" max="7" width="7.44140625" style="81" customWidth="1"/>
    <col min="8" max="8" width="11.44140625" style="81" customWidth="1"/>
    <col min="9" max="9" width="10" style="81" customWidth="1"/>
    <col min="10" max="10" width="4.21875" style="81" customWidth="1"/>
    <col min="11" max="11" width="5.6640625" style="83" customWidth="1"/>
    <col min="12" max="12" width="2.88671875" style="83" customWidth="1"/>
    <col min="13" max="13" width="6.44140625" style="83" customWidth="1"/>
    <col min="14" max="14" width="4.5546875" style="83" customWidth="1"/>
    <col min="15" max="15" width="10.5546875" style="84" customWidth="1"/>
    <col min="16" max="16" width="6.88671875" style="83" customWidth="1"/>
    <col min="17" max="17" width="4.77734375" style="83" customWidth="1"/>
    <col min="18" max="18" width="13.109375" style="82" customWidth="1"/>
    <col min="19" max="19" width="6.77734375" style="82" customWidth="1"/>
    <col min="20" max="46" width="8.44140625" style="81" customWidth="1"/>
    <col min="47" max="47" width="24.5546875" style="81" customWidth="1"/>
    <col min="48" max="51" width="16.6640625" style="81" customWidth="1"/>
    <col min="52" max="52" width="6.5546875" style="81" customWidth="1"/>
    <col min="53" max="54" width="5.88671875" style="81" customWidth="1"/>
    <col min="55" max="55" width="1.33203125" style="81" customWidth="1"/>
    <col min="56" max="56" width="7.44140625" style="81" customWidth="1"/>
    <col min="57" max="57" width="2.33203125" style="81" customWidth="1"/>
    <col min="58" max="62" width="6.109375" style="81" customWidth="1"/>
    <col min="63" max="63" width="2.33203125" style="81" customWidth="1"/>
    <col min="64" max="64" width="7" style="81" bestFit="1" customWidth="1"/>
    <col min="65" max="65" width="6.44140625" style="81" bestFit="1" customWidth="1"/>
    <col min="66" max="66" width="7.109375" style="81" bestFit="1" customWidth="1"/>
    <col min="67" max="71" width="6.44140625" style="81" bestFit="1" customWidth="1"/>
    <col min="72" max="73" width="6.44140625" style="81" customWidth="1"/>
    <col min="74" max="75" width="13.44140625" style="81" customWidth="1"/>
    <col min="76" max="84" width="14.6640625" style="81" customWidth="1"/>
    <col min="85" max="85" width="6.44140625" style="81" customWidth="1"/>
    <col min="86" max="87" width="11.6640625" style="81" bestFit="1" customWidth="1"/>
    <col min="88" max="88" width="11.6640625" style="81" customWidth="1"/>
    <col min="89" max="89" width="12.77734375" style="81" bestFit="1" customWidth="1"/>
    <col min="90" max="90" width="16.44140625" style="82" bestFit="1" customWidth="1"/>
    <col min="91" max="92" width="14.88671875" style="82" bestFit="1" customWidth="1"/>
    <col min="93" max="93" width="16" style="82" bestFit="1" customWidth="1"/>
    <col min="94" max="97" width="7.77734375" style="81" customWidth="1"/>
    <col min="98" max="98" width="33.21875" style="81" customWidth="1"/>
    <col min="99" max="99" width="18" style="81" customWidth="1"/>
    <col min="100" max="100" width="75.6640625" style="81" customWidth="1"/>
    <col min="101" max="125" width="33" style="81" customWidth="1"/>
    <col min="126" max="126" width="8.88671875" style="81"/>
    <col min="127" max="128" width="9.44140625" style="81" bestFit="1" customWidth="1"/>
    <col min="129" max="129" width="10.77734375" style="81" bestFit="1" customWidth="1"/>
    <col min="130" max="134" width="10.77734375" style="81" customWidth="1"/>
    <col min="135" max="135" width="10.109375" style="81" bestFit="1" customWidth="1"/>
    <col min="136" max="136" width="7.77734375" style="81" bestFit="1" customWidth="1"/>
    <col min="137" max="137" width="7.77734375" style="81" customWidth="1"/>
    <col min="138" max="138" width="9" style="81" bestFit="1" customWidth="1"/>
    <col min="139" max="139" width="11.33203125" style="81" bestFit="1" customWidth="1"/>
    <col min="140" max="140" width="9.109375" style="81" bestFit="1" customWidth="1"/>
    <col min="141" max="141" width="9" style="81" bestFit="1" customWidth="1"/>
    <col min="142" max="142" width="12" style="81" bestFit="1" customWidth="1"/>
    <col min="143" max="166" width="12" style="81" customWidth="1"/>
    <col min="167" max="167" width="17.21875" style="81" customWidth="1"/>
    <col min="168" max="191" width="12" style="81" customWidth="1"/>
    <col min="192" max="192" width="8.5546875" style="81" bestFit="1" customWidth="1"/>
    <col min="193" max="193" width="8.5546875" style="81" customWidth="1"/>
    <col min="194" max="194" width="7.109375" style="81" bestFit="1" customWidth="1"/>
    <col min="195" max="195" width="7.5546875" style="81" bestFit="1" customWidth="1"/>
    <col min="196" max="196" width="8.5546875" style="81" bestFit="1" customWidth="1"/>
    <col min="197" max="200" width="8.5546875" style="81" customWidth="1"/>
    <col min="201" max="201" width="188.88671875" style="81" customWidth="1"/>
    <col min="202" max="202" width="9.5546875" style="81" bestFit="1" customWidth="1"/>
    <col min="203" max="203" width="10.44140625" style="81" bestFit="1" customWidth="1"/>
    <col min="204" max="204" width="11.109375" style="81" bestFit="1" customWidth="1"/>
    <col min="205" max="205" width="10.44140625" style="81" bestFit="1" customWidth="1"/>
    <col min="206" max="210" width="10.44140625" style="81" customWidth="1"/>
    <col min="211" max="211" width="45.44140625" style="81" customWidth="1"/>
    <col min="212" max="212" width="47.5546875" style="81" bestFit="1" customWidth="1"/>
    <col min="213" max="213" width="9.33203125" style="85" customWidth="1"/>
    <col min="214" max="214" width="119.5546875" style="81" customWidth="1"/>
    <col min="215" max="215" width="69.6640625" style="81" customWidth="1"/>
    <col min="216" max="218" width="8.88671875" style="81"/>
    <col min="219" max="219" width="37.109375" style="81" customWidth="1"/>
    <col min="220" max="220" width="16.33203125" style="81" customWidth="1"/>
    <col min="221" max="222" width="8.88671875" style="81"/>
    <col min="223" max="223" width="10.109375" style="81" bestFit="1" customWidth="1"/>
    <col min="224" max="232" width="10.88671875" style="81" customWidth="1"/>
    <col min="233" max="234" width="30.77734375" style="81" customWidth="1"/>
    <col min="235" max="235" width="5.109375" style="81" customWidth="1"/>
    <col min="236" max="236" width="3" style="81" customWidth="1"/>
    <col min="237" max="245" width="6.77734375" style="86" customWidth="1"/>
    <col min="246" max="247" width="8.88671875" style="81"/>
    <col min="248" max="248" width="61.5546875" style="81" customWidth="1"/>
    <col min="249" max="253" width="8.88671875" style="81"/>
    <col min="254" max="254" width="9" style="81" customWidth="1"/>
    <col min="255" max="16384" width="8.88671875" style="8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1015</v>
      </c>
      <c r="B2" s="40" t="e" vm="79">
        <v>#VALUE!</v>
      </c>
      <c r="C2" s="41">
        <v>1</v>
      </c>
      <c r="D2" s="42" t="s">
        <v>1016</v>
      </c>
      <c r="E2" s="43" t="s">
        <v>1017</v>
      </c>
      <c r="F2" s="44" t="s">
        <v>163</v>
      </c>
      <c r="G2" s="45">
        <f>COUNTIF($A$1:$A$8339,A2)</f>
        <v>1</v>
      </c>
      <c r="H2" s="46"/>
      <c r="I2" s="47" t="s">
        <v>1018</v>
      </c>
      <c r="J2" s="48" t="str">
        <f>""</f>
        <v/>
      </c>
      <c r="K2" s="49">
        <v>37840044</v>
      </c>
      <c r="L2" s="50">
        <v>14500000</v>
      </c>
      <c r="M2" s="50" t="s">
        <v>1027</v>
      </c>
      <c r="N2" s="51" t="s">
        <v>180</v>
      </c>
      <c r="O2" s="52" t="s">
        <v>1019</v>
      </c>
      <c r="P2" s="53" t="s">
        <v>1020</v>
      </c>
      <c r="Q2" s="54">
        <v>1</v>
      </c>
      <c r="R2" s="55" t="s">
        <v>180</v>
      </c>
      <c r="S2" s="56">
        <v>0</v>
      </c>
      <c r="T2" s="57" t="s">
        <v>164</v>
      </c>
      <c r="U2" s="58" t="s">
        <v>164</v>
      </c>
      <c r="V2" s="58" t="s">
        <v>164</v>
      </c>
      <c r="W2" s="58" t="s">
        <v>164</v>
      </c>
      <c r="X2" s="58" t="s">
        <v>164</v>
      </c>
      <c r="Y2" s="58" t="s">
        <v>164</v>
      </c>
      <c r="Z2" s="58" t="s">
        <v>164</v>
      </c>
      <c r="AA2" s="58" t="s">
        <v>164</v>
      </c>
      <c r="AB2" s="58" t="s">
        <v>164</v>
      </c>
      <c r="AC2" s="58" t="s">
        <v>164</v>
      </c>
      <c r="AD2" s="58" t="s">
        <v>164</v>
      </c>
      <c r="AE2" s="58" t="s">
        <v>164</v>
      </c>
      <c r="AF2" s="59" t="s">
        <v>164</v>
      </c>
      <c r="AG2" s="59" t="s">
        <v>164</v>
      </c>
      <c r="AH2" s="59" t="s">
        <v>167</v>
      </c>
      <c r="AI2" s="59" t="s">
        <v>164</v>
      </c>
      <c r="AJ2" s="59" t="s">
        <v>164</v>
      </c>
      <c r="AK2" s="59" t="s">
        <v>164</v>
      </c>
      <c r="AL2" s="59" t="s">
        <v>164</v>
      </c>
      <c r="AM2" s="59" t="s">
        <v>164</v>
      </c>
      <c r="AN2" s="59" t="s">
        <v>164</v>
      </c>
      <c r="AO2" s="59" t="s">
        <v>164</v>
      </c>
      <c r="AP2" s="59" t="s">
        <v>164</v>
      </c>
      <c r="AQ2" s="59" t="s">
        <v>164</v>
      </c>
      <c r="AR2" s="59" t="s">
        <v>164</v>
      </c>
      <c r="AS2" s="59" t="s">
        <v>164</v>
      </c>
      <c r="AT2" s="60">
        <v>1</v>
      </c>
      <c r="AU2" s="59"/>
      <c r="AV2" s="59" t="str">
        <f>IF(LEFT(A2,1)="[",LEFT(A2,5)&amp;AU2&amp;A2,"")</f>
        <v/>
      </c>
      <c r="AW2" s="59" t="str">
        <f t="shared" ref="AW2:AW3" si="0">C2&amp;H2&amp;A2</f>
        <v>1Morocco</v>
      </c>
      <c r="AX2" s="61" t="str">
        <f>_xlfn.TEXTJOIN(";",TRUE,AU2:AW2)</f>
        <v>1Morocco</v>
      </c>
      <c r="AY2" s="61"/>
      <c r="AZ2" s="62" t="s">
        <v>153</v>
      </c>
      <c r="BA2" s="62"/>
      <c r="BB2" s="62"/>
      <c r="BC2" s="63"/>
      <c r="BD2" s="64" t="s">
        <v>154</v>
      </c>
      <c r="BE2" s="47"/>
      <c r="BF2" s="64"/>
      <c r="BG2" s="64"/>
      <c r="BH2" s="64"/>
      <c r="BI2" s="64"/>
      <c r="BJ2" s="64"/>
      <c r="BK2" s="47"/>
      <c r="BL2" s="64" t="s">
        <v>154</v>
      </c>
      <c r="BM2" s="64" t="s">
        <v>153</v>
      </c>
      <c r="BN2" s="64"/>
      <c r="BO2" s="64"/>
      <c r="BP2" s="64"/>
      <c r="BQ2" s="64"/>
      <c r="BR2" s="64"/>
      <c r="BS2" s="64"/>
      <c r="BT2" s="64"/>
      <c r="BU2" s="65"/>
      <c r="BV2" s="66" t="s">
        <v>165</v>
      </c>
      <c r="BW2" s="66">
        <v>0</v>
      </c>
      <c r="BX2" s="47"/>
      <c r="CB2" s="6" t="s">
        <v>553</v>
      </c>
      <c r="CC2" s="6"/>
      <c r="CD2" s="67">
        <v>0</v>
      </c>
      <c r="CE2" s="67">
        <v>0</v>
      </c>
      <c r="CF2" s="67" t="e">
        <v>#REF!</v>
      </c>
      <c r="CG2" s="68" cm="1">
        <f t="array" ref="CG2">SUMPRODUCT(--(LEN(TRIM(BL2:BT2))&gt;0))</f>
        <v>2</v>
      </c>
      <c r="CH2" s="59" t="str">
        <f>IF(CG2=2,"y","n")</f>
        <v>y</v>
      </c>
      <c r="CI2" s="59" t="str">
        <f>IF(CG2=3,"y","n")</f>
        <v>n</v>
      </c>
      <c r="CJ2" s="59" t="str">
        <f>IF(CG2=4,"y","n")</f>
        <v>n</v>
      </c>
      <c r="CK2" s="59" t="str">
        <f>IF(CG2&gt;4,"y","n")</f>
        <v>n</v>
      </c>
      <c r="CL2" s="59" t="str">
        <f>IF(S2=0,"y","n")</f>
        <v>y</v>
      </c>
      <c r="CM2" s="59" t="str">
        <f>IF(S2=2,"y","n")</f>
        <v>n</v>
      </c>
      <c r="CN2" s="59" t="str">
        <f>IF(S2=3,"y","n")</f>
        <v>n</v>
      </c>
      <c r="CO2" s="59" t="str">
        <f>IF(S2&gt;=4,"y","n")</f>
        <v>n</v>
      </c>
      <c r="CP2" s="59" t="str">
        <f>IF(AT2=0,"y","n")</f>
        <v>n</v>
      </c>
      <c r="CQ2" s="59" t="str">
        <f>IF(AT2=1,"y","n")</f>
        <v>y</v>
      </c>
      <c r="CR2" s="59" t="str">
        <f>IF(AT2=2,"y","n")</f>
        <v>n</v>
      </c>
      <c r="CS2" s="59" t="str">
        <f>IF(AT2&gt;=3,"y","n")</f>
        <v>n</v>
      </c>
      <c r="CT2" s="69" t="str">
        <f>CHAR(34)&amp;A2&amp;CHAR(34)</f>
        <v>"Morocco"</v>
      </c>
      <c r="CU2" s="70" t="str">
        <f>CHAR(34)&amp;"rgn_"&amp;R2&amp;CHAR(34)</f>
        <v>"rgn_Africa"</v>
      </c>
      <c r="CV2" s="48" t="str">
        <f>CHAR(34)&amp;D2&amp;CHAR(34)</f>
        <v>"https://i.ibb.co/4MPL9Pt/Morocco-Flag.png"</v>
      </c>
      <c r="CW2" s="48" t="str">
        <f>IF(CH2="y",CHAR(34)&amp;CH$1&amp;CHAR(34)&amp;",","")</f>
        <v>"2Color",</v>
      </c>
      <c r="CX2" s="48" t="str">
        <f>IF(CI2="y",CHAR(34)&amp;CI$1&amp;CHAR(34)&amp;",","")</f>
        <v/>
      </c>
      <c r="CY2" s="48" t="str">
        <f>IF(CJ2="y",CHAR(34)&amp;CJ$1&amp;CHAR(34)&amp;",","")</f>
        <v/>
      </c>
      <c r="CZ2" s="48" t="str">
        <f>IF(CK2="y",CHAR(34)&amp;CK$1&amp;CHAR(34)&amp;",","")</f>
        <v/>
      </c>
      <c r="DA2" s="48" t="str">
        <f>IF(Q2&gt;1,CHAR(34)&amp;"words2"&amp;CHAR(34)&amp;",","")</f>
        <v/>
      </c>
      <c r="DB2" s="48" t="str">
        <f>IF(Q2&gt;2,CHAR(34)&amp;"words3"&amp;CHAR(34)&amp;",","")</f>
        <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"lets07",</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"startM",</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"GRERED",</v>
      </c>
      <c r="DM2" s="48" t="str" cm="1">
        <f t="array" ref="DM2">IF(CG2=3,CHAR(34) &amp; _xlfn.TEXTJOIN("", TRUE, RIGHT(HP2:HX2, 2)) &amp; CHAR(34) &amp; ",", "")</f>
        <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
      </c>
      <c r="DS2" s="6" t="str">
        <f>IF(W2="y",IF(AND(V2="n",BY2&lt;&gt;"y"),CHAR(34)&amp;"allver"&amp;CHAR(34)&amp;",",""),"")</f>
        <v/>
      </c>
      <c r="DT2" s="6" t="str">
        <f>IF(V2="y",IF(AND(W2="n",BY2&lt;&gt;"y"),CHAR(34)&amp;"allhor"&amp;CHAR(34)&amp;",",""),"")</f>
        <v/>
      </c>
      <c r="DU2" s="6" t="str">
        <f>IF(BY2="y",IF(AND(W2="n",V2="n"),CHAR(34)&amp;"alldia"&amp;CHAR(34)&amp;",",""),"")</f>
        <v/>
      </c>
      <c r="DV2" s="48" t="str">
        <f>IF(IA2&lt;&gt;"",(IF(IA2="y",CHAR(34)&amp;"largec"&amp;CHAR(34)&amp;",",CHAR(34)&amp;"smallc"&amp;CHAR(34)&amp;",")),"")</f>
        <v/>
      </c>
      <c r="DW2" s="48" t="str">
        <f>IF(CL2="y",CHAR(34)&amp;CL$1&amp;CHAR(34)&amp;",","")</f>
        <v>"NoBand",</v>
      </c>
      <c r="DX2" s="48" t="str">
        <f>IF(CM2="y",CHAR(34)&amp;CM$1&amp;CHAR(34)&amp;",","")</f>
        <v/>
      </c>
      <c r="DY2" s="48" t="str">
        <f>IF(CN2="y",CHAR(34)&amp;CN$1&amp;CHAR(34)&amp;",","")</f>
        <v/>
      </c>
      <c r="DZ2" s="48" t="str">
        <f>IF(CO2="y",CHAR(34)&amp;CO$1&amp;CHAR(34)&amp;",","")</f>
        <v/>
      </c>
      <c r="EA2" s="48" t="str">
        <f>IF(T2="y",CHAR(34)&amp;T$1&amp;CHAR(34)&amp;",","")</f>
        <v/>
      </c>
      <c r="EB2" s="48" t="str">
        <f>IF(U2="y",CHAR(34)&amp;U$1&amp;CHAR(34)&amp;",","")</f>
        <v/>
      </c>
      <c r="EC2" s="48" t="str">
        <f>IF(V2="y",CHAR(34)&amp;V$1&amp;CHAR(34)&amp;",","")</f>
        <v/>
      </c>
      <c r="ED2" s="48" t="str">
        <f>IF(W2="y",CHAR(34)&amp;W$1&amp;CHAR(34)&amp;",","")</f>
        <v/>
      </c>
      <c r="EE2" s="48" t="str">
        <f>IF(X2="y",CHAR(34)&amp;X$1&amp;CHAR(34)&amp;",","")</f>
        <v/>
      </c>
      <c r="EF2" s="48" t="str">
        <f>IF(AND(Y2&lt;&gt;"n",Y2&lt;&gt;""),CHAR(34)&amp;Y$1&amp;CHAR(34)&amp;",","")</f>
        <v/>
      </c>
      <c r="EG2" s="48" t="str">
        <f>IF(Z2="y",CHAR(34)&amp;Z$1&amp;CHAR(34)&amp;",","")</f>
        <v/>
      </c>
      <c r="EH2" s="48" t="str">
        <f>IF(AA2="y",CHAR(34)&amp;AA$1&amp;CHAR(34)&amp;",","")</f>
        <v/>
      </c>
      <c r="EI2" s="48" t="str">
        <f>IF(AB2="y",CHAR(34)&amp;AB$1&amp;CHAR(34)&amp;",","")</f>
        <v/>
      </c>
      <c r="EJ2" s="48" t="str">
        <f>IF(AC2="y",CHAR(34)&amp;AC$1&amp;CHAR(34)&amp;",","")</f>
        <v/>
      </c>
      <c r="EK2" s="48" t="str">
        <f>IF(AD2="y",CHAR(34)&amp;AD$1&amp;CHAR(34)&amp;",","")</f>
        <v/>
      </c>
      <c r="EL2" s="48" t="str">
        <f>IF(AE2="y",CHAR(34)&amp;AE$1&amp;CHAR(34)&amp;",","")</f>
        <v/>
      </c>
      <c r="EM2" s="48" t="str">
        <f>IF(AF2="y",CHAR(34)&amp;AF$1&amp;CHAR(34)&amp;",","")</f>
        <v/>
      </c>
      <c r="EN2" s="48" t="str">
        <f>IF(AG2="y",CHAR(34)&amp;AG$1&amp;CHAR(34)&amp;",","")</f>
        <v/>
      </c>
      <c r="EO2" s="48" t="str">
        <f>IF(AH2="y",CHAR(34)&amp;AH$1&amp;CHAR(34)&amp;",","")</f>
        <v>"Center",</v>
      </c>
      <c r="EP2" s="48" t="str">
        <f>IF(AI2="y",CHAR(34)&amp;AI$1&amp;CHAR(34)&amp;",","")</f>
        <v/>
      </c>
      <c r="EQ2" s="48" t="str">
        <f>IF(AJ2="y",CHAR(34)&amp;AJ$1&amp;CHAR(34)&amp;",","")</f>
        <v/>
      </c>
      <c r="ER2" s="48" t="str">
        <f>IF(AK2="y",CHAR(34)&amp;AK$1&amp;CHAR(34)&amp;",","")</f>
        <v/>
      </c>
      <c r="ES2" s="48" t="str">
        <f>IF(AL2="y",CHAR(34)&amp;AL$1&amp;CHAR(34)&amp;",","")</f>
        <v/>
      </c>
      <c r="ET2" s="48" t="str">
        <f>IF(AM2="y",CHAR(34)&amp;AM$1&amp;CHAR(34)&amp;",","")</f>
        <v/>
      </c>
      <c r="EU2" s="48" t="str">
        <f>IF(AN2="y",CHAR(34)&amp;AN$1&amp;CHAR(34)&amp;",","")</f>
        <v/>
      </c>
      <c r="EV2" s="48" t="str">
        <f>IF(AO2="y",CHAR(34)&amp;AO$1&amp;CHAR(34)&amp;",","")</f>
        <v/>
      </c>
      <c r="EW2" s="48" t="str">
        <f>IF(AP2="y",CHAR(34)&amp;AP$1&amp;CHAR(34)&amp;",","")</f>
        <v/>
      </c>
      <c r="EX2" s="48" t="str">
        <f>IF(AQ2="y",CHAR(34)&amp;AQ$1&amp;CHAR(34)&amp;",","")</f>
        <v/>
      </c>
      <c r="EY2" s="48" t="str">
        <f>IF(AR2="y",CHAR(34)&amp;AR$1&amp;CHAR(34)&amp;",","")</f>
        <v/>
      </c>
      <c r="EZ2" s="48" t="str">
        <f>IF(AS2="y",CHAR(34)&amp;AS$1&amp;CHAR(34)&amp;",","")</f>
        <v/>
      </c>
      <c r="FA2" s="48" t="str">
        <f>IF(AT2&gt;0,CHAR(34)&amp;"sta"&amp;AZ2&amp;CHAR(34)&amp;",","")</f>
        <v>"staGRE",</v>
      </c>
      <c r="FB2" s="48" t="str">
        <f>IF(AND(AT2&gt;0,BA2&lt;&gt;""),CHAR(34)&amp;"sta"&amp;BA2&amp;CHAR(34)&amp;",","")</f>
        <v/>
      </c>
      <c r="FC2" s="48" t="str">
        <f>IF(AND(AT2&gt;0,BB2&lt;&gt;""),CHAR(34)&amp;"sta"&amp;BB2&amp;CHAR(34)&amp;",","")</f>
        <v/>
      </c>
      <c r="FD2" s="48" t="str">
        <f>IF(BV2="n",CHAR(34)&amp;"tcWHYE"&amp;CHAR(34)&amp;",",IF(BV2="y",CHAR(34)&amp;FD$1&amp;CHAR(34)&amp;",",""))</f>
        <v/>
      </c>
      <c r="FE2" s="48" t="str">
        <f>IF(COUNTIF(BL2:BT2,"BLU")=0,CHAR(34)&amp;"NO_BLU"&amp;CHAR(34)&amp;",", "")</f>
        <v>"NO_BLU",</v>
      </c>
      <c r="FF2" s="48" t="str">
        <f>IF(COUNTIF(BL2:BT2,"WHI")=0,CHAR(34)&amp;"NO_WHI"&amp;CHAR(34)&amp;",", "")</f>
        <v>"NO_WHI",</v>
      </c>
      <c r="FG2" s="48" t="str">
        <f>IF(COUNTIF(BL2:BT2,"RED")=0,CHAR(34)&amp;"NO_RED"&amp;CHAR(34)&amp;",", "")</f>
        <v/>
      </c>
      <c r="FH2" s="48" t="str">
        <f>IF(COUNTIF(BL2:BS2,"GRE")=0,CHAR(34)&amp;"NO_GRE"&amp;CHAR(34)&amp;",", "")</f>
        <v/>
      </c>
      <c r="FI2" s="48" t="str">
        <f>IF(COUNTIF(BL2:BT2,"YEL")=0,CHAR(34)&amp;"NO_YEL"&amp;CHAR(34)&amp;",", "")</f>
        <v>"NO_YEL",</v>
      </c>
      <c r="FJ2" s="48" t="str">
        <f>IF(COUNTIF(BL2:BT2,"BLA")=0,CHAR(34)&amp;"NO_BLA"&amp;CHAR(34)&amp;",", "")</f>
        <v>"NO_BLA",</v>
      </c>
      <c r="FK2" s="48" t="str">
        <f>IF(AND(FH2&lt;&gt;"",FF2&lt;&gt;""),CHAR(34)&amp;"WHGRNO"&amp;CHAR(34)&amp;",","")</f>
        <v/>
      </c>
      <c r="FL2" s="48" t="str">
        <f>IF(AND(FI2&lt;&gt;"",FF2&lt;&gt;""),CHAR(34)&amp;"WHYENO"&amp;CHAR(34)&amp;",","")</f>
        <v>"WHYENO",</v>
      </c>
      <c r="FM2" s="48" t="str">
        <f>IF(AND(FJ2&lt;&gt;"",FF2&lt;&gt;""),CHAR(34)&amp;"BAWHNO"&amp;CHAR(34)&amp;",","")</f>
        <v>"BAWHNO",</v>
      </c>
      <c r="FN2" s="48" t="str">
        <f>IF(AND(FE2&lt;&gt;"",FF2&lt;&gt;""),CHAR(34)&amp;"BLWHNO"&amp;CHAR(34)&amp;",","")</f>
        <v>"BLWHNO",</v>
      </c>
      <c r="FO2" s="48" t="str">
        <f>IF(AND(FE2&lt;&gt;"",FG2&lt;&gt;""),CHAR(34)&amp;"BLRENO"&amp;CHAR(34)&amp;",","")</f>
        <v/>
      </c>
      <c r="FP2" s="48" t="str">
        <f>IF(AND(FF2&lt;&gt;"",FF2&lt;&gt;""),CHAR(34)&amp;"WHRENO"&amp;CHAR(34)&amp;",","")</f>
        <v>"WHRENO",</v>
      </c>
      <c r="FQ2" s="48" t="str">
        <f>IF(LEN(BF2)=3,CHAR(34)&amp;"001"&amp;BF2&amp;CHAR(34)&amp;",","")</f>
        <v/>
      </c>
      <c r="FR2" s="48" t="str">
        <f>IF(LEN(BG2)=3,CHAR(34)&amp;"002"&amp;BG2&amp;CHAR(34)&amp;",","")</f>
        <v/>
      </c>
      <c r="FS2" s="48" t="str">
        <f>IF(LEN(BH2)=3,CHAR(34)&amp;"003"&amp;BH2&amp;CHAR(34)&amp;",","")</f>
        <v/>
      </c>
      <c r="FT2" s="48" t="str">
        <f>CHAR(34)&amp;"myr"&amp;BD2&amp;CHAR(34)&amp;","</f>
        <v>"myrRED",</v>
      </c>
      <c r="FU2" s="48" t="str">
        <f>IF(AY2="y",CHAR(34)&amp;"island"&amp;CHAR(34)&amp;",","")</f>
        <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"arabic",</v>
      </c>
      <c r="FZ2" s="48" t="str">
        <f>IFERROR(IF(SEARCH("English",CB2)&gt;0,CHAR(34)&amp;"englis"&amp;CHAR(34)&amp;",",""),"")</f>
        <v/>
      </c>
      <c r="GA2" s="48" t="str">
        <f>IFERROR(IF(SEARCH("French",CB2)&gt;0,CHAR(34)&amp;"french"&amp;CHAR(34)&amp;",",""),"")</f>
        <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
      </c>
      <c r="GK2" s="48" t="str">
        <f>IF(GJ2="",CHAR(34)&amp;"HasSta"&amp;CHAR(34)&amp;",","")</f>
        <v>"HasSta",</v>
      </c>
      <c r="GL2" s="48" t="str">
        <f>IF(CQ2="y",CHAR(34)&amp;CQ$1&amp;CHAR(34)&amp;",","")</f>
        <v>"1Stars",</v>
      </c>
      <c r="GM2" s="48" t="str">
        <f>IF(CR2="y",CHAR(34)&amp;CR$1&amp;CHAR(34)&amp;",","")</f>
        <v/>
      </c>
      <c r="GN2" s="48" t="str">
        <f>IF(CS2="y",CHAR(34)&amp;CS$1&amp;CHAR(34)&amp;",","")</f>
        <v/>
      </c>
      <c r="GP2" s="48" t="str">
        <f>CHAR(34)&amp;AU2&amp;CHAR(34)</f>
        <v>""</v>
      </c>
      <c r="GS2" s="48" t="str">
        <f>SUBSTITUTE("["&amp;_xlfn.CONCAT(CW2:GN2)&amp;"]",",]","]")</f>
        <v>["2Color","lets07","startM","GRERED","year19","NoBand","Center","staGRE","NO_BLU","NO_WHI","NO_YEL","NO_BLA","WHYENO","BAWHNO","BLWHNO","WHRENO","myrRED","arabic","HasSta","1Stars"]</v>
      </c>
      <c r="GT2" s="48" t="str">
        <f>IF(BL2&lt;&gt;"",CHAR(34)&amp;"cl_"&amp;BL2&amp;CHAR(34)&amp;",","")</f>
        <v>"cl_RED",</v>
      </c>
      <c r="GU2" s="48" t="str">
        <f>IF(BM2&lt;&gt;"",CHAR(34)&amp;"cl_"&amp;BM2&amp;CHAR(34)&amp;",","")</f>
        <v>"cl_GRE",</v>
      </c>
      <c r="GV2" s="48" t="str">
        <f>IF(BN2&lt;&gt;"",CHAR(34)&amp;"cl_"&amp;BN2&amp;CHAR(34)&amp;",","")</f>
        <v/>
      </c>
      <c r="GW2" s="48" t="str">
        <f>IF(BO2&lt;&gt;"",CHAR(34)&amp;"cl_"&amp;BO2&amp;CHAR(34)&amp;",","")</f>
        <v/>
      </c>
      <c r="GX2" s="48" t="str">
        <f>IF(BP2&lt;&gt;"",CHAR(34)&amp;"cl_"&amp;BP2&amp;CHAR(34)&amp;",","")</f>
        <v/>
      </c>
      <c r="GY2" s="48" t="str">
        <f>IF(BQ2&lt;&gt;"",CHAR(34)&amp;"cl_"&amp;BQ2&amp;CHAR(34)&amp;",","")</f>
        <v/>
      </c>
      <c r="GZ2" s="48" t="str">
        <f>IF(BR2&lt;&gt;"",CHAR(34)&amp;"cl_"&amp;BR2&amp;CHAR(34)&amp;",","")</f>
        <v/>
      </c>
      <c r="HA2" s="48" t="str">
        <f>IF(BS2&lt;&gt;"",CHAR(34)&amp;"cl_"&amp;BS2&amp;CHAR(34)&amp;",","")</f>
        <v/>
      </c>
      <c r="HB2" s="48" t="str">
        <f>IF(BT2&lt;&gt;"",CHAR(34)&amp;"cl_"&amp;BT2&amp;CHAR(34)&amp;",","")</f>
        <v/>
      </c>
      <c r="HC2" s="48" t="str">
        <f>SUBSTITUTE("["&amp;_xlfn.CONCAT(GT2:HB2)&amp;"]",",]","]")</f>
        <v>["cl_RED","cl_GRE"]</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{couname:"Morocco",year:"1915 ",region:"rgn_Africa",Colors:["cl_RED","cl_GRE"],Items:["2Color","lets07","startM","GRERED","year19","NoBand","Center","staGRE","NO_BLU","NO_WHI","NO_YEL","NO_BLA","WHYENO","BAWHNO","BLWHNO","WHRENO","myrRED","arabic","HasSta","1Stars"],Flag:"https://i.ibb.co/4MPL9Pt/Morocco-Flag.png",HDFlag:"https://upload.wikimedia.org/wikipedia/commons/thumb/2/2c/Flag_of_Morocco.svg/2560px-Flag_of_Morocco.svg.png",type:"", describe: "\n\n • Red Field: The red color has historical significance in Moroccan culture, symbolizing strength, valor, bravery, and hardiness. It is also associated with the Alaouite dynasty, which has ruled Morocco since the 17th century, and it reflects the country's ties to the Arab world.\n\n • Green Pentagram: The green color represents Islam, which is the dominant religion in Morocco. Green is considered a sacred color in Islam, symbolizing peace, wisdom, and joy. The five points of the star stand for the Five Pillars of Islam, which are the basic acts of worship and foundation of a Muslim's faith and practice.", isnew:".", links: "https://en.wikipedia.org/wiki/Flag_of_Morocco"},</v>
      </c>
      <c r="HG2" s="73" t="str">
        <f>"{couname:"&amp;CT2&amp;(IF(HK2&lt;&gt;"",",subtype:"&amp;CHAR(34)&amp;HK2&amp;CHAR(34),""))&amp;",year:"&amp;HJ2&amp;",region:"&amp;CU2&amp;",Colors:"&amp;HC2&amp;",Items:"&amp;GS2&amp;",Flag:"&amp;CV2&amp;",HDFlag:"&amp;CHAR(34)&amp;E2&amp;CHAR(34)&amp;",type:"&amp;GP2&amp;", describe: "&amp;HI2&amp;", links: "&amp;HL2&amp;"},"</f>
        <v>{couname:"Morocco",year:"1915 ",region:"rgn_Africa",Colors:["cl_RED","cl_GRE"],Items:["2Color","lets07","startM","GRERED","year19","NoBand","Center","staGRE","NO_BLU","NO_WHI","NO_YEL","NO_BLA","WHYENO","BAWHNO","BLWHNO","WHRENO","myrRED","arabic","HasSta","1Stars"],Flag:"https://i.ibb.co/4MPL9Pt/Morocco-Flag.png",HDFlag:"https://upload.wikimedia.org/wikipedia/commons/thumb/2/2c/Flag_of_Morocco.svg/2560px-Flag_of_Morocco.svg.png",type:"", describe: "\n\n • Red Field: The red color has historical significance in Moroccan culture, symbolizing strength, valor, bravery, and hardiness. It is also associated with the Alaouite dynasty, which has ruled Morocco since the 17th century, and it reflects the country's ties to the Arab world.\n\n • Green Pentagram: The green color represents Islam, which is the dominant religion in Morocco. Green is considered a sacred color in Islam, symbolizing peace, wisdom, and joy. The five points of the star stand for the Five Pillars of Islam, which are the basic acts of worship and foundation of a Muslim's faith and practice.", links: "https://en.wikipedia.org/wiki/Flag_of_Morocco"},</v>
      </c>
      <c r="HH2" s="48" t="str">
        <f>IF(P2&lt;&gt;"",CHAR(34)&amp;"\n"&amp;P2&amp;CHAR(34),CHAR(34)&amp;CHAR(34))</f>
        <v>"\n\n • Red Field: The red color has historical significance in Moroccan culture, symbolizing strength, valor, bravery, and hardiness. It is also associated with the Alaouite dynasty, which has ruled Morocco since the 17th century, and it reflects the country's ties to the Arab world.\n\n • Green Pentagram: The green color represents Islam, which is the dominant religion in Morocco. Green is considered a sacred color in Islam, symbolizing peace, wisdom, and joy. The five points of the star stand for the Five Pillars of Islam, which are the basic acts of worship and foundation of a Muslim's faith and practice."</v>
      </c>
      <c r="HI2" s="48" t="str">
        <f>IF(J2=0,CHAR(34)&amp;CHAR(34),HH2)</f>
        <v>"\n\n • Red Field: The red color has historical significance in Moroccan culture, symbolizing strength, valor, bravery, and hardiness. It is also associated with the Alaouite dynasty, which has ruled Morocco since the 17th century, and it reflects the country's ties to the Arab world.\n\n • Green Pentagram: The green color represents Islam, which is the dominant religion in Morocco. Green is considered a sacred color in Islam, symbolizing peace, wisdom, and joy. The five points of the star stand for the Five Pillars of Islam, which are the basic acts of worship and foundation of a Muslim's faith and practice."</v>
      </c>
      <c r="HJ2" s="48" t="str">
        <f>CHAR(34)&amp;O2&amp;CHAR(34)</f>
        <v>"1915 "</v>
      </c>
      <c r="HL2" s="48" t="str">
        <f>CHAR(34)&amp;I2&amp;CHAR(34)</f>
        <v>"https://en.wikipedia.org/wiki/Flag_of_Morocco"</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{"couname":"Morocco","year":"1915 ","region":"rgn_Africa","Colors":["cl_RED","cl_GRE"],"Items":["2Color","lets07","startM","GRERED","year19","NoBand","Center","staGRE","NO_BLU","NO_WHI","NO_YEL","NO_BLA","WHYENO","BAWHNO","BLWHNO","WHRENO","myrRED","arabic","HasSta","1Stars"],"Flag":"https://i.ibb.co/4MPL9Pt/Morocco-Flag.png","HDFlag":"https://upload.wikimedia.org/wikipedia/commons/thumb/2/2c/Flag_of_Morocco.svg/2560px-Flag_of_Morocco.svg.png","type":"", "describe": "\n\n • Red Field: The red color has historical significance in Moroccan culture, symbolizing strength, valor, bravery, and hardiness. It is also associated with the Alaouite dynasty, which has ruled Morocco since the 17th century, and it reflects the country's ties to the Arab world.\n\n • Green Pentagram: The green color represents Islam, which is the dominant religion in Morocco. Green is considered a sacred color in Islam, symbolizing peace, wisdom, and joy. The five points of the star stand for the Five Pillars of Islam, which are the basic acts of worship and foundation of a Muslim's faith and practice.", "isnew": ".", "links": "https://en.wikipedia.org/wiki/Flag_of_Morocco"},</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{"couname":"Morocco","year":"1915 ","region":"rgn_Africa","Colors":["cl_RED","cl_GRE"],"Items":["2Color","lets07","startM","GRERED","year19","NoBand","Center","staGRE","NO_BLU","NO_WHI","NO_YEL","NO_BLA","WHYENO","BAWHNO","BLWHNO","WHRENO","myrRED","arabic","HasSta","1Stars"],"Flag":"https://i.ibb.co/4MPL9Pt/Morocco-Flag.png","HDFlag":"https://upload.wikimedia.org/wikipedia/commons/thumb/2/2c/Flag_of_Morocco.svg/2560px-Flag_of_Morocco.svg.png","type":"", "describe": "\n\n • Red Field: The red color has historical significance in Moroccan culture, symbolizing strength, valor, bravery, and hardiness. It is also associated with the Alaouite dynasty, which has ruled Morocco since the 17th century, and it reflects the country's ties to the Arab world.\n\n • Green Pentagram: The green color represents Islam, which is the dominant religion in Morocco. Green is considered a sacred color in Islam, symbolizing peace, wisdom, and joy. The five points of the star stand for the Five Pillars of Islam, which are the basic acts of worship and foundation of a Muslim's faith and practice.", "isnew": ".", "links": "https://en.wikipedia.org/wiki/Flag_of_Morocco"},</v>
      </c>
      <c r="HO2" s="75"/>
      <c r="HP2" s="48" t="str" cm="1">
        <f t="array" ref="HP2">IF(_xlfn.TEXTJOIN(", ", TRUE, IF(ISNUMBER(SEARCH("BLA", BL2:BT2)), COLUMN(BL2:BT2) - COLUMN(BL2) + 1, ""))&lt;&gt;"","BLA","")</f>
        <v/>
      </c>
      <c r="HQ2" s="48" t="str" cm="1">
        <f t="array" ref="HQ2">IF(_xlfn.TEXTJOIN(", ", TRUE, IF(ISNUMBER(SEARCH("BLU", BL2:BT2)), COLUMN(BL2:BT2) - COLUMN(BL2) + 1, ""))&lt;&gt;"","BLU","")</f>
        <v/>
      </c>
      <c r="HR2" s="48" t="str" cm="1">
        <f t="array" ref="HR2">IF(_xlfn.TEXTJOIN(", ", TRUE, IF(ISNUMBER(SEARCH("GRE", BL2:BT2)), COLUMN(BL2:BT2) - COLUMN(BL2) + 1, ""))&lt;&gt;"","GRE","")</f>
        <v>GRE</v>
      </c>
      <c r="HS2" s="48" t="str" cm="1">
        <f t="array" ref="HS2">IF(_xlfn.TEXTJOIN(", ", TRUE, IF(ISNUMBER(SEARCH("RED", BL2:BT2)), COLUMN(BL2:BT2) - COLUMN(BL2) + 1, ""))&lt;&gt;"","RED","")</f>
        <v>RED</v>
      </c>
      <c r="HT2" s="48" t="str" cm="1">
        <f t="array" ref="HT2">IF(_xlfn.TEXTJOIN(", ", TRUE, IF(ISNUMBER(SEARCH("YEL", BL2:BT2)), COLUMN(BL2:BT2) - COLUMN(BL2) + 1, ""))&lt;&gt;"","YEL","")</f>
        <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
      </c>
      <c r="HY2" s="76"/>
      <c r="HZ2" s="76"/>
      <c r="IA2" s="6"/>
      <c r="IB2" s="6"/>
      <c r="IC2" s="77"/>
      <c r="ID2" s="77"/>
      <c r="IE2" s="77"/>
      <c r="IF2" s="77"/>
      <c r="IG2" s="77"/>
      <c r="IH2" s="77"/>
      <c r="II2" s="77"/>
      <c r="IJ2" s="77"/>
      <c r="IK2" s="77"/>
      <c r="IL2" s="48">
        <f>SUM(IC2:IK2)</f>
        <v>0</v>
      </c>
      <c r="IM2" s="45">
        <f>COUNTIF(IC2:IK2,"&gt;0")-CG2</f>
        <v>-2</v>
      </c>
      <c r="IN2" s="78" t="str">
        <f>"http://mkweb.bcgsc.ca/color-summarizer/?url="&amp;D2&amp;"&amp;precision=low&amp;num_clusters="&amp;CG2&amp;"&amp;text=1"</f>
        <v>http://mkweb.bcgsc.ca/color-summarizer/?url=https://i.ibb.co/4MPL9Pt/Morocco-Flag.png&amp;precision=low&amp;num_clusters=2&amp;text=1</v>
      </c>
      <c r="IO2" s="48" t="str">
        <f>IF(HP2&lt;&gt;"",CHAR(34)&amp;"black"&amp;CHAR(34),"")</f>
        <v/>
      </c>
      <c r="IP2" s="48" t="str">
        <f>IF(HQ2&lt;&gt;"",CHAR(34)&amp;"blue"&amp;CHAR(34),"")</f>
        <v/>
      </c>
      <c r="IQ2" s="48" t="str">
        <f>IF(HR2&lt;&gt;"",CHAR(34)&amp;"green"&amp;CHAR(34),"")</f>
        <v>"green"</v>
      </c>
      <c r="IR2" s="48" t="str">
        <f>IF(HS2&lt;&gt;"",CHAR(34)&amp;"red"&amp;CHAR(34),"")</f>
        <v>"red"</v>
      </c>
      <c r="IS2" s="48" t="str">
        <f>IF(HT2&lt;&gt;"",CHAR(34)&amp;"yellow"&amp;CHAR(34),"")</f>
        <v/>
      </c>
      <c r="IT2" s="48" t="str">
        <f>IF(HU2&lt;&gt;"",CHAR(34)&amp;"orange"&amp;CHAR(34),"")</f>
        <v/>
      </c>
      <c r="IU2" s="48" t="str">
        <f>IF(HV2&lt;&gt;"",CHAR(34)&amp;"brown"&amp;CHAR(34),"")</f>
        <v/>
      </c>
      <c r="IV2" s="48" t="str">
        <f>IF(HW2&lt;&gt;"",CHAR(34)&amp;"purple"&amp;CHAR(34),"")</f>
        <v/>
      </c>
      <c r="IW2" s="48" t="str">
        <f>IF(HX2&lt;&gt;"",CHAR(34)&amp;"white"&amp;CHAR(34),"")</f>
        <v/>
      </c>
      <c r="IX2" s="48" t="str">
        <f>"{"&amp;CHAR(34)&amp;"url"&amp;CHAR(34)&amp;":"&amp;CHAR(34)&amp;IN2&amp;CHAR(34)&amp;","&amp;CHAR(34)&amp;"name"&amp;CHAR(34)&amp;":"&amp;CHAR(34)&amp;A2&amp;CHAR(34)&amp;"},"</f>
        <v>{"url":"http://mkweb.bcgsc.ca/color-summarizer/?url=https://i.ibb.co/4MPL9Pt/Morocco-Flag.png&amp;precision=low&amp;num_clusters=2&amp;text=1","name":"Morocco"},</v>
      </c>
      <c r="IY2" s="48">
        <v>145</v>
      </c>
    </row>
    <row r="3" spans="1:259" s="48" customFormat="1" ht="38.4" customHeight="1" thickBot="1" x14ac:dyDescent="0.35">
      <c r="A3" s="79" t="s">
        <v>1021</v>
      </c>
      <c r="B3" s="40" t="e" vm="80">
        <v>#VALUE!</v>
      </c>
      <c r="C3" s="41">
        <v>2</v>
      </c>
      <c r="D3" s="42" t="s">
        <v>1022</v>
      </c>
      <c r="E3" s="43" t="s">
        <v>1023</v>
      </c>
      <c r="F3" s="44" t="s">
        <v>163</v>
      </c>
      <c r="G3" s="45">
        <f>COUNTIF($A$1:$A$8338,A3)</f>
        <v>1</v>
      </c>
      <c r="H3" s="46"/>
      <c r="I3" s="47" t="s">
        <v>1024</v>
      </c>
      <c r="J3" s="48" t="str">
        <f>""</f>
        <v/>
      </c>
      <c r="K3" s="49"/>
      <c r="L3" s="50"/>
      <c r="M3" s="50"/>
      <c r="N3" s="51" t="s">
        <v>180</v>
      </c>
      <c r="O3" s="52">
        <v>1976</v>
      </c>
      <c r="P3" s="53" t="s">
        <v>1025</v>
      </c>
      <c r="Q3" s="54">
        <v>2</v>
      </c>
      <c r="R3" s="55" t="s">
        <v>180</v>
      </c>
      <c r="S3" s="56">
        <v>3</v>
      </c>
      <c r="T3" s="57" t="s">
        <v>164</v>
      </c>
      <c r="U3" s="58" t="s">
        <v>164</v>
      </c>
      <c r="V3" s="58" t="s">
        <v>167</v>
      </c>
      <c r="W3" s="58" t="s">
        <v>164</v>
      </c>
      <c r="X3" s="58" t="s">
        <v>164</v>
      </c>
      <c r="Y3" s="58" t="s">
        <v>164</v>
      </c>
      <c r="Z3" s="58" t="s">
        <v>164</v>
      </c>
      <c r="AA3" s="58" t="s">
        <v>164</v>
      </c>
      <c r="AB3" s="58" t="s">
        <v>164</v>
      </c>
      <c r="AC3" s="58" t="s">
        <v>164</v>
      </c>
      <c r="AD3" s="58" t="s">
        <v>164</v>
      </c>
      <c r="AE3" s="58" t="s">
        <v>167</v>
      </c>
      <c r="AF3" s="59" t="s">
        <v>167</v>
      </c>
      <c r="AG3" s="59" t="s">
        <v>167</v>
      </c>
      <c r="AH3" s="59" t="s">
        <v>167</v>
      </c>
      <c r="AI3" s="59" t="s">
        <v>164</v>
      </c>
      <c r="AJ3" s="59" t="s">
        <v>164</v>
      </c>
      <c r="AK3" s="59" t="s">
        <v>164</v>
      </c>
      <c r="AL3" s="59" t="s">
        <v>164</v>
      </c>
      <c r="AM3" s="59" t="s">
        <v>164</v>
      </c>
      <c r="AN3" s="59" t="s">
        <v>164</v>
      </c>
      <c r="AO3" s="59" t="s">
        <v>164</v>
      </c>
      <c r="AP3" s="59" t="s">
        <v>164</v>
      </c>
      <c r="AQ3" s="59" t="s">
        <v>164</v>
      </c>
      <c r="AR3" s="59" t="s">
        <v>164</v>
      </c>
      <c r="AS3" s="59" t="s">
        <v>164</v>
      </c>
      <c r="AT3" s="60">
        <v>1</v>
      </c>
      <c r="AU3" s="59" t="s">
        <v>1026</v>
      </c>
      <c r="AV3" s="59" t="str">
        <f>IF(LEFT(A3,1)="[",LEFT(A3,5)&amp;AU3&amp;A3,"")</f>
        <v>[MAR]Limited recognition State[MAR] Western Sahara</v>
      </c>
      <c r="AW3" s="59" t="str">
        <f t="shared" si="0"/>
        <v>2[MAR] Western Sahara</v>
      </c>
      <c r="AX3" s="61"/>
      <c r="AY3" s="61"/>
      <c r="AZ3" s="62" t="s">
        <v>154</v>
      </c>
      <c r="BA3" s="62"/>
      <c r="BB3" s="62"/>
      <c r="BC3" s="63"/>
      <c r="BD3" s="64" t="s">
        <v>169</v>
      </c>
      <c r="BE3" s="47"/>
      <c r="BF3" s="64" t="s">
        <v>151</v>
      </c>
      <c r="BG3" s="64" t="s">
        <v>159</v>
      </c>
      <c r="BH3" s="64" t="s">
        <v>153</v>
      </c>
      <c r="BI3" s="64"/>
      <c r="BJ3" s="64"/>
      <c r="BK3" s="47"/>
      <c r="BL3" s="64" t="s">
        <v>151</v>
      </c>
      <c r="BM3" s="64" t="s">
        <v>172</v>
      </c>
      <c r="BN3" s="64" t="s">
        <v>153</v>
      </c>
      <c r="BO3" s="64" t="s">
        <v>154</v>
      </c>
      <c r="BP3" s="64" t="s">
        <v>172</v>
      </c>
      <c r="BQ3" s="64" t="s">
        <v>172</v>
      </c>
      <c r="BR3" s="64" t="s">
        <v>172</v>
      </c>
      <c r="BS3" s="64" t="s">
        <v>172</v>
      </c>
      <c r="BT3" s="64" t="s">
        <v>159</v>
      </c>
      <c r="BU3" s="65"/>
      <c r="BV3" s="66"/>
      <c r="BW3" s="66">
        <v>0</v>
      </c>
      <c r="BX3" s="47"/>
      <c r="CB3" s="6"/>
      <c r="CC3" s="6"/>
      <c r="CD3" s="67">
        <v>0</v>
      </c>
      <c r="CE3" s="67">
        <v>0</v>
      </c>
      <c r="CF3" s="67" t="e">
        <v>#REF!</v>
      </c>
      <c r="CG3" s="68" cm="1">
        <f t="array" ref="CG3">SUMPRODUCT(--(LEN(TRIM(BL3:BT3))&gt;0))</f>
        <v>4</v>
      </c>
      <c r="CH3" s="59" t="str">
        <f>IF(CG3=2,"y","n")</f>
        <v>n</v>
      </c>
      <c r="CI3" s="59" t="str">
        <f>IF(CG3=3,"y","n")</f>
        <v>n</v>
      </c>
      <c r="CJ3" s="59" t="str">
        <f>IF(CG3=4,"y","n")</f>
        <v>y</v>
      </c>
      <c r="CK3" s="59" t="str">
        <f>IF(CG3&gt;4,"y","n")</f>
        <v>n</v>
      </c>
      <c r="CL3" s="59" t="str">
        <f>IF(S3=0,"y","n")</f>
        <v>n</v>
      </c>
      <c r="CM3" s="59" t="str">
        <f>IF(S3=2,"y","n")</f>
        <v>n</v>
      </c>
      <c r="CN3" s="59" t="str">
        <f>IF(S3=3,"y","n")</f>
        <v>y</v>
      </c>
      <c r="CO3" s="59" t="str">
        <f>IF(S3&gt;=4,"y","n")</f>
        <v>n</v>
      </c>
      <c r="CP3" s="59" t="str">
        <f>IF(AT3=0,"y","n")</f>
        <v>n</v>
      </c>
      <c r="CQ3" s="59" t="str">
        <f>IF(AT3=1,"y","n")</f>
        <v>y</v>
      </c>
      <c r="CR3" s="59" t="str">
        <f>IF(AT3=2,"y","n")</f>
        <v>n</v>
      </c>
      <c r="CS3" s="59" t="str">
        <f>IF(AT3&gt;=3,"y","n")</f>
        <v>n</v>
      </c>
      <c r="CT3" s="69" t="str">
        <f>CHAR(34)&amp;A3&amp;CHAR(34)</f>
        <v>"[MAR] Western Sahara"</v>
      </c>
      <c r="CU3" s="70" t="str">
        <f>CHAR(34)&amp;"rgn_"&amp;R3&amp;CHAR(34)</f>
        <v>"rgn_Africa"</v>
      </c>
      <c r="CV3" s="48" t="str">
        <f>CHAR(34)&amp;D3&amp;CHAR(34)</f>
        <v>"https://upload.wikimedia.org/wikipedia/commons/thumb/2/26/Flag_of_the_Sahrawi_Arab_Democratic_Republic.svg/640px-Flag_of_the_Sahrawi_Arab_Democratic_Republic.svg.png"</v>
      </c>
      <c r="CW3" s="48" t="str">
        <f>IF(CH3="y",CHAR(34)&amp;CH$1&amp;CHAR(34)&amp;",","")</f>
        <v/>
      </c>
      <c r="CX3" s="48" t="str">
        <f>IF(CI3="y",CHAR(34)&amp;CI$1&amp;CHAR(34)&amp;",","")</f>
        <v/>
      </c>
      <c r="CY3" s="48" t="str">
        <f>IF(CJ3="y",CHAR(34)&amp;CJ$1&amp;CHAR(34)&amp;",","")</f>
        <v>"4Color",</v>
      </c>
      <c r="CZ3" s="48" t="str">
        <f>IF(CK3="y",CHAR(34)&amp;CK$1&amp;CHAR(34)&amp;",","")</f>
        <v/>
      </c>
      <c r="DA3" s="48" t="str">
        <f>IF(Q3&gt;1,CHAR(34)&amp;"words2"&amp;CHAR(34)&amp;",","")</f>
        <v>"words2",</v>
      </c>
      <c r="DB3" s="48" t="str">
        <f>IF(Q3&gt;2,CHAR(34)&amp;"words3"&amp;CHAR(34)&amp;",","")</f>
        <v/>
      </c>
      <c r="DC3" s="48" t="str">
        <f>IF(Q3=2,CHAR(34)&amp;"exact2"&amp;CHAR(34)&amp;",","")</f>
        <v>"exact2",</v>
      </c>
      <c r="DD3" s="48" t="str">
        <f>IF(LEN(CHAR(34)&amp;"lets"&amp;LEN(SUBSTITUTE(SUBSTITUTE(IFERROR(TRIM(SUBSTITUTE(SUBSTITUTE(SUBSTITUTE(IFERROR(TRIM(SUBSTITUTE(A3,MID(A3,FIND("(",A3),FIND(")",A3)-FIND("(",A3)+1),"")),A3),"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",""),"-",""))&amp;CHAR(34)&amp;",")=9,CHAR(34)&amp;"lets"&amp;LEN(SUBSTITUTE(SUBSTITUTE(IFERROR(TRIM(SUBSTITUTE(SUBSTITUTE(SUBSTITUTE(IFERROR(TRIM(SUBSTITUTE(A3,MID(A3,FIND("(",A3),FIND(")",A3)-FIND("(",A3)+1),"")),A3),"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",""),"-",""))&amp;CHAR(34)&amp;",",CHAR(34)&amp;"lets0"&amp;LEN(SUBSTITUTE(SUBSTITUTE(IFERROR(TRIM(SUBSTITUTE(SUBSTITUTE(SUBSTITUTE(IFERROR(TRIM(SUBSTITUTE(A3,MID(A3,FIND("(",A3),FIND(")",A3)-FIND("(",A3)+1),"")),A3),"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f>
        <v>"lets13",</v>
      </c>
      <c r="DE3" s="48" t="str">
        <f>IFERROR(CHAR(34)&amp;"start"&amp;LEFT(TRIM(SUBSTITUTE(SUBSTITUTE(TRIM(SUBSTITUTE(SUBSTITUTE(A3, MID(A3, FIND("[", A3), FIND("]", A3) - FIND("[", A3) + 1), ""), "  ", " ")), MID(TRIM(SUBSTITUTE(SUBSTITUTE(A3, MID(A3, FIND("[", A3), FIND("]", A3) - FIND("[", A3) + 1), ""), "  ", " ")), FIND("[", TRIM(SUBSTITUTE(SUBSTITUTE(A3, MID(A3, FIND("[", A3), FIND("]", A3) - FIND("[", A3) + 1), ""), "  ", " "))), FIND("]", TRIM(SUBSTITUTE(SUBSTITUTE(A3, MID(A3, FIND("[", A3), FIND("]", A3) - FIND("[", A3) + 1), ""), "  ", " "))) - FIND("[", TRIM(SUBSTITUTE(SUBSTITUTE(A3, MID(A3, FIND("[", A3), FIND("]", A3) - FIND("[", A3) + 1), ""), "  ", " "))) + 1), ""), "  ", " ")),1)&amp;CHAR(34)&amp;",",CHAR(34)&amp;"start"&amp;IFERROR(LEFT(SUBSTITUTE(A3,"["&amp;MID(A3,FIND("[",A3)+1,FIND("]",A3)-FIND("[",A3)-1)&amp;"] ",""),1),LEFT(A3,1))&amp;CHAR(34)&amp;",")</f>
        <v>"startW",</v>
      </c>
      <c r="DF3" s="48" t="str">
        <f>IFERROR(IF(SEARCH("tan",A3)&gt;0,CHAR(34)&amp;"withtn"&amp;CHAR(34)&amp;",",""),"")</f>
        <v/>
      </c>
      <c r="DG3" s="48" t="str">
        <f>IFERROR(IF(SEARCH("q",A3)&gt;0,CHAR(34)&amp;"with_q"&amp;CHAR(34)&amp;",",""),"")</f>
        <v/>
      </c>
      <c r="DH3" s="48" t="str">
        <f>IFERROR(IF(SEARCH("v",A3)&gt;0,CHAR(34)&amp;"with_v"&amp;CHAR(34)&amp;",",""),"")</f>
        <v/>
      </c>
      <c r="DI3" s="48" t="str">
        <f>IFERROR(IF(SEARCH("w",A3)&gt;0,CHAR(34)&amp;"with_w"&amp;CHAR(34)&amp;",",""),"")</f>
        <v>"with_w",</v>
      </c>
      <c r="DJ3" s="48" t="str">
        <f>IFERROR(IF(SEARCH("y",A3)&gt;0,CHAR(34)&amp;"with_y"&amp;CHAR(34)&amp;",",""),"")</f>
        <v/>
      </c>
      <c r="DK3" s="48" t="str">
        <f>IFERROR(IF(SEARCH("z",A3)&gt;0,CHAR(34)&amp;"with_z"&amp;CHAR(34)&amp;",",""),"")</f>
        <v/>
      </c>
      <c r="DL3" s="48" t="str">
        <f>IF(CG3=2, CHAR(34) &amp; _xlfn.TEXTJOIN("", TRUE, _xlfn._xlws.SORT(HP3:HX3)) &amp; CHAR(34) &amp; ",", "")</f>
        <v/>
      </c>
      <c r="DM3" s="48" t="str" cm="1">
        <f t="array" ref="DM3">IF(CG3=3,CHAR(34) &amp; _xlfn.TEXTJOIN("", TRUE, RIGHT(HP3:HX3, 2)) &amp; CHAR(34) &amp; ",", "")</f>
        <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"year19",</v>
      </c>
      <c r="DP3" s="6" t="str">
        <f>IF(AND(ISNUMBER(SEARCH("20", O3)), ISERROR(SEARCH("1920", O3))), CHAR(34)&amp;"year00"&amp;CHAR(34)&amp;",", "")</f>
        <v/>
      </c>
      <c r="DQ3" s="6" t="str">
        <f>IF(CC3="y",CHAR(34)&amp;"soviet"&amp;CHAR(34)&amp;",","")</f>
        <v/>
      </c>
      <c r="DR3" s="6" t="str">
        <f>IF(BY3="y",CHAR(34)&amp;"dgband"&amp;CHAR(34)&amp;",","")</f>
        <v/>
      </c>
      <c r="DS3" s="6" t="str">
        <f>IF(W3="y",IF(AND(V3="n",BY3&lt;&gt;"y"),CHAR(34)&amp;"allver"&amp;CHAR(34)&amp;",",""),"")</f>
        <v/>
      </c>
      <c r="DT3" s="6" t="str">
        <f>IF(V3="y",IF(AND(W3="n",BY3&lt;&gt;"y"),CHAR(34)&amp;"allhor"&amp;CHAR(34)&amp;",",""),"")</f>
        <v>"allhor",</v>
      </c>
      <c r="DU3" s="6" t="str">
        <f>IF(BY3="y",IF(AND(W3="n",V3="n"),CHAR(34)&amp;"alldia"&amp;CHAR(34)&amp;",",""),"")</f>
        <v/>
      </c>
      <c r="DV3" s="48" t="str">
        <f>IF(IA3&lt;&gt;"",(IF(IA3="y",CHAR(34)&amp;"largec"&amp;CHAR(34)&amp;",",CHAR(34)&amp;"smallc"&amp;CHAR(34)&amp;",")),"")</f>
        <v/>
      </c>
      <c r="DW3" s="48" t="str">
        <f>IF(CL3="y",CHAR(34)&amp;CL$1&amp;CHAR(34)&amp;",","")</f>
        <v/>
      </c>
      <c r="DX3" s="48" t="str">
        <f>IF(CM3="y",CHAR(34)&amp;CM$1&amp;CHAR(34)&amp;",","")</f>
        <v/>
      </c>
      <c r="DY3" s="48" t="str">
        <f>IF(CN3="y",CHAR(34)&amp;CN$1&amp;CHAR(34)&amp;",","")</f>
        <v>"3Bands",</v>
      </c>
      <c r="DZ3" s="48" t="str">
        <f>IF(CO3="y",CHAR(34)&amp;CO$1&amp;CHAR(34)&amp;",","")</f>
        <v/>
      </c>
      <c r="EA3" s="48" t="str">
        <f>IF(T3="y",CHAR(34)&amp;T$1&amp;CHAR(34)&amp;",","")</f>
        <v/>
      </c>
      <c r="EB3" s="48" t="str">
        <f>IF(U3="y",CHAR(34)&amp;U$1&amp;CHAR(34)&amp;",","")</f>
        <v/>
      </c>
      <c r="EC3" s="48" t="str">
        <f>IF(V3="y",CHAR(34)&amp;V$1&amp;CHAR(34)&amp;",","")</f>
        <v>"Horizo",</v>
      </c>
      <c r="ED3" s="48" t="str">
        <f>IF(W3="y",CHAR(34)&amp;W$1&amp;CHAR(34)&amp;",","")</f>
        <v/>
      </c>
      <c r="EE3" s="48" t="str">
        <f>IF(X3="y",CHAR(34)&amp;X$1&amp;CHAR(34)&amp;",","")</f>
        <v/>
      </c>
      <c r="EF3" s="48" t="str">
        <f>IF(AND(Y3&lt;&gt;"n",Y3&lt;&gt;""),CHAR(34)&amp;Y$1&amp;CHAR(34)&amp;",","")</f>
        <v/>
      </c>
      <c r="EG3" s="48" t="str">
        <f>IF(Z3="y",CHAR(34)&amp;Z$1&amp;CHAR(34)&amp;",","")</f>
        <v/>
      </c>
      <c r="EH3" s="48" t="str">
        <f>IF(AA3="y",CHAR(34)&amp;AA$1&amp;CHAR(34)&amp;",","")</f>
        <v/>
      </c>
      <c r="EI3" s="48" t="str">
        <f>IF(AB3="y",CHAR(34)&amp;AB$1&amp;CHAR(34)&amp;",","")</f>
        <v/>
      </c>
      <c r="EJ3" s="48" t="str">
        <f>IF(AC3="y",CHAR(34)&amp;AC$1&amp;CHAR(34)&amp;",","")</f>
        <v/>
      </c>
      <c r="EK3" s="48" t="str">
        <f>IF(AD3="y",CHAR(34)&amp;AD$1&amp;CHAR(34)&amp;",","")</f>
        <v/>
      </c>
      <c r="EL3" s="48" t="str">
        <f>IF(AE3="y",CHAR(34)&amp;AE$1&amp;CHAR(34)&amp;",","")</f>
        <v>"IsMoon",</v>
      </c>
      <c r="EM3" s="48" t="str">
        <f>IF(AF3="y",CHAR(34)&amp;AF$1&amp;CHAR(34)&amp;",","")</f>
        <v>"Trside",</v>
      </c>
      <c r="EN3" s="48" t="str">
        <f>IF(AG3="y",CHAR(34)&amp;AG$1&amp;CHAR(34)&amp;",","")</f>
        <v>"Unequa",</v>
      </c>
      <c r="EO3" s="48" t="str">
        <f>IF(AH3="y",CHAR(34)&amp;AH$1&amp;CHAR(34)&amp;",","")</f>
        <v>"Center",</v>
      </c>
      <c r="EP3" s="48" t="str">
        <f>IF(AI3="y",CHAR(34)&amp;AI$1&amp;CHAR(34)&amp;",","")</f>
        <v/>
      </c>
      <c r="EQ3" s="48" t="str">
        <f>IF(AJ3="y",CHAR(34)&amp;AJ$1&amp;CHAR(34)&amp;",","")</f>
        <v/>
      </c>
      <c r="ER3" s="48" t="str">
        <f>IF(AK3="y",CHAR(34)&amp;AK$1&amp;CHAR(34)&amp;",","")</f>
        <v/>
      </c>
      <c r="ES3" s="48" t="str">
        <f>IF(AL3="y",CHAR(34)&amp;AL$1&amp;CHAR(34)&amp;",","")</f>
        <v/>
      </c>
      <c r="ET3" s="48" t="str">
        <f>IF(AM3="y",CHAR(34)&amp;AM$1&amp;CHAR(34)&amp;",","")</f>
        <v/>
      </c>
      <c r="EU3" s="48" t="str">
        <f>IF(AN3="y",CHAR(34)&amp;AN$1&amp;CHAR(34)&amp;",","")</f>
        <v/>
      </c>
      <c r="EV3" s="48" t="str">
        <f>IF(AO3="y",CHAR(34)&amp;AO$1&amp;CHAR(34)&amp;",","")</f>
        <v/>
      </c>
      <c r="EW3" s="48" t="str">
        <f>IF(AP3="y",CHAR(34)&amp;AP$1&amp;CHAR(34)&amp;",","")</f>
        <v/>
      </c>
      <c r="EX3" s="48" t="str">
        <f>IF(AQ3="y",CHAR(34)&amp;AQ$1&amp;CHAR(34)&amp;",","")</f>
        <v/>
      </c>
      <c r="EY3" s="48" t="str">
        <f>IF(AR3="y",CHAR(34)&amp;AR$1&amp;CHAR(34)&amp;",","")</f>
        <v/>
      </c>
      <c r="EZ3" s="48" t="str">
        <f>IF(AS3="y",CHAR(34)&amp;AS$1&amp;CHAR(34)&amp;",","")</f>
        <v/>
      </c>
      <c r="FA3" s="48" t="str">
        <f>IF(AT3&gt;0,CHAR(34)&amp;"sta"&amp;AZ3&amp;CHAR(34)&amp;",","")</f>
        <v>"staRED",</v>
      </c>
      <c r="FB3" s="48" t="str">
        <f>IF(AND(AT3&gt;0,BA3&lt;&gt;""),CHAR(34)&amp;"sta"&amp;BA3&amp;CHAR(34)&amp;",","")</f>
        <v/>
      </c>
      <c r="FC3" s="48" t="str">
        <f>IF(AND(AT3&gt;0,BB3&lt;&gt;""),CHAR(34)&amp;"sta"&amp;BB3&amp;CHAR(34)&amp;",","")</f>
        <v/>
      </c>
      <c r="FD3" s="48" t="str">
        <f>IF(BV3="n",CHAR(34)&amp;"tcWHYE"&amp;CHAR(34)&amp;",",IF(BV3="y",CHAR(34)&amp;FD$1&amp;CHAR(34)&amp;",",""))</f>
        <v/>
      </c>
      <c r="FE3" s="48" t="str">
        <f>IF(COUNTIF(BL3:BT3,"BLU")=0,CHAR(34)&amp;"NO_BLU"&amp;CHAR(34)&amp;",", "")</f>
        <v>"NO_BLU",</v>
      </c>
      <c r="FF3" s="48" t="str">
        <f>IF(COUNTIF(BL3:BT3,"WHI")=0,CHAR(34)&amp;"NO_WHI"&amp;CHAR(34)&amp;",", "")</f>
        <v/>
      </c>
      <c r="FG3" s="48" t="str">
        <f>IF(COUNTIF(BL3:BT3,"RED")=0,CHAR(34)&amp;"NO_RED"&amp;CHAR(34)&amp;",", "")</f>
        <v/>
      </c>
      <c r="FH3" s="48" t="str">
        <f>IF(COUNTIF(BL3:BS3,"GRE")=0,CHAR(34)&amp;"NO_GRE"&amp;CHAR(34)&amp;",", "")</f>
        <v/>
      </c>
      <c r="FI3" s="48" t="str">
        <f>IF(COUNTIF(BL3:BT3,"YEL")=0,CHAR(34)&amp;"NO_YEL"&amp;CHAR(34)&amp;",", "")</f>
        <v>"NO_YEL",</v>
      </c>
      <c r="FJ3" s="48" t="str">
        <f>IF(COUNTIF(BL3:BT3,"BLA")=0,CHAR(34)&amp;"NO_BLA"&amp;CHAR(34)&amp;",", "")</f>
        <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
      </c>
      <c r="FQ3" s="48" t="str">
        <f>IF(LEN(BF3)=3,CHAR(34)&amp;"001"&amp;BF3&amp;CHAR(34)&amp;",","")</f>
        <v>"001BLA",</v>
      </c>
      <c r="FR3" s="48" t="str">
        <f>IF(LEN(BG3)=3,CHAR(34)&amp;"002"&amp;BG3&amp;CHAR(34)&amp;",","")</f>
        <v>"002WHI",</v>
      </c>
      <c r="FS3" s="48" t="str">
        <f>IF(LEN(BH3)=3,CHAR(34)&amp;"003"&amp;BH3&amp;CHAR(34)&amp;",","")</f>
        <v>"003GRE",</v>
      </c>
      <c r="FT3" s="48" t="str">
        <f>CHAR(34)&amp;"myr"&amp;BD3&amp;CHAR(34)&amp;","</f>
        <v>"myrEQ",</v>
      </c>
      <c r="FU3" s="48" t="str">
        <f>IF(AY3="y",CHAR(34)&amp;"island"&amp;CHAR(34)&amp;",","")</f>
        <v/>
      </c>
      <c r="FV3" s="48" t="str">
        <f>IF(BZ3="y",CHAR(34)&amp;"landlo"&amp;CHAR(34)&amp;",","")</f>
        <v/>
      </c>
      <c r="FW3" s="48" t="str">
        <f>IF(CA3="y",CHAR(34)&amp;"eunion"&amp;CHAR(34)&amp;",","")</f>
        <v/>
      </c>
      <c r="FX3" s="48" t="str">
        <f>SUBSTITUTE(IFERROR(SEARCH("[",A3),IFERROR(IF(AND(CA3&lt;&gt;"y",SEARCH("Europe",R3)&gt;0),CHAR(34)&amp;"noeuni"&amp;CHAR(34)&amp;",",""),"")),"1","")</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C3" s="48" t="str">
        <f>IFERROR(IF(SEARCH("Portuguese",CB3)&gt;0,CHAR(34)&amp;"portug"&amp;CHAR(34)&amp;",",""),"")</f>
        <v/>
      </c>
      <c r="GD3" s="48" t="str">
        <f>IFERROR(IF(SEARCH("German",CB3)&gt;0,CHAR(34)&amp;"german"&amp;CHAR(34)&amp;",",""),"")</f>
        <v/>
      </c>
      <c r="GE3" s="48" t="str">
        <f>IFERROR(IF(SEARCH("Dutch",CB3)&gt;0,CHAR(34)&amp;"dutchs"&amp;CHAR(34)&amp;",",""),"")</f>
        <v/>
      </c>
      <c r="GF3" s="48" t="str">
        <f>IFERROR(IF(SEARCH("Historical",AU3)&gt;0,CHAR(34)&amp;"histor"&amp;CHAR(34)&amp;",",""),"")</f>
        <v/>
      </c>
      <c r="GG3" s="48" t="str">
        <f>IF(BU3="y",CHAR(34)&amp;"unjack"&amp;CHAR(34)&amp;",","")</f>
        <v/>
      </c>
      <c r="GH3" s="48" t="str">
        <f>IF(CD3=1,CHAR(34)&amp;"southc"&amp;CHAR(34)&amp;",","")</f>
        <v/>
      </c>
      <c r="GI3" s="48" t="str">
        <f>IF(CE3=1,CHAR(34)&amp;"hasmap"&amp;CHAR(34)&amp;",","")</f>
        <v/>
      </c>
      <c r="GJ3" s="48" t="str">
        <f>IF(CP3="y",CHAR(34)&amp;CP$1&amp;CHAR(34)&amp;",","")</f>
        <v/>
      </c>
      <c r="GK3" s="48" t="str">
        <f>IF(GJ3="",CHAR(34)&amp;"HasSta"&amp;CHAR(34)&amp;",","")</f>
        <v>"HasSta",</v>
      </c>
      <c r="GL3" s="48" t="str">
        <f>IF(CQ3="y",CHAR(34)&amp;CQ$1&amp;CHAR(34)&amp;",","")</f>
        <v>"1Stars",</v>
      </c>
      <c r="GM3" s="48" t="str">
        <f>IF(CR3="y",CHAR(34)&amp;CR$1&amp;CHAR(34)&amp;",","")</f>
        <v/>
      </c>
      <c r="GN3" s="48" t="str">
        <f>IF(CS3="y",CHAR(34)&amp;CS$1&amp;CHAR(34)&amp;",","")</f>
        <v/>
      </c>
      <c r="GP3" s="48" t="str">
        <f>CHAR(34)&amp;AU3&amp;CHAR(34)</f>
        <v>"Limited recognition State"</v>
      </c>
      <c r="GS3" s="48" t="str">
        <f>SUBSTITUTE("["&amp;_xlfn.CONCAT(CW3:GN3)&amp;"]",",]","]")</f>
        <v>["4Color","words2","exact2","lets13","startW","with_w","year19","allhor","3Bands","Horizo","IsMoon","Trside","Unequa","Center","staRED","NO_BLU","NO_YEL","001BLA","002WHI","003GRE","myrEQ","HasSta","1Stars"]</v>
      </c>
      <c r="GT3" s="48" t="str">
        <f>IF(BL3&lt;&gt;"",CHAR(34)&amp;"cl_"&amp;BL3&amp;CHAR(34)&amp;",","")</f>
        <v>"cl_BLA",</v>
      </c>
      <c r="GU3" s="48" t="str">
        <f>IF(BM3&lt;&gt;"",CHAR(34)&amp;"cl_"&amp;BM3&amp;CHAR(34)&amp;",","")</f>
        <v/>
      </c>
      <c r="GV3" s="48" t="str">
        <f>IF(BN3&lt;&gt;"",CHAR(34)&amp;"cl_"&amp;BN3&amp;CHAR(34)&amp;",","")</f>
        <v>"cl_GRE",</v>
      </c>
      <c r="GW3" s="48" t="str">
        <f>IF(BO3&lt;&gt;"",CHAR(34)&amp;"cl_"&amp;BO3&amp;CHAR(34)&amp;",","")</f>
        <v>"cl_RED",</v>
      </c>
      <c r="GX3" s="48" t="str">
        <f>IF(BP3&lt;&gt;"",CHAR(34)&amp;"cl_"&amp;BP3&amp;CHAR(34)&amp;",","")</f>
        <v/>
      </c>
      <c r="GY3" s="48" t="str">
        <f>IF(BQ3&lt;&gt;"",CHAR(34)&amp;"cl_"&amp;BQ3&amp;CHAR(34)&amp;",","")</f>
        <v/>
      </c>
      <c r="GZ3" s="48" t="str">
        <f>IF(BR3&lt;&gt;"",CHAR(34)&amp;"cl_"&amp;BR3&amp;CHAR(34)&amp;",","")</f>
        <v/>
      </c>
      <c r="HA3" s="48" t="str">
        <f>IF(BS3&lt;&gt;"",CHAR(34)&amp;"cl_"&amp;BS3&amp;CHAR(34)&amp;",","")</f>
        <v/>
      </c>
      <c r="HB3" s="48" t="str">
        <f>IF(BT3&lt;&gt;"",CHAR(34)&amp;"cl_"&amp;BT3&amp;CHAR(34)&amp;",","")</f>
        <v>"cl_WHI",</v>
      </c>
      <c r="HC3" s="48" t="str">
        <f>SUBSTITUTE("["&amp;_xlfn.CONCAT(GT3:HB3)&amp;"]",",]","]")</f>
        <v>["cl_BLA","cl_GRE","cl_RED","cl_WHI"]</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{couname:"[MAR] Western Sahara",year:"1976",region:"rgn_Africa",Colors:["cl_BLA","cl_GRE","cl_RED","cl_WHI"],Items:["4Color","words2","exact2","lets13","startW","with_w","year19","allhor","3Bands","Horizo","IsMoon","Trside","Unequa","Center","staRED","NO_BLU","NO_YEL","001BLA","002WHI","003GRE","myrEQ","HasSta","1Stars"],Flag:"https://upload.wikimedia.org/wikipedia/commons/thumb/2/26/Flag_of_the_Sahrawi_Arab_Democratic_Republic.svg/640px-Flag_of_the_Sahrawi_Arab_Democratic_Republic.svg.png",HDFlag:"https://upload.wikimedia.org/wikipedia/commons/thumb/2/26/Flag_of_the_Sahrawi_Arab_Democratic_Republic.svg/2560px-Flag_of_the_Sahrawi_Arab_Democratic_Republic.svg.png",type:"Limited recognition State", describe: "\nIt is used on Sahrawi Arab Democratic Republic controlled areas, while the Moroccan flag is used on the occupied parts of Western Sahara. The green of the flag represents the Sahrawi people's hope of one day returning to their lands and the white represents peace and the purity of the Sahrawi, while the black represents anguish and grief for the martyrs and the red represents the blood spilled by all the martyrs. The star represents the SADR being an Arab republic, while the crescent represents the Sahrawi Republic being a Muslim country.", isnew:".", links: "https://en.wikipedia.org/wiki/Flag_of_Western_Sahara"},</v>
      </c>
      <c r="HG3" s="73" t="str">
        <f>"{couname:"&amp;CT3&amp;(IF(HK3&lt;&gt;"",",subtype:"&amp;CHAR(34)&amp;HK3&amp;CHAR(34),""))&amp;",year:"&amp;HJ3&amp;",region:"&amp;CU3&amp;",Colors:"&amp;HC3&amp;",Items:"&amp;GS3&amp;",Flag:"&amp;CV3&amp;",HDFlag:"&amp;CHAR(34)&amp;E3&amp;CHAR(34)&amp;",type:"&amp;GP3&amp;", describe: "&amp;HI3&amp;", links: "&amp;HL3&amp;"},"</f>
        <v>{couname:"[MAR] Western Sahara",year:"1976",region:"rgn_Africa",Colors:["cl_BLA","cl_GRE","cl_RED","cl_WHI"],Items:["4Color","words2","exact2","lets13","startW","with_w","year19","allhor","3Bands","Horizo","IsMoon","Trside","Unequa","Center","staRED","NO_BLU","NO_YEL","001BLA","002WHI","003GRE","myrEQ","HasSta","1Stars"],Flag:"https://upload.wikimedia.org/wikipedia/commons/thumb/2/26/Flag_of_the_Sahrawi_Arab_Democratic_Republic.svg/640px-Flag_of_the_Sahrawi_Arab_Democratic_Republic.svg.png",HDFlag:"https://upload.wikimedia.org/wikipedia/commons/thumb/2/26/Flag_of_the_Sahrawi_Arab_Democratic_Republic.svg/2560px-Flag_of_the_Sahrawi_Arab_Democratic_Republic.svg.png",type:"Limited recognition State", describe: "\nIt is used on Sahrawi Arab Democratic Republic controlled areas, while the Moroccan flag is used on the occupied parts of Western Sahara. The green of the flag represents the Sahrawi people's hope of one day returning to their lands and the white represents peace and the purity of the Sahrawi, while the black represents anguish and grief for the martyrs and the red represents the blood spilled by all the martyrs. The star represents the SADR being an Arab republic, while the crescent represents the Sahrawi Republic being a Muslim country.", links: "https://en.wikipedia.org/wiki/Flag_of_Western_Sahara"},</v>
      </c>
      <c r="HH3" s="48" t="str">
        <f>IF(P3&lt;&gt;"",CHAR(34)&amp;"\n"&amp;P3&amp;CHAR(34),CHAR(34)&amp;CHAR(34))</f>
        <v>"\nIt is used on Sahrawi Arab Democratic Republic controlled areas, while the Moroccan flag is used on the occupied parts of Western Sahara. The green of the flag represents the Sahrawi people's hope of one day returning to their lands and the white represents peace and the purity of the Sahrawi, while the black represents anguish and grief for the martyrs and the red represents the blood spilled by all the martyrs. The star represents the SADR being an Arab republic, while the crescent represents the Sahrawi Republic being a Muslim country."</v>
      </c>
      <c r="HI3" s="48" t="str">
        <f>IF(J3=0,CHAR(34)&amp;CHAR(34),HH3)</f>
        <v>"\nIt is used on Sahrawi Arab Democratic Republic controlled areas, while the Moroccan flag is used on the occupied parts of Western Sahara. The green of the flag represents the Sahrawi people's hope of one day returning to their lands and the white represents peace and the purity of the Sahrawi, while the black represents anguish and grief for the martyrs and the red represents the blood spilled by all the martyrs. The star represents the SADR being an Arab republic, while the crescent represents the Sahrawi Republic being a Muslim country."</v>
      </c>
      <c r="HJ3" s="48" t="str">
        <f>CHAR(34)&amp;O3&amp;CHAR(34)</f>
        <v>"1976"</v>
      </c>
      <c r="HL3" s="48" t="str">
        <f>CHAR(34)&amp;I3&amp;CHAR(34)</f>
        <v>"https://en.wikipedia.org/wiki/Flag_of_Western_Sahara"</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{"couname":"[MAR] Western Sahara","year":"1976","region":"rgn_Africa","Colors":["cl_BLA","cl_GRE","cl_RED","cl_WHI"],"Items":["4Color","words2","exact2","lets13","startW","with_w","year19","allhor","3Bands","Horizo","IsMoon","Trside","Unequa","Center","staRED","NO_BLU","NO_YEL","001BLA","002WHI","003GRE","myrEQ","HasSta","1Stars"],"Flag":"https://upload.wikimedia.org/wikipedia/commons/thumb/2/26/Flag_of_the_Sahrawi_Arab_Democratic_Republic.svg/640px-Flag_of_the_Sahrawi_Arab_Democratic_Republic.svg.png","HDFlag":"https://upload.wikimedia.org/wikipedia/commons/thumb/2/26/Flag_of_the_Sahrawi_Arab_Democratic_Republic.svg/2560px-Flag_of_the_Sahrawi_Arab_Democratic_Republic.svg.png","type":"Limited recognition State", "describe": "\nIt is used on Sahrawi Arab Democratic Republic controlled areas, while the Moroccan flag is used on the occupied parts of Western Sahara. The green of the flag represents the Sahrawi people's hope of one day returning to their lands and the white represents peace and the purity of the Sahrawi, while the black represents anguish and grief for the martyrs and the red represents the blood spilled by all the martyrs. The star represents the SADR being an Arab republic, while the crescent represents the Sahrawi Republic being a Muslim country.", "isnew": ".", "links": "https://en.wikipedia.org/wiki/Flag_of_Western_Sahara"},</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{"couname":"[MAR] Western Sahara","year":"1976","region":"rgn_Africa","Colors":["cl_BLA","cl_GRE","cl_RED","cl_WHI"],"Items":["4Color","words2","exact2","lets13","startW","with_w","year19","allhor","3Bands","Horizo","IsMoon","Trside","Unequa","Center","staRED","NO_BLU","NO_YEL","001BLA","002WHI","003GRE","myrEQ","HasSta","1Stars"],"Flag":"https://upload.wikimedia.org/wikipedia/commons/thumb/2/26/Flag_of_the_Sahrawi_Arab_Democratic_Republic.svg/640px-Flag_of_the_Sahrawi_Arab_Democratic_Republic.svg.png","HDFlag":"https://upload.wikimedia.org/wikipedia/commons/thumb/2/26/Flag_of_the_Sahrawi_Arab_Democratic_Republic.svg/2560px-Flag_of_the_Sahrawi_Arab_Democratic_Republic.svg.png","type":"Limited recognition State", "describe": "\nIt is used on Sahrawi Arab Democratic Republic controlled areas, while the Moroccan flag is used on the occupied parts of Western Sahara. The green of the flag represents the Sahrawi people's hope of one day returning to their lands and the white represents peace and the purity of the Sahrawi, while the black represents anguish and grief for the martyrs and the red represents the blood spilled by all the martyrs. The star represents the SADR being an Arab republic, while the crescent represents the Sahrawi Republic being a Muslim country.", "isnew": ".", "links": "https://en.wikipedia.org/wiki/Flag_of_Western_Sahara"},</v>
      </c>
      <c r="HO3" s="75"/>
      <c r="HP3" s="48" t="str" cm="1">
        <f t="array" ref="HP3">IF(_xlfn.TEXTJOIN(", ", TRUE, IF(ISNUMBER(SEARCH("BLA", BL3:BT3)), COLUMN(BL3:BT3) - COLUMN(BL3) + 1, ""))&lt;&gt;"","BLA","")</f>
        <v>BLA</v>
      </c>
      <c r="HQ3" s="48" t="str" cm="1">
        <f t="array" ref="HQ3">IF(_xlfn.TEXTJOIN(", ", TRUE, IF(ISNUMBER(SEARCH("BLU", BL3:BT3)), COLUMN(BL3:BT3) - COLUMN(BL3) + 1, ""))&lt;&gt;"","BLU","")</f>
        <v/>
      </c>
      <c r="HR3" s="48" t="str" cm="1">
        <f t="array" ref="HR3">IF(_xlfn.TEXTJOIN(", ", TRUE, IF(ISNUMBER(SEARCH("GRE", BL3:BT3)), COLUMN(BL3:BT3) - COLUMN(BL3) + 1, ""))&lt;&gt;"","GRE","")</f>
        <v>GRE</v>
      </c>
      <c r="HS3" s="48" t="str" cm="1">
        <f t="array" ref="HS3">IF(_xlfn.TEXTJOIN(", ", TRUE, IF(ISNUMBER(SEARCH("RED", BL3:BT3)), COLUMN(BL3:BT3) - COLUMN(BL3) + 1, ""))&lt;&gt;"","RED","")</f>
        <v>RED</v>
      </c>
      <c r="HT3" s="48" t="str" cm="1">
        <f t="array" ref="HT3">IF(_xlfn.TEXTJOIN(", ", TRUE, IF(ISNUMBER(SEARCH("YEL", BL3:BT3)), COLUMN(BL3:BT3) - COLUMN(BL3) + 1, ""))&lt;&gt;"","YEL","")</f>
        <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L3" s="48">
        <f>SUM(IC3:IK3)</f>
        <v>0</v>
      </c>
      <c r="IM3" s="45">
        <f>COUNTIF(IC3:IK3,"&gt;0")-CG3</f>
        <v>-4</v>
      </c>
      <c r="IN3" s="78" t="str">
        <f>"http://mkweb.bcgsc.ca/color-summarizer/?url="&amp;D3&amp;"&amp;precision=low&amp;num_clusters="&amp;CG3&amp;"&amp;text=1"</f>
        <v>http://mkweb.bcgsc.ca/color-summarizer/?url=https://upload.wikimedia.org/wikipedia/commons/thumb/2/26/Flag_of_the_Sahrawi_Arab_Democratic_Republic.svg/640px-Flag_of_the_Sahrawi_Arab_Democratic_Republic.svg.png&amp;precision=low&amp;num_clusters=4&amp;text=1</v>
      </c>
      <c r="IO3" s="48" t="str">
        <f>IF(HP3&lt;&gt;"",CHAR(34)&amp;"black"&amp;CHAR(34),"")</f>
        <v>"black"</v>
      </c>
      <c r="IP3" s="48" t="str">
        <f>IF(HQ3&lt;&gt;"",CHAR(34)&amp;"blue"&amp;CHAR(34),"")</f>
        <v/>
      </c>
      <c r="IQ3" s="48" t="str">
        <f>IF(HR3&lt;&gt;"",CHAR(34)&amp;"green"&amp;CHAR(34),"")</f>
        <v>"green"</v>
      </c>
      <c r="IR3" s="48" t="str">
        <f>IF(HS3&lt;&gt;"",CHAR(34)&amp;"red"&amp;CHAR(34),"")</f>
        <v>"red"</v>
      </c>
      <c r="IS3" s="48" t="str">
        <f>IF(HT3&lt;&gt;"",CHAR(34)&amp;"yellow"&amp;CHAR(34),"")</f>
        <v/>
      </c>
      <c r="IT3" s="48" t="str">
        <f>IF(HU3&lt;&gt;"",CHAR(34)&amp;"orange"&amp;CHAR(34),"")</f>
        <v/>
      </c>
      <c r="IU3" s="48" t="str">
        <f>IF(HV3&lt;&gt;"",CHAR(34)&amp;"brown"&amp;CHAR(34),"")</f>
        <v/>
      </c>
      <c r="IV3" s="48" t="str">
        <f>IF(HW3&lt;&gt;"",CHAR(34)&amp;"purple"&amp;CHAR(34),"")</f>
        <v/>
      </c>
      <c r="IW3" s="48" t="str">
        <f>IF(HX3&lt;&gt;"",CHAR(34)&amp;"white"&amp;CHAR(34),"")</f>
        <v>"white"</v>
      </c>
      <c r="IX3" s="48" t="str">
        <f>"{"&amp;CHAR(34)&amp;"url"&amp;CHAR(34)&amp;":"&amp;CHAR(34)&amp;IN3&amp;CHAR(34)&amp;","&amp;CHAR(34)&amp;"name"&amp;CHAR(34)&amp;":"&amp;CHAR(34)&amp;A3&amp;CHAR(34)&amp;"},"</f>
        <v>{"url":"http://mkweb.bcgsc.ca/color-summarizer/?url=https://upload.wikimedia.org/wikipedia/commons/thumb/2/26/Flag_of_the_Sahrawi_Arab_Democratic_Republic.svg/640px-Flag_of_the_Sahrawi_Arab_Democratic_Republic.svg.png&amp;precision=low&amp;num_clusters=4&amp;text=1","name":"[MAR] Western Sahara"},</v>
      </c>
      <c r="IY3" s="48">
        <v>629</v>
      </c>
    </row>
    <row r="4" spans="1:259" ht="38.4" customHeight="1" x14ac:dyDescent="0.3">
      <c r="F4" s="82"/>
      <c r="G4" s="82"/>
      <c r="H4" s="82"/>
      <c r="I4" s="82"/>
      <c r="J4" s="82"/>
      <c r="K4" s="82"/>
    </row>
    <row r="5" spans="1:259" ht="38.4" customHeight="1" x14ac:dyDescent="0.3">
      <c r="F5" s="82"/>
      <c r="G5" s="82"/>
      <c r="H5" s="82"/>
      <c r="I5" s="82"/>
      <c r="J5" s="82"/>
      <c r="K5" s="82"/>
    </row>
    <row r="6" spans="1:259" ht="38.4" customHeight="1" x14ac:dyDescent="0.3">
      <c r="F6" s="82"/>
      <c r="G6" s="82"/>
      <c r="H6" s="82"/>
      <c r="I6" s="82"/>
      <c r="J6" s="82"/>
      <c r="K6" s="82"/>
    </row>
  </sheetData>
  <autoFilter ref="A1:IY1" xr:uid="{A1051193-A95B-4CFB-A73C-F0184620C81F}">
    <sortState xmlns:xlrd2="http://schemas.microsoft.com/office/spreadsheetml/2017/richdata2" ref="A2:IY5">
      <sortCondition ref="AW1"/>
    </sortState>
  </autoFilter>
  <conditionalFormatting sqref="H1 CW1:GS1 IA1:IB1">
    <cfRule type="cellIs" dxfId="2882" priority="118" operator="greaterThan">
      <formula>0</formula>
    </cfRule>
  </conditionalFormatting>
  <conditionalFormatting sqref="H1 H7:H1048576">
    <cfRule type="cellIs" dxfId="2881" priority="84" stopIfTrue="1" operator="notEqual">
      <formula>""</formula>
    </cfRule>
  </conditionalFormatting>
  <conditionalFormatting sqref="T1:BK1">
    <cfRule type="cellIs" dxfId="2880" priority="121" operator="greaterThan">
      <formula>0</formula>
    </cfRule>
  </conditionalFormatting>
  <conditionalFormatting sqref="BV1:BW1 BV4:BW1048576">
    <cfRule type="cellIs" dxfId="2879" priority="120" operator="equal">
      <formula>"nc"</formula>
    </cfRule>
  </conditionalFormatting>
  <conditionalFormatting sqref="HF1:HG1">
    <cfRule type="cellIs" dxfId="2878" priority="122" operator="greaterThan">
      <formula>0</formula>
    </cfRule>
  </conditionalFormatting>
  <conditionalFormatting sqref="HK1">
    <cfRule type="cellIs" dxfId="2877" priority="119" operator="greaterThan">
      <formula>0</formula>
    </cfRule>
  </conditionalFormatting>
  <conditionalFormatting sqref="HP1:HX1">
    <cfRule type="cellIs" dxfId="2876" priority="96" operator="equal">
      <formula>"PIN"</formula>
    </cfRule>
    <cfRule type="cellIs" dxfId="2875" priority="97" operator="equal">
      <formula>"ORA"</formula>
    </cfRule>
    <cfRule type="cellIs" dxfId="2874" priority="98" operator="equal">
      <formula>"GRA"</formula>
    </cfRule>
    <cfRule type="cellIs" dxfId="2873" priority="99" operator="equal">
      <formula>"PUR"</formula>
    </cfRule>
    <cfRule type="cellIs" dxfId="2872" priority="100" operator="equal">
      <formula>"BRO"</formula>
    </cfRule>
    <cfRule type="cellIs" dxfId="2871" priority="101" operator="equal">
      <formula>"YEL"</formula>
    </cfRule>
    <cfRule type="cellIs" dxfId="2870" priority="102" operator="equal">
      <formula>"BLU"</formula>
    </cfRule>
    <cfRule type="cellIs" dxfId="2869" priority="103" operator="equal">
      <formula>"WHI"</formula>
    </cfRule>
    <cfRule type="cellIs" dxfId="2868" priority="104" operator="equal">
      <formula>"GRE"</formula>
    </cfRule>
    <cfRule type="cellIs" dxfId="2867" priority="105" operator="equal">
      <formula>"RED"</formula>
    </cfRule>
    <cfRule type="cellIs" dxfId="2866" priority="106" operator="equal">
      <formula>"BLA"</formula>
    </cfRule>
  </conditionalFormatting>
  <conditionalFormatting sqref="IC1:IK1">
    <cfRule type="cellIs" dxfId="2865" priority="107" operator="equal">
      <formula>"PIN"</formula>
    </cfRule>
    <cfRule type="cellIs" dxfId="2864" priority="108" operator="equal">
      <formula>"ORA"</formula>
    </cfRule>
    <cfRule type="cellIs" dxfId="2863" priority="109" operator="equal">
      <formula>"GRA"</formula>
    </cfRule>
    <cfRule type="cellIs" dxfId="2862" priority="110" operator="equal">
      <formula>"PUR"</formula>
    </cfRule>
    <cfRule type="cellIs" dxfId="2861" priority="111" operator="equal">
      <formula>"BRO"</formula>
    </cfRule>
    <cfRule type="cellIs" dxfId="2860" priority="112" operator="equal">
      <formula>"YEL"</formula>
    </cfRule>
    <cfRule type="cellIs" dxfId="2859" priority="113" operator="equal">
      <formula>"BLU"</formula>
    </cfRule>
    <cfRule type="cellIs" dxfId="2858" priority="114" operator="equal">
      <formula>"WHI"</formula>
    </cfRule>
    <cfRule type="cellIs" dxfId="2857" priority="115" operator="equal">
      <formula>"GRE"</formula>
    </cfRule>
    <cfRule type="cellIs" dxfId="2856" priority="116" operator="equal">
      <formula>"RED"</formula>
    </cfRule>
    <cfRule type="cellIs" dxfId="2855" priority="117" operator="equal">
      <formula>"BLA"</formula>
    </cfRule>
  </conditionalFormatting>
  <conditionalFormatting sqref="IO1:IW1">
    <cfRule type="cellIs" dxfId="2854" priority="85" operator="equal">
      <formula>"PIN"</formula>
    </cfRule>
    <cfRule type="cellIs" dxfId="2853" priority="86" operator="equal">
      <formula>"ORA"</formula>
    </cfRule>
    <cfRule type="cellIs" dxfId="2852" priority="87" operator="equal">
      <formula>"GRA"</formula>
    </cfRule>
    <cfRule type="cellIs" dxfId="2851" priority="88" operator="equal">
      <formula>"PUR"</formula>
    </cfRule>
    <cfRule type="cellIs" dxfId="2850" priority="89" operator="equal">
      <formula>"BRO"</formula>
    </cfRule>
    <cfRule type="cellIs" dxfId="2849" priority="90" operator="equal">
      <formula>"YEL"</formula>
    </cfRule>
    <cfRule type="cellIs" dxfId="2848" priority="91" operator="equal">
      <formula>"BLU"</formula>
    </cfRule>
    <cfRule type="cellIs" dxfId="2847" priority="92" operator="equal">
      <formula>"WHI"</formula>
    </cfRule>
    <cfRule type="cellIs" dxfId="2846" priority="93" operator="equal">
      <formula>"GRE"</formula>
    </cfRule>
    <cfRule type="cellIs" dxfId="2845" priority="94" operator="equal">
      <formula>"RED"</formula>
    </cfRule>
    <cfRule type="cellIs" dxfId="2844" priority="95" operator="equal">
      <formula>"BLA"</formula>
    </cfRule>
  </conditionalFormatting>
  <conditionalFormatting sqref="H2">
    <cfRule type="cellIs" dxfId="2843" priority="77" stopIfTrue="1" operator="notEqual">
      <formula>""</formula>
    </cfRule>
  </conditionalFormatting>
  <conditionalFormatting sqref="R2 CU2">
    <cfRule type="cellIs" dxfId="2842" priority="79" operator="greaterThan">
      <formula>0</formula>
    </cfRule>
  </conditionalFormatting>
  <conditionalFormatting sqref="T2:AS2 CH2:CS2">
    <cfRule type="cellIs" dxfId="2841" priority="74" stopIfTrue="1" operator="equal">
      <formula>"n"</formula>
    </cfRule>
    <cfRule type="cellIs" dxfId="2840" priority="75" stopIfTrue="1" operator="equal">
      <formula>"y"</formula>
    </cfRule>
    <cfRule type="cellIs" dxfId="2839" priority="76" operator="greaterThan">
      <formula>0</formula>
    </cfRule>
  </conditionalFormatting>
  <conditionalFormatting sqref="AZ2:BB2">
    <cfRule type="expression" dxfId="2838" priority="61">
      <formula>$AT2=0</formula>
    </cfRule>
  </conditionalFormatting>
  <conditionalFormatting sqref="AZ2:BU2">
    <cfRule type="cellIs" dxfId="2837" priority="62" operator="equal">
      <formula>"PIN"</formula>
    </cfRule>
    <cfRule type="cellIs" dxfId="2836" priority="63" operator="equal">
      <formula>"ORA"</formula>
    </cfRule>
    <cfRule type="cellIs" dxfId="2835" priority="64" operator="equal">
      <formula>"GRA"</formula>
    </cfRule>
    <cfRule type="cellIs" dxfId="2834" priority="65" operator="equal">
      <formula>"PUR"</formula>
    </cfRule>
    <cfRule type="cellIs" dxfId="2833" priority="66" operator="equal">
      <formula>"BRO"</formula>
    </cfRule>
    <cfRule type="cellIs" dxfId="2832" priority="67" operator="equal">
      <formula>"YEL"</formula>
    </cfRule>
    <cfRule type="cellIs" dxfId="2831" priority="68" operator="equal">
      <formula>"BLU"</formula>
    </cfRule>
    <cfRule type="cellIs" dxfId="2830" priority="69" operator="equal">
      <formula>"WHI"</formula>
    </cfRule>
    <cfRule type="cellIs" dxfId="2829" priority="70" operator="equal">
      <formula>"GRE"</formula>
    </cfRule>
    <cfRule type="cellIs" dxfId="2828" priority="71" operator="equal">
      <formula>"RED"</formula>
    </cfRule>
    <cfRule type="cellIs" dxfId="2827" priority="72" operator="equal">
      <formula>"BLA"</formula>
    </cfRule>
  </conditionalFormatting>
  <conditionalFormatting sqref="BV2">
    <cfRule type="cellIs" dxfId="2826" priority="78" operator="equal">
      <formula>"nc"</formula>
    </cfRule>
  </conditionalFormatting>
  <conditionalFormatting sqref="CD2:CF2 BZ2:CA2">
    <cfRule type="cellIs" dxfId="2825" priority="73" operator="greaterThan">
      <formula>0</formula>
    </cfRule>
  </conditionalFormatting>
  <conditionalFormatting sqref="IC2:IK2">
    <cfRule type="expression" dxfId="2824" priority="60">
      <formula>$IL2&gt;0</formula>
    </cfRule>
  </conditionalFormatting>
  <conditionalFormatting sqref="BX2:CA2 CD2:CF2">
    <cfRule type="cellIs" dxfId="2823" priority="48" operator="equal">
      <formula>"y"</formula>
    </cfRule>
    <cfRule type="cellIs" dxfId="2822" priority="49" operator="equal">
      <formula>"PIN"</formula>
    </cfRule>
    <cfRule type="cellIs" dxfId="2821" priority="50" operator="equal">
      <formula>"ORA"</formula>
    </cfRule>
    <cfRule type="cellIs" dxfId="2820" priority="51" operator="equal">
      <formula>"GRA"</formula>
    </cfRule>
    <cfRule type="cellIs" dxfId="2819" priority="52" operator="equal">
      <formula>"PUR"</formula>
    </cfRule>
    <cfRule type="cellIs" dxfId="2818" priority="53" operator="equal">
      <formula>"BRO"</formula>
    </cfRule>
    <cfRule type="cellIs" dxfId="2817" priority="54" operator="equal">
      <formula>"YEL"</formula>
    </cfRule>
    <cfRule type="cellIs" dxfId="2816" priority="55" operator="equal">
      <formula>"BLU"</formula>
    </cfRule>
    <cfRule type="cellIs" dxfId="2815" priority="56" operator="equal">
      <formula>"WHI"</formula>
    </cfRule>
    <cfRule type="cellIs" dxfId="2814" priority="57" operator="equal">
      <formula>"GRE"</formula>
    </cfRule>
    <cfRule type="cellIs" dxfId="2813" priority="58" operator="equal">
      <formula>"RED"</formula>
    </cfRule>
    <cfRule type="cellIs" dxfId="2812" priority="59" operator="equal">
      <formula>"BLA"</formula>
    </cfRule>
  </conditionalFormatting>
  <conditionalFormatting sqref="J2">
    <cfRule type="colorScale" priority="80">
      <colorScale>
        <cfvo type="min"/>
        <cfvo type="percentile" val="50"/>
        <cfvo type="max"/>
        <color rgb="FFF8696B"/>
        <color rgb="FFFFEB84"/>
        <color rgb="FF63BE7B"/>
      </colorScale>
    </cfRule>
  </conditionalFormatting>
  <conditionalFormatting sqref="S2">
    <cfRule type="colorScale" priority="81">
      <colorScale>
        <cfvo type="min"/>
        <cfvo type="max"/>
        <color rgb="FFFCFCFF"/>
        <color rgb="FF754BFB"/>
      </colorScale>
    </cfRule>
  </conditionalFormatting>
  <conditionalFormatting sqref="AT2">
    <cfRule type="colorScale" priority="82">
      <colorScale>
        <cfvo type="min"/>
        <cfvo type="max"/>
        <color rgb="FFFCFCFF"/>
        <color theme="8" tint="0.39997558519241921"/>
      </colorScale>
    </cfRule>
  </conditionalFormatting>
  <conditionalFormatting sqref="CG2">
    <cfRule type="colorScale" priority="83">
      <colorScale>
        <cfvo type="min"/>
        <cfvo type="max"/>
        <color rgb="FFFCFCFF"/>
        <color rgb="FF63BE7B"/>
      </colorScale>
    </cfRule>
  </conditionalFormatting>
  <conditionalFormatting sqref="H3">
    <cfRule type="cellIs" dxfId="2811" priority="40" stopIfTrue="1" operator="notEqual">
      <formula>""</formula>
    </cfRule>
  </conditionalFormatting>
  <conditionalFormatting sqref="R3 CU3">
    <cfRule type="cellIs" dxfId="2810" priority="43" operator="greaterThan">
      <formula>0</formula>
    </cfRule>
  </conditionalFormatting>
  <conditionalFormatting sqref="T3:AS3 CH3:CS3">
    <cfRule type="cellIs" dxfId="2809" priority="37" stopIfTrue="1" operator="equal">
      <formula>"n"</formula>
    </cfRule>
    <cfRule type="cellIs" dxfId="2808" priority="38" stopIfTrue="1" operator="equal">
      <formula>"y"</formula>
    </cfRule>
    <cfRule type="cellIs" dxfId="2807" priority="39" operator="greaterThan">
      <formula>0</formula>
    </cfRule>
  </conditionalFormatting>
  <conditionalFormatting sqref="AZ3:BB3">
    <cfRule type="expression" dxfId="2806" priority="24">
      <formula>$AT3=0</formula>
    </cfRule>
  </conditionalFormatting>
  <conditionalFormatting sqref="CD3:CF3 BX3:CA3 AZ3:BU3">
    <cfRule type="cellIs" dxfId="2805" priority="25" operator="equal">
      <formula>"PIN"</formula>
    </cfRule>
    <cfRule type="cellIs" dxfId="2804" priority="26" operator="equal">
      <formula>"ORA"</formula>
    </cfRule>
    <cfRule type="cellIs" dxfId="2803" priority="27" operator="equal">
      <formula>"GRA"</formula>
    </cfRule>
    <cfRule type="cellIs" dxfId="2802" priority="28" operator="equal">
      <formula>"PUR"</formula>
    </cfRule>
    <cfRule type="cellIs" dxfId="2801" priority="29" operator="equal">
      <formula>"BRO"</formula>
    </cfRule>
    <cfRule type="cellIs" dxfId="2800" priority="30" operator="equal">
      <formula>"YEL"</formula>
    </cfRule>
    <cfRule type="cellIs" dxfId="2799" priority="31" operator="equal">
      <formula>"BLU"</formula>
    </cfRule>
    <cfRule type="cellIs" dxfId="2798" priority="32" operator="equal">
      <formula>"WHI"</formula>
    </cfRule>
    <cfRule type="cellIs" dxfId="2797" priority="33" operator="equal">
      <formula>"GRE"</formula>
    </cfRule>
    <cfRule type="cellIs" dxfId="2796" priority="34" operator="equal">
      <formula>"RED"</formula>
    </cfRule>
    <cfRule type="cellIs" dxfId="2795" priority="35" operator="equal">
      <formula>"BLA"</formula>
    </cfRule>
  </conditionalFormatting>
  <conditionalFormatting sqref="BV3">
    <cfRule type="cellIs" dxfId="2794" priority="42" operator="equal">
      <formula>"nc"</formula>
    </cfRule>
  </conditionalFormatting>
  <conditionalFormatting sqref="CD3:CF3 BX3:CA3">
    <cfRule type="cellIs" dxfId="2793" priority="41" operator="equal">
      <formula>"y"</formula>
    </cfRule>
  </conditionalFormatting>
  <conditionalFormatting sqref="CD3:CF3 BZ3:CA3">
    <cfRule type="cellIs" dxfId="2792" priority="36" operator="greaterThan">
      <formula>0</formula>
    </cfRule>
  </conditionalFormatting>
  <conditionalFormatting sqref="IC3:IK3">
    <cfRule type="expression" dxfId="2791" priority="23">
      <formula>$IL3&gt;0</formula>
    </cfRule>
  </conditionalFormatting>
  <conditionalFormatting sqref="IC3">
    <cfRule type="cellIs" dxfId="2790" priority="17" stopIfTrue="1" operator="greaterThan">
      <formula>0</formula>
    </cfRule>
  </conditionalFormatting>
  <conditionalFormatting sqref="ID3">
    <cfRule type="cellIs" dxfId="2789" priority="15" stopIfTrue="1" operator="greaterThan">
      <formula>0</formula>
    </cfRule>
  </conditionalFormatting>
  <conditionalFormatting sqref="II3 IE3:IF3">
    <cfRule type="cellIs" dxfId="2788" priority="22" operator="greaterThan">
      <formula>0</formula>
    </cfRule>
  </conditionalFormatting>
  <conditionalFormatting sqref="II3 IF3">
    <cfRule type="cellIs" dxfId="2787" priority="16" stopIfTrue="1" operator="greaterThan">
      <formula>0</formula>
    </cfRule>
  </conditionalFormatting>
  <conditionalFormatting sqref="IG3">
    <cfRule type="cellIs" dxfId="2786" priority="21" operator="greaterThan">
      <formula>0</formula>
    </cfRule>
  </conditionalFormatting>
  <conditionalFormatting sqref="IH3:II3">
    <cfRule type="cellIs" dxfId="2785" priority="20" operator="greaterThan">
      <formula>0</formula>
    </cfRule>
  </conditionalFormatting>
  <conditionalFormatting sqref="IJ3">
    <cfRule type="cellIs" dxfId="2784" priority="19" operator="greaterThan">
      <formula>0</formula>
    </cfRule>
  </conditionalFormatting>
  <conditionalFormatting sqref="IK3">
    <cfRule type="cellIs" dxfId="2783" priority="18" operator="greaterThan">
      <formula>0</formula>
    </cfRule>
  </conditionalFormatting>
  <conditionalFormatting sqref="IF3">
    <cfRule type="cellIs" dxfId="2782" priority="14" stopIfTrue="1" operator="greaterThan">
      <formula>0</formula>
    </cfRule>
  </conditionalFormatting>
  <conditionalFormatting sqref="IM3">
    <cfRule type="cellIs" dxfId="2781" priority="13" operator="equal">
      <formula>0</formula>
    </cfRule>
  </conditionalFormatting>
  <conditionalFormatting sqref="BX3:CA3 CD3:CF3">
    <cfRule type="cellIs" dxfId="2780" priority="1" operator="equal">
      <formula>"y"</formula>
    </cfRule>
    <cfRule type="cellIs" dxfId="2779" priority="2" operator="equal">
      <formula>"PIN"</formula>
    </cfRule>
    <cfRule type="cellIs" dxfId="2778" priority="3" operator="equal">
      <formula>"ORA"</formula>
    </cfRule>
    <cfRule type="cellIs" dxfId="2777" priority="4" operator="equal">
      <formula>"GRA"</formula>
    </cfRule>
    <cfRule type="cellIs" dxfId="2776" priority="5" operator="equal">
      <formula>"PUR"</formula>
    </cfRule>
    <cfRule type="cellIs" dxfId="2775" priority="6" operator="equal">
      <formula>"BRO"</formula>
    </cfRule>
    <cfRule type="cellIs" dxfId="2774" priority="7" operator="equal">
      <formula>"YEL"</formula>
    </cfRule>
    <cfRule type="cellIs" dxfId="2773" priority="8" operator="equal">
      <formula>"BLU"</formula>
    </cfRule>
    <cfRule type="cellIs" dxfId="2772" priority="9" operator="equal">
      <formula>"WHI"</formula>
    </cfRule>
    <cfRule type="cellIs" dxfId="2771" priority="10" operator="equal">
      <formula>"GRE"</formula>
    </cfRule>
    <cfRule type="cellIs" dxfId="2770" priority="11" operator="equal">
      <formula>"RED"</formula>
    </cfRule>
    <cfRule type="cellIs" dxfId="2769" priority="12" operator="equal">
      <formula>"BLA"</formula>
    </cfRule>
  </conditionalFormatting>
  <conditionalFormatting sqref="AT3">
    <cfRule type="colorScale" priority="44">
      <colorScale>
        <cfvo type="min"/>
        <cfvo type="max"/>
        <color rgb="FFFCFCFF"/>
        <color theme="8" tint="0.39997558519241921"/>
      </colorScale>
    </cfRule>
  </conditionalFormatting>
  <conditionalFormatting sqref="S3">
    <cfRule type="colorScale" priority="45">
      <colorScale>
        <cfvo type="min"/>
        <cfvo type="max"/>
        <color rgb="FFFCFCFF"/>
        <color rgb="FF754BFB"/>
      </colorScale>
    </cfRule>
  </conditionalFormatting>
  <conditionalFormatting sqref="J3">
    <cfRule type="colorScale" priority="46">
      <colorScale>
        <cfvo type="min"/>
        <cfvo type="percentile" val="50"/>
        <cfvo type="max"/>
        <color rgb="FFF8696B"/>
        <color rgb="FFFFEB84"/>
        <color rgb="FF63BE7B"/>
      </colorScale>
    </cfRule>
  </conditionalFormatting>
  <conditionalFormatting sqref="CG3">
    <cfRule type="colorScale" priority="47">
      <colorScale>
        <cfvo type="min"/>
        <cfvo type="max"/>
        <color rgb="FFFCFCFF"/>
        <color rgb="FF63BE7B"/>
      </colorScale>
    </cfRule>
  </conditionalFormatting>
  <hyperlinks>
    <hyperlink ref="A2" r:id="rId1" display="https://fbref.com/en/country/MAR/Morocco-Football" xr:uid="{63B9618F-23AE-4420-8DF8-FCA7FEF34F9C}"/>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9393" r:id="rId5"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59394" r:id="rId6"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59395" r:id="rId7"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84D161-C0D7-481D-B9E3-294A3562C845}">
  <sheetPr codeName="Sheet20"/>
  <dimension ref="A1:IY6"/>
  <sheetViews>
    <sheetView zoomScale="70" zoomScaleNormal="70" workbookViewId="0">
      <pane xSplit="5" ySplit="1" topLeftCell="F2" activePane="bottomRight" state="frozen"/>
      <selection pane="topRight" activeCell="F1" sqref="F1"/>
      <selection pane="bottomLeft" activeCell="A2" sqref="A2"/>
      <selection pane="bottomRight" activeCell="I12" sqref="I12"/>
    </sheetView>
  </sheetViews>
  <sheetFormatPr defaultRowHeight="38.4" customHeight="1" x14ac:dyDescent="0.3"/>
  <cols>
    <col min="1" max="1" width="52.44140625" style="81" bestFit="1" customWidth="1"/>
    <col min="2" max="2" width="10.109375" style="81" customWidth="1"/>
    <col min="3" max="3" width="7.44140625" style="82" customWidth="1"/>
    <col min="4" max="4" width="4.77734375" style="83" customWidth="1"/>
    <col min="5" max="5" width="4.5546875" style="83" customWidth="1"/>
    <col min="6" max="6" width="5.77734375" style="83" customWidth="1"/>
    <col min="7" max="7" width="7.44140625" style="81" customWidth="1"/>
    <col min="8" max="8" width="11.44140625" style="81" customWidth="1"/>
    <col min="9" max="9" width="10" style="81" customWidth="1"/>
    <col min="10" max="10" width="4.21875" style="81" customWidth="1"/>
    <col min="11" max="11" width="5.6640625" style="83" customWidth="1"/>
    <col min="12" max="12" width="2.88671875" style="83" customWidth="1"/>
    <col min="13" max="13" width="6.44140625" style="83" customWidth="1"/>
    <col min="14" max="14" width="4.5546875" style="83" customWidth="1"/>
    <col min="15" max="15" width="10.5546875" style="84" customWidth="1"/>
    <col min="16" max="16" width="6.88671875" style="83" customWidth="1"/>
    <col min="17" max="17" width="4.77734375" style="83" customWidth="1"/>
    <col min="18" max="18" width="13.109375" style="82" customWidth="1"/>
    <col min="19" max="19" width="6.77734375" style="82" customWidth="1"/>
    <col min="20" max="46" width="8.44140625" style="81" customWidth="1"/>
    <col min="47" max="47" width="24.5546875" style="81" customWidth="1"/>
    <col min="48" max="51" width="16.6640625" style="81" customWidth="1"/>
    <col min="52" max="52" width="6.5546875" style="81" customWidth="1"/>
    <col min="53" max="54" width="5.88671875" style="81" customWidth="1"/>
    <col min="55" max="55" width="1.33203125" style="81" customWidth="1"/>
    <col min="56" max="56" width="7.44140625" style="81" customWidth="1"/>
    <col min="57" max="57" width="2.33203125" style="81" customWidth="1"/>
    <col min="58" max="62" width="6.109375" style="81" customWidth="1"/>
    <col min="63" max="63" width="2.33203125" style="81" customWidth="1"/>
    <col min="64" max="64" width="7" style="81" bestFit="1" customWidth="1"/>
    <col min="65" max="65" width="6.44140625" style="81" bestFit="1" customWidth="1"/>
    <col min="66" max="66" width="7.109375" style="81" bestFit="1" customWidth="1"/>
    <col min="67" max="71" width="6.44140625" style="81" bestFit="1" customWidth="1"/>
    <col min="72" max="73" width="6.44140625" style="81" customWidth="1"/>
    <col min="74" max="75" width="13.44140625" style="81" customWidth="1"/>
    <col min="76" max="84" width="14.6640625" style="81" customWidth="1"/>
    <col min="85" max="85" width="6.44140625" style="81" customWidth="1"/>
    <col min="86" max="87" width="11.6640625" style="81" bestFit="1" customWidth="1"/>
    <col min="88" max="88" width="11.6640625" style="81" customWidth="1"/>
    <col min="89" max="89" width="12.77734375" style="81" bestFit="1" customWidth="1"/>
    <col min="90" max="90" width="16.44140625" style="82" bestFit="1" customWidth="1"/>
    <col min="91" max="92" width="14.88671875" style="82" bestFit="1" customWidth="1"/>
    <col min="93" max="93" width="16" style="82" bestFit="1" customWidth="1"/>
    <col min="94" max="97" width="7.77734375" style="81" customWidth="1"/>
    <col min="98" max="98" width="33.21875" style="81" customWidth="1"/>
    <col min="99" max="99" width="18" style="81" customWidth="1"/>
    <col min="100" max="100" width="75.6640625" style="81" customWidth="1"/>
    <col min="101" max="125" width="33" style="81" customWidth="1"/>
    <col min="126" max="126" width="8.88671875" style="81"/>
    <col min="127" max="128" width="9.44140625" style="81" bestFit="1" customWidth="1"/>
    <col min="129" max="129" width="10.77734375" style="81" bestFit="1" customWidth="1"/>
    <col min="130" max="134" width="10.77734375" style="81" customWidth="1"/>
    <col min="135" max="135" width="10.109375" style="81" bestFit="1" customWidth="1"/>
    <col min="136" max="136" width="7.77734375" style="81" bestFit="1" customWidth="1"/>
    <col min="137" max="137" width="7.77734375" style="81" customWidth="1"/>
    <col min="138" max="138" width="9" style="81" bestFit="1" customWidth="1"/>
    <col min="139" max="139" width="11.33203125" style="81" bestFit="1" customWidth="1"/>
    <col min="140" max="140" width="9.109375" style="81" bestFit="1" customWidth="1"/>
    <col min="141" max="141" width="9" style="81" bestFit="1" customWidth="1"/>
    <col min="142" max="142" width="12" style="81" bestFit="1" customWidth="1"/>
    <col min="143" max="166" width="12" style="81" customWidth="1"/>
    <col min="167" max="167" width="17.21875" style="81" customWidth="1"/>
    <col min="168" max="191" width="12" style="81" customWidth="1"/>
    <col min="192" max="192" width="8.5546875" style="81" bestFit="1" customWidth="1"/>
    <col min="193" max="193" width="8.5546875" style="81" customWidth="1"/>
    <col min="194" max="194" width="7.109375" style="81" bestFit="1" customWidth="1"/>
    <col min="195" max="195" width="7.5546875" style="81" bestFit="1" customWidth="1"/>
    <col min="196" max="196" width="8.5546875" style="81" bestFit="1" customWidth="1"/>
    <col min="197" max="200" width="8.5546875" style="81" customWidth="1"/>
    <col min="201" max="201" width="188.88671875" style="81" customWidth="1"/>
    <col min="202" max="202" width="9.5546875" style="81" bestFit="1" customWidth="1"/>
    <col min="203" max="203" width="10.44140625" style="81" bestFit="1" customWidth="1"/>
    <col min="204" max="204" width="11.109375" style="81" bestFit="1" customWidth="1"/>
    <col min="205" max="205" width="10.44140625" style="81" bestFit="1" customWidth="1"/>
    <col min="206" max="210" width="10.44140625" style="81" customWidth="1"/>
    <col min="211" max="211" width="45.44140625" style="81" customWidth="1"/>
    <col min="212" max="212" width="47.5546875" style="81" bestFit="1" customWidth="1"/>
    <col min="213" max="213" width="9.33203125" style="85" customWidth="1"/>
    <col min="214" max="214" width="119.5546875" style="81" customWidth="1"/>
    <col min="215" max="215" width="69.6640625" style="81" customWidth="1"/>
    <col min="216" max="218" width="8.88671875" style="81"/>
    <col min="219" max="219" width="37.109375" style="81" customWidth="1"/>
    <col min="220" max="220" width="16.33203125" style="81" customWidth="1"/>
    <col min="221" max="222" width="8.88671875" style="81"/>
    <col min="223" max="223" width="10.109375" style="81" bestFit="1" customWidth="1"/>
    <col min="224" max="232" width="10.88671875" style="81" customWidth="1"/>
    <col min="233" max="234" width="30.77734375" style="81" customWidth="1"/>
    <col min="235" max="235" width="5.109375" style="81" customWidth="1"/>
    <col min="236" max="236" width="3" style="81" customWidth="1"/>
    <col min="237" max="245" width="6.77734375" style="86" customWidth="1"/>
    <col min="246" max="247" width="8.88671875" style="81"/>
    <col min="248" max="248" width="61.5546875" style="81" customWidth="1"/>
    <col min="249" max="253" width="8.88671875" style="81"/>
    <col min="254" max="254" width="9" style="81" customWidth="1"/>
    <col min="255" max="16384" width="8.88671875" style="8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1033</v>
      </c>
      <c r="B2" s="40" t="e" vm="81">
        <v>#VALUE!</v>
      </c>
      <c r="C2" s="41">
        <v>1</v>
      </c>
      <c r="D2" s="42" t="s">
        <v>1034</v>
      </c>
      <c r="E2" s="43" t="s">
        <v>1035</v>
      </c>
      <c r="F2" s="44" t="s">
        <v>163</v>
      </c>
      <c r="G2" s="45">
        <f>COUNTIF($A$1:$A$8338,A2)</f>
        <v>1</v>
      </c>
      <c r="H2" s="46"/>
      <c r="I2" s="47" t="s">
        <v>1031</v>
      </c>
      <c r="J2" s="48" t="str">
        <f>""</f>
        <v/>
      </c>
      <c r="K2" s="49">
        <v>33897354</v>
      </c>
      <c r="L2" s="50">
        <v>832000</v>
      </c>
      <c r="M2" s="50" t="s">
        <v>1039</v>
      </c>
      <c r="N2" s="51" t="s">
        <v>180</v>
      </c>
      <c r="O2" s="52" t="s">
        <v>1036</v>
      </c>
      <c r="P2" s="53" t="s">
        <v>1037</v>
      </c>
      <c r="Q2" s="54">
        <v>1</v>
      </c>
      <c r="R2" s="55" t="s">
        <v>180</v>
      </c>
      <c r="S2" s="56">
        <v>5</v>
      </c>
      <c r="T2" s="57" t="s">
        <v>167</v>
      </c>
      <c r="U2" s="58" t="s">
        <v>164</v>
      </c>
      <c r="V2" s="58" t="s">
        <v>167</v>
      </c>
      <c r="W2" s="58" t="s">
        <v>164</v>
      </c>
      <c r="X2" s="58" t="s">
        <v>164</v>
      </c>
      <c r="Y2" s="58" t="s">
        <v>164</v>
      </c>
      <c r="Z2" s="58" t="s">
        <v>164</v>
      </c>
      <c r="AA2" s="58" t="s">
        <v>164</v>
      </c>
      <c r="AB2" s="58" t="s">
        <v>164</v>
      </c>
      <c r="AC2" s="58" t="s">
        <v>167</v>
      </c>
      <c r="AD2" s="58" t="s">
        <v>164</v>
      </c>
      <c r="AE2" s="58" t="s">
        <v>164</v>
      </c>
      <c r="AF2" s="59" t="s">
        <v>167</v>
      </c>
      <c r="AG2" s="59" t="s">
        <v>167</v>
      </c>
      <c r="AH2" s="59" t="s">
        <v>164</v>
      </c>
      <c r="AI2" s="59" t="s">
        <v>164</v>
      </c>
      <c r="AJ2" s="59" t="s">
        <v>164</v>
      </c>
      <c r="AK2" s="59" t="s">
        <v>164</v>
      </c>
      <c r="AL2" s="59" t="s">
        <v>164</v>
      </c>
      <c r="AM2" s="59" t="s">
        <v>164</v>
      </c>
      <c r="AN2" s="59" t="s">
        <v>164</v>
      </c>
      <c r="AO2" s="59" t="s">
        <v>164</v>
      </c>
      <c r="AP2" s="59" t="s">
        <v>164</v>
      </c>
      <c r="AQ2" s="59" t="s">
        <v>164</v>
      </c>
      <c r="AR2" s="59" t="s">
        <v>164</v>
      </c>
      <c r="AS2" s="59" t="s">
        <v>164</v>
      </c>
      <c r="AT2" s="60">
        <v>1</v>
      </c>
      <c r="AU2" s="59"/>
      <c r="AV2" s="59" t="str">
        <f>IF(LEFT(A2,1)="[",LEFT(A2,5)&amp;AU2&amp;A2,"")</f>
        <v/>
      </c>
      <c r="AW2" s="59" t="str">
        <f t="shared" ref="AW2" si="0">C2&amp;H2&amp;A2</f>
        <v>1Mozambique</v>
      </c>
      <c r="AX2" s="61" t="str">
        <f>_xlfn.TEXTJOIN(";",TRUE,AU2:AW2)</f>
        <v>1Mozambique</v>
      </c>
      <c r="AY2" s="61"/>
      <c r="AZ2" s="62" t="s">
        <v>155</v>
      </c>
      <c r="BA2" s="62"/>
      <c r="BB2" s="62"/>
      <c r="BC2" s="63"/>
      <c r="BD2" s="64" t="s">
        <v>151</v>
      </c>
      <c r="BE2" s="47"/>
      <c r="BF2" s="64" t="s">
        <v>153</v>
      </c>
      <c r="BG2" s="64" t="s">
        <v>151</v>
      </c>
      <c r="BH2" s="64" t="s">
        <v>155</v>
      </c>
      <c r="BI2" s="64" t="s">
        <v>159</v>
      </c>
      <c r="BJ2" s="64"/>
      <c r="BK2" s="47"/>
      <c r="BL2" s="64" t="s">
        <v>155</v>
      </c>
      <c r="BM2" s="64" t="s">
        <v>153</v>
      </c>
      <c r="BN2" s="64" t="s">
        <v>151</v>
      </c>
      <c r="BO2" s="64" t="s">
        <v>154</v>
      </c>
      <c r="BP2" s="64" t="s">
        <v>159</v>
      </c>
      <c r="BQ2" s="64"/>
      <c r="BR2" s="64"/>
      <c r="BS2" s="64"/>
      <c r="BT2" s="64"/>
      <c r="BU2" s="65"/>
      <c r="BV2" s="66" t="s">
        <v>164</v>
      </c>
      <c r="BW2" s="66" t="s">
        <v>166</v>
      </c>
      <c r="BX2" s="47"/>
      <c r="BY2" s="48" t="s">
        <v>164</v>
      </c>
      <c r="CB2" s="6" t="s">
        <v>139</v>
      </c>
      <c r="CC2" s="6"/>
      <c r="CD2" s="67">
        <v>0</v>
      </c>
      <c r="CE2" s="67">
        <v>0</v>
      </c>
      <c r="CF2" s="67" t="e">
        <v>#REF!</v>
      </c>
      <c r="CG2" s="68" cm="1">
        <f t="array" ref="CG2">SUMPRODUCT(--(LEN(TRIM(BL2:BT2))&gt;0))</f>
        <v>5</v>
      </c>
      <c r="CH2" s="59" t="str">
        <f>IF(CG2=2,"y","n")</f>
        <v>n</v>
      </c>
      <c r="CI2" s="59" t="str">
        <f>IF(CG2=3,"y","n")</f>
        <v>n</v>
      </c>
      <c r="CJ2" s="59" t="str">
        <f>IF(CG2=4,"y","n")</f>
        <v>n</v>
      </c>
      <c r="CK2" s="59" t="str">
        <f>IF(CG2&gt;4,"y","n")</f>
        <v>y</v>
      </c>
      <c r="CL2" s="59" t="str">
        <f>IF(S2=0,"y","n")</f>
        <v>n</v>
      </c>
      <c r="CM2" s="59" t="str">
        <f>IF(S2=2,"y","n")</f>
        <v>n</v>
      </c>
      <c r="CN2" s="59" t="str">
        <f>IF(S2=3,"y","n")</f>
        <v>n</v>
      </c>
      <c r="CO2" s="59" t="str">
        <f>IF(S2&gt;=4,"y","n")</f>
        <v>y</v>
      </c>
      <c r="CP2" s="59" t="str">
        <f>IF(AT2=0,"y","n")</f>
        <v>n</v>
      </c>
      <c r="CQ2" s="59" t="str">
        <f>IF(AT2=1,"y","n")</f>
        <v>y</v>
      </c>
      <c r="CR2" s="59" t="str">
        <f>IF(AT2=2,"y","n")</f>
        <v>n</v>
      </c>
      <c r="CS2" s="59" t="str">
        <f>IF(AT2&gt;=3,"y","n")</f>
        <v>n</v>
      </c>
      <c r="CT2" s="69" t="str">
        <f>CHAR(34)&amp;A2&amp;CHAR(34)</f>
        <v>"Mozambique"</v>
      </c>
      <c r="CU2" s="70" t="str">
        <f>CHAR(34)&amp;"rgn_"&amp;R2&amp;CHAR(34)</f>
        <v>"rgn_Africa"</v>
      </c>
      <c r="CV2" s="48" t="str">
        <f>CHAR(34)&amp;D2&amp;CHAR(34)</f>
        <v>"https://i.ibb.co/CHx2Jxm/Mozambique-Flag.png"</v>
      </c>
      <c r="CW2" s="48" t="str">
        <f>IF(CH2="y",CHAR(34)&amp;CH$1&amp;CHAR(34)&amp;",","")</f>
        <v/>
      </c>
      <c r="CX2" s="48" t="str">
        <f>IF(CI2="y",CHAR(34)&amp;CI$1&amp;CHAR(34)&amp;",","")</f>
        <v/>
      </c>
      <c r="CY2" s="48" t="str">
        <f>IF(CJ2="y",CHAR(34)&amp;CJ$1&amp;CHAR(34)&amp;",","")</f>
        <v/>
      </c>
      <c r="CZ2" s="48" t="str">
        <f>IF(CK2="y",CHAR(34)&amp;CK$1&amp;CHAR(34)&amp;",","")</f>
        <v>"5+Colo",</v>
      </c>
      <c r="DA2" s="48" t="str">
        <f>IF(Q2&gt;1,CHAR(34)&amp;"words2"&amp;CHAR(34)&amp;",","")</f>
        <v/>
      </c>
      <c r="DB2" s="48" t="str">
        <f>IF(Q2&gt;2,CHAR(34)&amp;"words3"&amp;CHAR(34)&amp;",","")</f>
        <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"lets10",</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"startM",</v>
      </c>
      <c r="DF2" s="48" t="str">
        <f>IFERROR(IF(SEARCH("tan",A2)&gt;0,CHAR(34)&amp;"withtn"&amp;CHAR(34)&amp;",",""),"")</f>
        <v/>
      </c>
      <c r="DG2" s="48" t="str">
        <f>IFERROR(IF(SEARCH("q",A2)&gt;0,CHAR(34)&amp;"with_q"&amp;CHAR(34)&amp;",",""),"")</f>
        <v>"with_q",</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"with_z",</v>
      </c>
      <c r="DL2" s="48" t="str">
        <f>IF(CG2=2, CHAR(34) &amp; _xlfn.TEXTJOIN("", TRUE, _xlfn._xlws.SORT(HP2:HX2)) &amp; CHAR(34) &amp; ",", "")</f>
        <v/>
      </c>
      <c r="DM2" s="48" t="str" cm="1">
        <f t="array" ref="DM2">IF(CG2=3,CHAR(34) &amp; _xlfn.TEXTJOIN("", TRUE, RIGHT(HP2:HX2, 2)) &amp; CHAR(34) &amp; ",", "")</f>
        <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
      </c>
      <c r="DS2" s="6" t="str">
        <f>IF(W2="y",IF(AND(V2="n",BY2&lt;&gt;"y"),CHAR(34)&amp;"allver"&amp;CHAR(34)&amp;",",""),"")</f>
        <v/>
      </c>
      <c r="DT2" s="6" t="str">
        <f>IF(V2="y",IF(AND(W2="n",BY2&lt;&gt;"y"),CHAR(34)&amp;"allhor"&amp;CHAR(34)&amp;",",""),"")</f>
        <v>"allhor",</v>
      </c>
      <c r="DU2" s="6" t="str">
        <f>IF(BY2="y",IF(AND(W2="n",V2="n"),CHAR(34)&amp;"alldia"&amp;CHAR(34)&amp;",",""),"")</f>
        <v/>
      </c>
      <c r="DV2" s="48" t="str">
        <f>IF(IA2&lt;&gt;"",(IF(IA2="y",CHAR(34)&amp;"largec"&amp;CHAR(34)&amp;",",CHAR(34)&amp;"smallc"&amp;CHAR(34)&amp;",")),"")</f>
        <v/>
      </c>
      <c r="DW2" s="48" t="str">
        <f>IF(CL2="y",CHAR(34)&amp;CL$1&amp;CHAR(34)&amp;",","")</f>
        <v/>
      </c>
      <c r="DX2" s="48" t="str">
        <f>IF(CM2="y",CHAR(34)&amp;CM$1&amp;CHAR(34)&amp;",","")</f>
        <v/>
      </c>
      <c r="DY2" s="48" t="str">
        <f>IF(CN2="y",CHAR(34)&amp;CN$1&amp;CHAR(34)&amp;",","")</f>
        <v/>
      </c>
      <c r="DZ2" s="48" t="str">
        <f>IF(CO2="y",CHAR(34)&amp;CO$1&amp;CHAR(34)&amp;",","")</f>
        <v>"4+Band",</v>
      </c>
      <c r="EA2" s="48" t="str">
        <f>IF(T2="y",CHAR(34)&amp;T$1&amp;CHAR(34)&amp;",","")</f>
        <v>"Diagon",</v>
      </c>
      <c r="EB2" s="48" t="str">
        <f>IF(U2="y",CHAR(34)&amp;U$1&amp;CHAR(34)&amp;",","")</f>
        <v/>
      </c>
      <c r="EC2" s="48" t="str">
        <f>IF(V2="y",CHAR(34)&amp;V$1&amp;CHAR(34)&amp;",","")</f>
        <v>"Horizo",</v>
      </c>
      <c r="ED2" s="48" t="str">
        <f>IF(W2="y",CHAR(34)&amp;W$1&amp;CHAR(34)&amp;",","")</f>
        <v/>
      </c>
      <c r="EE2" s="48" t="str">
        <f>IF(X2="y",CHAR(34)&amp;X$1&amp;CHAR(34)&amp;",","")</f>
        <v/>
      </c>
      <c r="EF2" s="48" t="str">
        <f>IF(AND(Y2&lt;&gt;"n",Y2&lt;&gt;""),CHAR(34)&amp;Y$1&amp;CHAR(34)&amp;",","")</f>
        <v/>
      </c>
      <c r="EG2" s="48" t="str">
        <f>IF(Z2="y",CHAR(34)&amp;Z$1&amp;CHAR(34)&amp;",","")</f>
        <v/>
      </c>
      <c r="EH2" s="48" t="str">
        <f>IF(AA2="y",CHAR(34)&amp;AA$1&amp;CHAR(34)&amp;",","")</f>
        <v/>
      </c>
      <c r="EI2" s="48" t="str">
        <f>IF(AB2="y",CHAR(34)&amp;AB$1&amp;CHAR(34)&amp;",","")</f>
        <v/>
      </c>
      <c r="EJ2" s="48" t="str">
        <f>IF(AC2="y",CHAR(34)&amp;AC$1&amp;CHAR(34)&amp;",","")</f>
        <v>"Weapon",</v>
      </c>
      <c r="EK2" s="48" t="str">
        <f>IF(AD2="y",CHAR(34)&amp;AD$1&amp;CHAR(34)&amp;",","")</f>
        <v/>
      </c>
      <c r="EL2" s="48" t="str">
        <f>IF(AE2="y",CHAR(34)&amp;AE$1&amp;CHAR(34)&amp;",","")</f>
        <v/>
      </c>
      <c r="EM2" s="48" t="str">
        <f>IF(AF2="y",CHAR(34)&amp;AF$1&amp;CHAR(34)&amp;",","")</f>
        <v>"Trside",</v>
      </c>
      <c r="EN2" s="48" t="str">
        <f>IF(AG2="y",CHAR(34)&amp;AG$1&amp;CHAR(34)&amp;",","")</f>
        <v>"Unequa",</v>
      </c>
      <c r="EO2" s="48" t="str">
        <f>IF(AH2="y",CHAR(34)&amp;AH$1&amp;CHAR(34)&amp;",","")</f>
        <v/>
      </c>
      <c r="EP2" s="48" t="str">
        <f>IF(AI2="y",CHAR(34)&amp;AI$1&amp;CHAR(34)&amp;",","")</f>
        <v/>
      </c>
      <c r="EQ2" s="48" t="str">
        <f>IF(AJ2="y",CHAR(34)&amp;AJ$1&amp;CHAR(34)&amp;",","")</f>
        <v/>
      </c>
      <c r="ER2" s="48" t="str">
        <f>IF(AK2="y",CHAR(34)&amp;AK$1&amp;CHAR(34)&amp;",","")</f>
        <v/>
      </c>
      <c r="ES2" s="48" t="str">
        <f>IF(AL2="y",CHAR(34)&amp;AL$1&amp;CHAR(34)&amp;",","")</f>
        <v/>
      </c>
      <c r="ET2" s="48" t="str">
        <f>IF(AM2="y",CHAR(34)&amp;AM$1&amp;CHAR(34)&amp;",","")</f>
        <v/>
      </c>
      <c r="EU2" s="48" t="str">
        <f>IF(AN2="y",CHAR(34)&amp;AN$1&amp;CHAR(34)&amp;",","")</f>
        <v/>
      </c>
      <c r="EV2" s="48" t="str">
        <f>IF(AO2="y",CHAR(34)&amp;AO$1&amp;CHAR(34)&amp;",","")</f>
        <v/>
      </c>
      <c r="EW2" s="48" t="str">
        <f>IF(AP2="y",CHAR(34)&amp;AP$1&amp;CHAR(34)&amp;",","")</f>
        <v/>
      </c>
      <c r="EX2" s="48" t="str">
        <f>IF(AQ2="y",CHAR(34)&amp;AQ$1&amp;CHAR(34)&amp;",","")</f>
        <v/>
      </c>
      <c r="EY2" s="48" t="str">
        <f>IF(AR2="y",CHAR(34)&amp;AR$1&amp;CHAR(34)&amp;",","")</f>
        <v/>
      </c>
      <c r="EZ2" s="48" t="str">
        <f>IF(AS2="y",CHAR(34)&amp;AS$1&amp;CHAR(34)&amp;",","")</f>
        <v/>
      </c>
      <c r="FA2" s="48" t="str">
        <f>IF(AT2&gt;0,CHAR(34)&amp;"sta"&amp;AZ2&amp;CHAR(34)&amp;",","")</f>
        <v>"staYEL",</v>
      </c>
      <c r="FB2" s="48" t="str">
        <f>IF(AND(AT2&gt;0,BA2&lt;&gt;""),CHAR(34)&amp;"sta"&amp;BA2&amp;CHAR(34)&amp;",","")</f>
        <v/>
      </c>
      <c r="FC2" s="48" t="str">
        <f>IF(AND(AT2&gt;0,BB2&lt;&gt;""),CHAR(34)&amp;"sta"&amp;BB2&amp;CHAR(34)&amp;",","")</f>
        <v/>
      </c>
      <c r="FD2" s="48" t="str">
        <f>IF(BV2="n",CHAR(34)&amp;"tcWHYE"&amp;CHAR(34)&amp;",",IF(BV2="y",CHAR(34)&amp;FD$1&amp;CHAR(34)&amp;",",""))</f>
        <v>"tcWHYE",</v>
      </c>
      <c r="FE2" s="48" t="str">
        <f>IF(COUNTIF(BL2:BT2,"BLU")=0,CHAR(34)&amp;"NO_BLU"&amp;CHAR(34)&amp;",", "")</f>
        <v>"NO_BLU",</v>
      </c>
      <c r="FF2" s="48" t="str">
        <f>IF(COUNTIF(BL2:BT2,"WHI")=0,CHAR(34)&amp;"NO_WHI"&amp;CHAR(34)&amp;",", "")</f>
        <v/>
      </c>
      <c r="FG2" s="48" t="str">
        <f>IF(COUNTIF(BL2:BT2,"RED")=0,CHAR(34)&amp;"NO_RED"&amp;CHAR(34)&amp;",", "")</f>
        <v/>
      </c>
      <c r="FH2" s="48" t="str">
        <f>IF(COUNTIF(BL2:BS2,"GRE")=0,CHAR(34)&amp;"NO_GRE"&amp;CHAR(34)&amp;",", "")</f>
        <v/>
      </c>
      <c r="FI2" s="48" t="str">
        <f>IF(COUNTIF(BL2:BT2,"YEL")=0,CHAR(34)&amp;"NO_YEL"&amp;CHAR(34)&amp;",", "")</f>
        <v/>
      </c>
      <c r="FJ2" s="48" t="str">
        <f>IF(COUNTIF(BL2:BT2,"BLA")=0,CHAR(34)&amp;"NO_BLA"&amp;CHAR(34)&amp;",", "")</f>
        <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
      </c>
      <c r="FP2" s="48" t="str">
        <f>IF(AND(FF2&lt;&gt;"",FF2&lt;&gt;""),CHAR(34)&amp;"WHRENO"&amp;CHAR(34)&amp;",","")</f>
        <v/>
      </c>
      <c r="FQ2" s="48" t="str">
        <f>IF(LEN(BF2)=3,CHAR(34)&amp;"001"&amp;BF2&amp;CHAR(34)&amp;",","")</f>
        <v>"001GRE",</v>
      </c>
      <c r="FR2" s="48" t="str">
        <f>IF(LEN(BG2)=3,CHAR(34)&amp;"002"&amp;BG2&amp;CHAR(34)&amp;",","")</f>
        <v>"002BLA",</v>
      </c>
      <c r="FS2" s="48" t="str">
        <f>IF(LEN(BH2)=3,CHAR(34)&amp;"003"&amp;BH2&amp;CHAR(34)&amp;",","")</f>
        <v>"003YEL",</v>
      </c>
      <c r="FT2" s="48" t="str">
        <f>CHAR(34)&amp;"myr"&amp;BD2&amp;CHAR(34)&amp;","</f>
        <v>"myrBLA",</v>
      </c>
      <c r="FU2" s="48" t="str">
        <f>IF(AY2="y",CHAR(34)&amp;"island"&amp;CHAR(34)&amp;",","")</f>
        <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
      </c>
      <c r="GA2" s="48" t="str">
        <f>IFERROR(IF(SEARCH("French",CB2)&gt;0,CHAR(34)&amp;"french"&amp;CHAR(34)&amp;",",""),"")</f>
        <v/>
      </c>
      <c r="GB2" s="48" t="str">
        <f>IFERROR(IF(SEARCH("Spanish",CB2)&gt;0,CHAR(34)&amp;"spanis"&amp;CHAR(34)&amp;",",""),"")</f>
        <v/>
      </c>
      <c r="GC2" s="48" t="str">
        <f>IFERROR(IF(SEARCH("Portuguese",CB2)&gt;0,CHAR(34)&amp;"portug"&amp;CHAR(34)&amp;",",""),"")</f>
        <v>"portug",</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
      </c>
      <c r="GK2" s="48" t="str">
        <f>IF(GJ2="",CHAR(34)&amp;"HasSta"&amp;CHAR(34)&amp;",","")</f>
        <v>"HasSta",</v>
      </c>
      <c r="GL2" s="48" t="str">
        <f>IF(CQ2="y",CHAR(34)&amp;CQ$1&amp;CHAR(34)&amp;",","")</f>
        <v>"1Stars",</v>
      </c>
      <c r="GM2" s="48" t="str">
        <f>IF(CR2="y",CHAR(34)&amp;CR$1&amp;CHAR(34)&amp;",","")</f>
        <v/>
      </c>
      <c r="GN2" s="48" t="str">
        <f>IF(CS2="y",CHAR(34)&amp;CS$1&amp;CHAR(34)&amp;",","")</f>
        <v/>
      </c>
      <c r="GP2" s="48" t="str">
        <f>CHAR(34)&amp;AU2&amp;CHAR(34)</f>
        <v>""</v>
      </c>
      <c r="GS2" s="48" t="str">
        <f>SUBSTITUTE("["&amp;_xlfn.CONCAT(CW2:GN2)&amp;"]",",]","]")</f>
        <v>["5+Colo","lets10","startM","with_q","with_z","year19","allhor","4+Band","Diagon","Horizo","Weapon","Trside","Unequa","staYEL","tcWHYE","NO_BLU","001GRE","002BLA","003YEL","myrBLA","portug","HasSta","1Stars"]</v>
      </c>
      <c r="GT2" s="48" t="str">
        <f>IF(BL2&lt;&gt;"",CHAR(34)&amp;"cl_"&amp;BL2&amp;CHAR(34)&amp;",","")</f>
        <v>"cl_YEL",</v>
      </c>
      <c r="GU2" s="48" t="str">
        <f>IF(BM2&lt;&gt;"",CHAR(34)&amp;"cl_"&amp;BM2&amp;CHAR(34)&amp;",","")</f>
        <v>"cl_GRE",</v>
      </c>
      <c r="GV2" s="48" t="str">
        <f>IF(BN2&lt;&gt;"",CHAR(34)&amp;"cl_"&amp;BN2&amp;CHAR(34)&amp;",","")</f>
        <v>"cl_BLA",</v>
      </c>
      <c r="GW2" s="48" t="str">
        <f>IF(BO2&lt;&gt;"",CHAR(34)&amp;"cl_"&amp;BO2&amp;CHAR(34)&amp;",","")</f>
        <v>"cl_RED",</v>
      </c>
      <c r="GX2" s="48" t="str">
        <f>IF(BP2&lt;&gt;"",CHAR(34)&amp;"cl_"&amp;BP2&amp;CHAR(34)&amp;",","")</f>
        <v>"cl_WHI",</v>
      </c>
      <c r="GY2" s="48" t="str">
        <f>IF(BQ2&lt;&gt;"",CHAR(34)&amp;"cl_"&amp;BQ2&amp;CHAR(34)&amp;",","")</f>
        <v/>
      </c>
      <c r="GZ2" s="48" t="str">
        <f>IF(BR2&lt;&gt;"",CHAR(34)&amp;"cl_"&amp;BR2&amp;CHAR(34)&amp;",","")</f>
        <v/>
      </c>
      <c r="HA2" s="48" t="str">
        <f>IF(BS2&lt;&gt;"",CHAR(34)&amp;"cl_"&amp;BS2&amp;CHAR(34)&amp;",","")</f>
        <v/>
      </c>
      <c r="HB2" s="48" t="str">
        <f>IF(BT2&lt;&gt;"",CHAR(34)&amp;"cl_"&amp;BT2&amp;CHAR(34)&amp;",","")</f>
        <v/>
      </c>
      <c r="HC2" s="48" t="str">
        <f>SUBSTITUTE("["&amp;_xlfn.CONCAT(GT2:HB2)&amp;"]",",]","]")</f>
        <v>["cl_YEL","cl_GRE","cl_BLA","cl_RED","cl_WHI"]</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{couname:"Mozambique",year:"1983 ",region:"rgn_Africa",Colors:["cl_YEL","cl_GRE","cl_BLA","cl_RED","cl_WHI"],Items:["5+Colo","lets10","startM","with_q","with_z","year19","allhor","4+Band","Diagon","Horizo","Weapon","Trside","Unequa","staYEL","tcWHYE","NO_BLU","001GRE","002BLA","003YEL","myrBLA","portug","HasSta","1Stars"],Flag:"https://i.ibb.co/CHx2Jxm/Mozambique-Flag.png",HDFlag:"https://upload.wikimedia.org/wikipedia/commons/thumb/d/d0/Flag_of_Mozambique.svg/2560px-Flag_of_Mozambique.svg.png",type:"", describe: "\nTeal stands for the riches of the land, the white fimbriations signify peace, black represents the African continent, yellow symbolises the country's minerals, and red represents the struggle for independence. It includes the image of a Kalashnikov rifle with a bayonet attached to the barrel crossed by a hoe, superimposed on an open book. The rifle stands for defence and vigilance, the open book symbolises the importance of education, the hoe represents the country's agriculture, and the star symbolizes the spirit of the international solidarity of the Mozambican people.", isnew:".", links: "https://en.wikipedia.org/wiki/Flag_of_Mozambique"},</v>
      </c>
      <c r="HG2" s="73" t="str">
        <f>"{couname:"&amp;CT2&amp;(IF(HK2&lt;&gt;"",",subtype:"&amp;CHAR(34)&amp;HK2&amp;CHAR(34),""))&amp;",year:"&amp;HJ2&amp;",region:"&amp;CU2&amp;",Colors:"&amp;HC2&amp;",Items:"&amp;GS2&amp;",Flag:"&amp;CV2&amp;",HDFlag:"&amp;CHAR(34)&amp;E2&amp;CHAR(34)&amp;",type:"&amp;GP2&amp;", describe: "&amp;HI2&amp;", links: "&amp;HL2&amp;"},"</f>
        <v>{couname:"Mozambique",year:"1983 ",region:"rgn_Africa",Colors:["cl_YEL","cl_GRE","cl_BLA","cl_RED","cl_WHI"],Items:["5+Colo","lets10","startM","with_q","with_z","year19","allhor","4+Band","Diagon","Horizo","Weapon","Trside","Unequa","staYEL","tcWHYE","NO_BLU","001GRE","002BLA","003YEL","myrBLA","portug","HasSta","1Stars"],Flag:"https://i.ibb.co/CHx2Jxm/Mozambique-Flag.png",HDFlag:"https://upload.wikimedia.org/wikipedia/commons/thumb/d/d0/Flag_of_Mozambique.svg/2560px-Flag_of_Mozambique.svg.png",type:"", describe: "\nTeal stands for the riches of the land, the white fimbriations signify peace, black represents the African continent, yellow symbolises the country's minerals, and red represents the struggle for independence. It includes the image of a Kalashnikov rifle with a bayonet attached to the barrel crossed by a hoe, superimposed on an open book. The rifle stands for defence and vigilance, the open book symbolises the importance of education, the hoe represents the country's agriculture, and the star symbolizes the spirit of the international solidarity of the Mozambican people.", links: "https://en.wikipedia.org/wiki/Flag_of_Mozambique"},</v>
      </c>
      <c r="HH2" s="48" t="str">
        <f>IF(P2&lt;&gt;"",CHAR(34)&amp;"\n"&amp;P2&amp;CHAR(34),CHAR(34)&amp;CHAR(34))</f>
        <v>"\nTeal stands for the riches of the land, the white fimbriations signify peace, black represents the African continent, yellow symbolises the country's minerals, and red represents the struggle for independence. It includes the image of a Kalashnikov rifle with a bayonet attached to the barrel crossed by a hoe, superimposed on an open book. The rifle stands for defence and vigilance, the open book symbolises the importance of education, the hoe represents the country's agriculture, and the star symbolizes the spirit of the international solidarity of the Mozambican people."</v>
      </c>
      <c r="HI2" s="48" t="str">
        <f>IF(J2=0,CHAR(34)&amp;CHAR(34),HH2)</f>
        <v>"\nTeal stands for the riches of the land, the white fimbriations signify peace, black represents the African continent, yellow symbolises the country's minerals, and red represents the struggle for independence. It includes the image of a Kalashnikov rifle with a bayonet attached to the barrel crossed by a hoe, superimposed on an open book. The rifle stands for defence and vigilance, the open book symbolises the importance of education, the hoe represents the country's agriculture, and the star symbolizes the spirit of the international solidarity of the Mozambican people."</v>
      </c>
      <c r="HJ2" s="48" t="str">
        <f>CHAR(34)&amp;O2&amp;CHAR(34)</f>
        <v>"1983 "</v>
      </c>
      <c r="HL2" s="48" t="str">
        <f>CHAR(34)&amp;I2&amp;CHAR(34)</f>
        <v>"https://en.wikipedia.org/wiki/Flag_of_Mozambique"</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{"couname":"Mozambique","year":"1983 ","region":"rgn_Africa","Colors":["cl_YEL","cl_GRE","cl_BLA","cl_RED","cl_WHI"],"Items":["5+Colo","lets10","startM","with_q","with_z","year19","allhor","4+Band","Diagon","Horizo","Weapon","Trside","Unequa","staYEL","tcWHYE","NO_BLU","001GRE","002BLA","003YEL","myrBLA","portug","HasSta","1Stars"],"Flag":"https://i.ibb.co/CHx2Jxm/Mozambique-Flag.png","HDFlag":"https://upload.wikimedia.org/wikipedia/commons/thumb/d/d0/Flag_of_Mozambique.svg/2560px-Flag_of_Mozambique.svg.png","type":"", "describe": "\nTeal stands for the riches of the land, the white fimbriations signify peace, black represents the African continent, yellow symbolises the country's minerals, and red represents the struggle for independence. It includes the image of a Kalashnikov rifle with a bayonet attached to the barrel crossed by a hoe, superimposed on an open book. The rifle stands for defence and vigilance, the open book symbolises the importance of education, the hoe represents the country's agriculture, and the star symbolizes the spirit of the international solidarity of the Mozambican people.", "isnew": ".", "links": "https://en.wikipedia.org/wiki/Flag_of_Mozambique"},</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{"couname":"Mozambique","year":"1983 ","region":"rgn_Africa","Colors":["cl_YEL","cl_GRE","cl_BLA","cl_RED","cl_WHI"],"Items":["5+Colo","lets10","startM","with_q","with_z","year19","allhor","4+Band","Diagon","Horizo","Weapon","Trside","Unequa","staYEL","tcWHYE","NO_BLU","001GRE","002BLA","003YEL","myrBLA","portug","HasSta","1Stars"],"Flag":"https://i.ibb.co/CHx2Jxm/Mozambique-Flag.png","HDFlag":"https://upload.wikimedia.org/wikipedia/commons/thumb/d/d0/Flag_of_Mozambique.svg/2560px-Flag_of_Mozambique.svg.png","type":"", "describe": "\nTeal stands for the riches of the land, the white fimbriations signify peace, black represents the African continent, yellow symbolises the country's minerals, and red represents the struggle for independence. It includes the image of a Kalashnikov rifle with a bayonet attached to the barrel crossed by a hoe, superimposed on an open book. The rifle stands for defence and vigilance, the open book symbolises the importance of education, the hoe represents the country's agriculture, and the star symbolizes the spirit of the international solidarity of the Mozambican people.", "isnew": ".", "links": "https://en.wikipedia.org/wiki/Flag_of_Mozambique"},</v>
      </c>
      <c r="HO2" s="75"/>
      <c r="HP2" s="48" t="str" cm="1">
        <f t="array" ref="HP2">IF(_xlfn.TEXTJOIN(", ", TRUE, IF(ISNUMBER(SEARCH("BLA", BL2:BT2)), COLUMN(BL2:BT2) - COLUMN(BL2) + 1, ""))&lt;&gt;"","BLA","")</f>
        <v>BLA</v>
      </c>
      <c r="HQ2" s="48" t="str" cm="1">
        <f t="array" ref="HQ2">IF(_xlfn.TEXTJOIN(", ", TRUE, IF(ISNUMBER(SEARCH("BLU", BL2:BT2)), COLUMN(BL2:BT2) - COLUMN(BL2) + 1, ""))&lt;&gt;"","BLU","")</f>
        <v/>
      </c>
      <c r="HR2" s="48" t="str" cm="1">
        <f t="array" ref="HR2">IF(_xlfn.TEXTJOIN(", ", TRUE, IF(ISNUMBER(SEARCH("GRE", BL2:BT2)), COLUMN(BL2:BT2) - COLUMN(BL2) + 1, ""))&lt;&gt;"","GRE","")</f>
        <v>GRE</v>
      </c>
      <c r="HS2" s="48" t="str" cm="1">
        <f t="array" ref="HS2">IF(_xlfn.TEXTJOIN(", ", TRUE, IF(ISNUMBER(SEARCH("RED", BL2:BT2)), COLUMN(BL2:BT2) - COLUMN(BL2) + 1, ""))&lt;&gt;"","RED","")</f>
        <v>RED</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c r="IB2" s="6"/>
      <c r="IC2" s="77"/>
      <c r="ID2" s="77"/>
      <c r="IE2" s="77"/>
      <c r="IF2" s="77"/>
      <c r="IG2" s="77"/>
      <c r="IH2" s="77"/>
      <c r="II2" s="77"/>
      <c r="IJ2" s="77"/>
      <c r="IK2" s="77"/>
      <c r="IL2" s="48">
        <f>SUM(IC2:IK2)</f>
        <v>0</v>
      </c>
      <c r="IM2" s="45">
        <f>COUNTIF(IC2:IK2,"&gt;0")-CG2</f>
        <v>-5</v>
      </c>
      <c r="IN2" s="78" t="str">
        <f>"http://mkweb.bcgsc.ca/color-summarizer/?url="&amp;D2&amp;"&amp;precision=low&amp;num_clusters="&amp;CG2&amp;"&amp;text=1"</f>
        <v>http://mkweb.bcgsc.ca/color-summarizer/?url=https://i.ibb.co/CHx2Jxm/Mozambique-Flag.png&amp;precision=low&amp;num_clusters=5&amp;text=1</v>
      </c>
      <c r="IO2" s="48" t="str">
        <f>IF(HP2&lt;&gt;"",CHAR(34)&amp;"black"&amp;CHAR(34),"")</f>
        <v>"black"</v>
      </c>
      <c r="IP2" s="48" t="str">
        <f>IF(HQ2&lt;&gt;"",CHAR(34)&amp;"blue"&amp;CHAR(34),"")</f>
        <v/>
      </c>
      <c r="IQ2" s="48" t="str">
        <f>IF(HR2&lt;&gt;"",CHAR(34)&amp;"green"&amp;CHAR(34),"")</f>
        <v>"green"</v>
      </c>
      <c r="IR2" s="48" t="str">
        <f>IF(HS2&lt;&gt;"",CHAR(34)&amp;"red"&amp;CHAR(34),"")</f>
        <v>"red"</v>
      </c>
      <c r="IS2" s="48" t="str">
        <f>IF(HT2&lt;&gt;"",CHAR(34)&amp;"yellow"&amp;CHAR(34),"")</f>
        <v>"yellow"</v>
      </c>
      <c r="IT2" s="48" t="str">
        <f>IF(HU2&lt;&gt;"",CHAR(34)&amp;"orange"&amp;CHAR(34),"")</f>
        <v/>
      </c>
      <c r="IU2" s="48" t="str">
        <f>IF(HV2&lt;&gt;"",CHAR(34)&amp;"brown"&amp;CHAR(34),"")</f>
        <v/>
      </c>
      <c r="IV2" s="48" t="str">
        <f>IF(HW2&lt;&gt;"",CHAR(34)&amp;"purple"&amp;CHAR(34),"")</f>
        <v/>
      </c>
      <c r="IW2" s="48" t="str">
        <f>IF(HX2&lt;&gt;"",CHAR(34)&amp;"white"&amp;CHAR(34),"")</f>
        <v>"white"</v>
      </c>
      <c r="IX2" s="48" t="str">
        <f>"{"&amp;CHAR(34)&amp;"url"&amp;CHAR(34)&amp;":"&amp;CHAR(34)&amp;IN2&amp;CHAR(34)&amp;","&amp;CHAR(34)&amp;"name"&amp;CHAR(34)&amp;":"&amp;CHAR(34)&amp;A2&amp;CHAR(34)&amp;"},"</f>
        <v>{"url":"http://mkweb.bcgsc.ca/color-summarizer/?url=https://i.ibb.co/CHx2Jxm/Mozambique-Flag.png&amp;precision=low&amp;num_clusters=5&amp;text=1","name":"Mozambique"},</v>
      </c>
      <c r="IY2" s="48">
        <v>146</v>
      </c>
    </row>
    <row r="3" spans="1:259" s="48" customFormat="1" ht="38.4" customHeight="1" thickBot="1" x14ac:dyDescent="0.35">
      <c r="A3" s="80" t="s">
        <v>1028</v>
      </c>
      <c r="B3" s="40" t="e" vm="82">
        <v>#VALUE!</v>
      </c>
      <c r="C3" s="41" t="s">
        <v>173</v>
      </c>
      <c r="D3" s="42" t="s">
        <v>1029</v>
      </c>
      <c r="E3" s="43" t="s">
        <v>1030</v>
      </c>
      <c r="F3" s="44" t="s">
        <v>163</v>
      </c>
      <c r="G3" s="45">
        <f>COUNTIF($A$1:$A$8337,A3)</f>
        <v>1</v>
      </c>
      <c r="H3" s="46" t="s">
        <v>1038</v>
      </c>
      <c r="I3" s="47" t="s">
        <v>1031</v>
      </c>
      <c r="J3" s="48" t="str">
        <f>""</f>
        <v/>
      </c>
      <c r="K3" s="49"/>
      <c r="L3" s="50"/>
      <c r="M3" s="50"/>
      <c r="N3" s="51" t="s">
        <v>180</v>
      </c>
      <c r="O3" s="52">
        <v>1975</v>
      </c>
      <c r="P3" s="53" t="s">
        <v>1032</v>
      </c>
      <c r="Q3" s="54">
        <v>2</v>
      </c>
      <c r="R3" s="55" t="s">
        <v>180</v>
      </c>
      <c r="S3" s="56">
        <v>7</v>
      </c>
      <c r="T3" s="57" t="s">
        <v>167</v>
      </c>
      <c r="U3" s="58" t="s">
        <v>164</v>
      </c>
      <c r="V3" s="58" t="s">
        <v>164</v>
      </c>
      <c r="W3" s="58" t="s">
        <v>164</v>
      </c>
      <c r="X3" s="58" t="s">
        <v>167</v>
      </c>
      <c r="Y3" s="58" t="s">
        <v>164</v>
      </c>
      <c r="Z3" s="58" t="s">
        <v>164</v>
      </c>
      <c r="AA3" s="58" t="s">
        <v>164</v>
      </c>
      <c r="AB3" s="58" t="s">
        <v>164</v>
      </c>
      <c r="AC3" s="58" t="s">
        <v>167</v>
      </c>
      <c r="AD3" s="58" t="s">
        <v>164</v>
      </c>
      <c r="AE3" s="58" t="s">
        <v>164</v>
      </c>
      <c r="AF3" s="59" t="s">
        <v>164</v>
      </c>
      <c r="AG3" s="59" t="s">
        <v>164</v>
      </c>
      <c r="AH3" s="59" t="s">
        <v>164</v>
      </c>
      <c r="AI3" s="59" t="s">
        <v>164</v>
      </c>
      <c r="AJ3" s="59" t="s">
        <v>164</v>
      </c>
      <c r="AK3" s="59" t="s">
        <v>164</v>
      </c>
      <c r="AL3" s="59" t="s">
        <v>164</v>
      </c>
      <c r="AM3" s="59" t="s">
        <v>164</v>
      </c>
      <c r="AN3" s="59" t="s">
        <v>164</v>
      </c>
      <c r="AO3" s="59" t="s">
        <v>164</v>
      </c>
      <c r="AP3" s="59" t="s">
        <v>164</v>
      </c>
      <c r="AQ3" s="59" t="s">
        <v>164</v>
      </c>
      <c r="AR3" s="59" t="s">
        <v>164</v>
      </c>
      <c r="AS3" s="59" t="s">
        <v>164</v>
      </c>
      <c r="AT3" s="60">
        <v>1</v>
      </c>
      <c r="AU3" s="59" t="s">
        <v>174</v>
      </c>
      <c r="AV3" s="59" t="str">
        <f>IF(LEFT(A3,1)="[",LEFT(A3,5)&amp;AU3&amp;A3,"")</f>
        <v>[MOZ]Historical[MOZ] Mozambique (1975–1983)</v>
      </c>
      <c r="AW3" s="59" t="str">
        <f t="shared" ref="AW3" si="1">C3&amp;H3&amp;A3</f>
        <v>3b[MOZ] Other[MOZ] Mozambique (1975–1983)</v>
      </c>
      <c r="AX3" s="61"/>
      <c r="AY3" s="61"/>
      <c r="AZ3" s="62" t="s">
        <v>154</v>
      </c>
      <c r="BA3" s="62" t="s">
        <v>172</v>
      </c>
      <c r="BB3" s="62"/>
      <c r="BC3" s="63"/>
      <c r="BD3" s="64" t="s">
        <v>153</v>
      </c>
      <c r="BE3" s="47"/>
      <c r="BF3" s="64" t="s">
        <v>155</v>
      </c>
      <c r="BG3" s="64" t="s">
        <v>159</v>
      </c>
      <c r="BH3" s="64" t="s">
        <v>153</v>
      </c>
      <c r="BI3" s="64"/>
      <c r="BJ3" s="64"/>
      <c r="BK3" s="47"/>
      <c r="BL3" s="64" t="s">
        <v>151</v>
      </c>
      <c r="BM3" s="64" t="s">
        <v>172</v>
      </c>
      <c r="BN3" s="64" t="s">
        <v>153</v>
      </c>
      <c r="BO3" s="64" t="s">
        <v>154</v>
      </c>
      <c r="BP3" s="64" t="s">
        <v>155</v>
      </c>
      <c r="BQ3" s="64" t="s">
        <v>172</v>
      </c>
      <c r="BR3" s="64" t="s">
        <v>172</v>
      </c>
      <c r="BS3" s="64" t="s">
        <v>172</v>
      </c>
      <c r="BT3" s="64" t="s">
        <v>159</v>
      </c>
      <c r="BU3" s="65"/>
      <c r="BV3" s="66"/>
      <c r="BW3" s="66">
        <v>0</v>
      </c>
      <c r="BX3" s="47"/>
      <c r="BY3" s="48" t="s">
        <v>167</v>
      </c>
      <c r="CB3" s="6"/>
      <c r="CC3" s="6"/>
      <c r="CD3" s="67">
        <v>0</v>
      </c>
      <c r="CE3" s="67">
        <v>0</v>
      </c>
      <c r="CF3" s="67" t="e">
        <v>#REF!</v>
      </c>
      <c r="CG3" s="68" cm="1">
        <f t="array" ref="CG3">SUMPRODUCT(--(LEN(TRIM(BL3:BT3))&gt;0))</f>
        <v>5</v>
      </c>
      <c r="CH3" s="59" t="str">
        <f>IF(CG3=2,"y","n")</f>
        <v>n</v>
      </c>
      <c r="CI3" s="59" t="str">
        <f>IF(CG3=3,"y","n")</f>
        <v>n</v>
      </c>
      <c r="CJ3" s="59" t="str">
        <f>IF(CG3=4,"y","n")</f>
        <v>n</v>
      </c>
      <c r="CK3" s="59" t="str">
        <f>IF(CG3&gt;4,"y","n")</f>
        <v>y</v>
      </c>
      <c r="CL3" s="59" t="str">
        <f>IF(S3=0,"y","n")</f>
        <v>n</v>
      </c>
      <c r="CM3" s="59" t="str">
        <f>IF(S3=2,"y","n")</f>
        <v>n</v>
      </c>
      <c r="CN3" s="59" t="str">
        <f>IF(S3=3,"y","n")</f>
        <v>n</v>
      </c>
      <c r="CO3" s="59" t="str">
        <f>IF(S3&gt;=4,"y","n")</f>
        <v>y</v>
      </c>
      <c r="CP3" s="59" t="str">
        <f>IF(AT3=0,"y","n")</f>
        <v>n</v>
      </c>
      <c r="CQ3" s="59" t="str">
        <f>IF(AT3=1,"y","n")</f>
        <v>y</v>
      </c>
      <c r="CR3" s="59" t="str">
        <f>IF(AT3=2,"y","n")</f>
        <v>n</v>
      </c>
      <c r="CS3" s="59" t="str">
        <f>IF(AT3&gt;=3,"y","n")</f>
        <v>n</v>
      </c>
      <c r="CT3" s="69" t="str">
        <f>CHAR(34)&amp;A3&amp;CHAR(34)</f>
        <v>"[MOZ] Mozambique (1975–1983)"</v>
      </c>
      <c r="CU3" s="70" t="str">
        <f>CHAR(34)&amp;"rgn_"&amp;R3&amp;CHAR(34)</f>
        <v>"rgn_Africa"</v>
      </c>
      <c r="CV3" s="48" t="str">
        <f>CHAR(34)&amp;D3&amp;CHAR(34)</f>
        <v>"https://upload.wikimedia.org/wikipedia/commons/thumb/f/fd/Flag_of_Mozambique_%281975%E2%80%931983%29.svg/320px-Flag_of_Mozambique_%281975%E2%80%931983%29.svg.png"</v>
      </c>
      <c r="CW3" s="48" t="str">
        <f>IF(CH3="y",CHAR(34)&amp;CH$1&amp;CHAR(34)&amp;",","")</f>
        <v/>
      </c>
      <c r="CX3" s="48" t="str">
        <f>IF(CI3="y",CHAR(34)&amp;CI$1&amp;CHAR(34)&amp;",","")</f>
        <v/>
      </c>
      <c r="CY3" s="48" t="str">
        <f>IF(CJ3="y",CHAR(34)&amp;CJ$1&amp;CHAR(34)&amp;",","")</f>
        <v/>
      </c>
      <c r="CZ3" s="48" t="str">
        <f>IF(CK3="y",CHAR(34)&amp;CK$1&amp;CHAR(34)&amp;",","")</f>
        <v>"5+Colo",</v>
      </c>
      <c r="DA3" s="48" t="str">
        <f>IF(Q3&gt;1,CHAR(34)&amp;"words2"&amp;CHAR(34)&amp;",","")</f>
        <v>"words2",</v>
      </c>
      <c r="DB3" s="48" t="str">
        <f>IF(Q3&gt;2,CHAR(34)&amp;"words3"&amp;CHAR(34)&amp;",","")</f>
        <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"lets21",</v>
      </c>
      <c r="DE3" s="48" t="str">
        <f>CHAR(34)&amp;"start"&amp;IFERROR(LEFT(SUBSTITUTE(A3,"["&amp;MID(A3,FIND("[",A3)+1,FIND("]",A3)-FIND("[",A3)-1)&amp;"] ",""),1),LEFT(A3,1))&amp;CHAR(34)&amp;","</f>
        <v>"startM",</v>
      </c>
      <c r="DF3" s="48" t="str">
        <f>IFERROR(IF(SEARCH("tan",A3)&gt;0,CHAR(34)&amp;"withtn"&amp;CHAR(34)&amp;",",""),"")</f>
        <v/>
      </c>
      <c r="DG3" s="48" t="str">
        <f>IFERROR(IF(SEARCH("q",A3)&gt;0,CHAR(34)&amp;"with_q"&amp;CHAR(34)&amp;",",""),"")</f>
        <v>"with_q",</v>
      </c>
      <c r="DH3" s="48" t="str">
        <f>IFERROR(IF(SEARCH("v",A3)&gt;0,CHAR(34)&amp;"with_v"&amp;CHAR(34)&amp;",",""),"")</f>
        <v/>
      </c>
      <c r="DI3" s="48" t="str">
        <f>IFERROR(IF(SEARCH("w",A3)&gt;0,CHAR(34)&amp;"with_w"&amp;CHAR(34)&amp;",",""),"")</f>
        <v/>
      </c>
      <c r="DJ3" s="48" t="str">
        <f>IFERROR(IF(SEARCH("y",A3)&gt;0,CHAR(34)&amp;"with_y"&amp;CHAR(34)&amp;",",""),"")</f>
        <v/>
      </c>
      <c r="DK3" s="48" t="str">
        <f>IFERROR(IF(SEARCH("z",A3)&gt;0,CHAR(34)&amp;"with_z"&amp;CHAR(34)&amp;",",""),"")</f>
        <v>"with_z",</v>
      </c>
      <c r="DL3" s="48" t="str">
        <f>IF(CG3=2, CHAR(34) &amp; _xlfn.TEXTJOIN("", TRUE, _xlfn._xlws.SORT(HP3:HX3)) &amp; CHAR(34) &amp; ",", "")</f>
        <v/>
      </c>
      <c r="DM3" s="48" t="str" cm="1">
        <f t="array" ref="DM3">IF(CG3=3,CHAR(34) &amp; _xlfn.TEXTJOIN("", TRUE, RIGHT(HP3:HX3, 2)) &amp; CHAR(34) &amp; ",", "")</f>
        <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"year19",</v>
      </c>
      <c r="DP3" s="6" t="str">
        <f>IF(AND(ISNUMBER(SEARCH("20", O3)), ISERROR(SEARCH("1920", O3))), CHAR(34)&amp;"year00"&amp;CHAR(34)&amp;",", "")</f>
        <v/>
      </c>
      <c r="DQ3" s="6" t="str">
        <f>IF(CC3="y",CHAR(34)&amp;"soviet"&amp;CHAR(34)&amp;",","")</f>
        <v/>
      </c>
      <c r="DR3" s="6" t="str">
        <f>IF(BY3="y",CHAR(34)&amp;"dgband"&amp;CHAR(34)&amp;",","")</f>
        <v>"dgband",</v>
      </c>
      <c r="DS3" s="6" t="str">
        <f>IF(W3="y",IF(AND(V3="n",BY3&lt;&gt;"y"),CHAR(34)&amp;"allver"&amp;CHAR(34)&amp;",",""),"")</f>
        <v/>
      </c>
      <c r="DT3" s="6" t="str">
        <f>IF(V3="y",IF(AND(W3="n",BY3&lt;&gt;"y"),CHAR(34)&amp;"allhor"&amp;CHAR(34)&amp;",",""),"")</f>
        <v/>
      </c>
      <c r="DU3" s="6" t="str">
        <f>IF(BY3="y",IF(AND(W3="n",V3="n"),CHAR(34)&amp;"alldia"&amp;CHAR(34)&amp;",",""),"")</f>
        <v>"alldia",</v>
      </c>
      <c r="DW3" s="48" t="str">
        <f>IF(CL3="y",CHAR(34)&amp;CL$1&amp;CHAR(34)&amp;",","")</f>
        <v/>
      </c>
      <c r="DX3" s="48" t="str">
        <f>IF(CM3="y",CHAR(34)&amp;CM$1&amp;CHAR(34)&amp;",","")</f>
        <v/>
      </c>
      <c r="DY3" s="48" t="str">
        <f>IF(CN3="y",CHAR(34)&amp;CN$1&amp;CHAR(34)&amp;",","")</f>
        <v/>
      </c>
      <c r="DZ3" s="48" t="str">
        <f>IF(CO3="y",CHAR(34)&amp;CO$1&amp;CHAR(34)&amp;",","")</f>
        <v>"4+Band",</v>
      </c>
      <c r="EA3" s="48" t="str">
        <f>IF(T3="y",CHAR(34)&amp;T$1&amp;CHAR(34)&amp;",","")</f>
        <v>"Diagon",</v>
      </c>
      <c r="EB3" s="48" t="str">
        <f>IF(U3="y",CHAR(34)&amp;U$1&amp;CHAR(34)&amp;",","")</f>
        <v/>
      </c>
      <c r="EC3" s="48" t="str">
        <f>IF(V3="y",CHAR(34)&amp;V$1&amp;CHAR(34)&amp;",","")</f>
        <v/>
      </c>
      <c r="ED3" s="48" t="str">
        <f>IF(W3="y",CHAR(34)&amp;W$1&amp;CHAR(34)&amp;",","")</f>
        <v/>
      </c>
      <c r="EE3" s="48" t="str">
        <f>IF(X3="y",CHAR(34)&amp;X$1&amp;CHAR(34)&amp;",","")</f>
        <v>"Circle",</v>
      </c>
      <c r="EF3" s="48" t="str">
        <f>IF(AND(Y3&lt;&gt;"n",Y3&lt;&gt;""),CHAR(34)&amp;Y$1&amp;CHAR(34)&amp;",","")</f>
        <v/>
      </c>
      <c r="EG3" s="48" t="str">
        <f>IF(Z3="y",CHAR(34)&amp;Z$1&amp;CHAR(34)&amp;",","")</f>
        <v/>
      </c>
      <c r="EH3" s="48" t="str">
        <f>IF(AA3="y",CHAR(34)&amp;AA$1&amp;CHAR(34)&amp;",","")</f>
        <v/>
      </c>
      <c r="EI3" s="48" t="str">
        <f>IF(AB3="y",CHAR(34)&amp;AB$1&amp;CHAR(34)&amp;",","")</f>
        <v/>
      </c>
      <c r="EJ3" s="48" t="str">
        <f>IF(AC3="y",CHAR(34)&amp;AC$1&amp;CHAR(34)&amp;",","")</f>
        <v>"Weapon",</v>
      </c>
      <c r="EK3" s="48" t="str">
        <f>IF(AD3="y",CHAR(34)&amp;AD$1&amp;CHAR(34)&amp;",","")</f>
        <v/>
      </c>
      <c r="EL3" s="48" t="str">
        <f>IF(AE3="y",CHAR(34)&amp;AE$1&amp;CHAR(34)&amp;",","")</f>
        <v/>
      </c>
      <c r="EM3" s="48" t="str">
        <f>IF(AF3="y",CHAR(34)&amp;AF$1&amp;CHAR(34)&amp;",","")</f>
        <v/>
      </c>
      <c r="EN3" s="48" t="str">
        <f>IF(AG3="y",CHAR(34)&amp;AG$1&amp;CHAR(34)&amp;",","")</f>
        <v/>
      </c>
      <c r="EO3" s="48" t="str">
        <f>IF(AH3="y",CHAR(34)&amp;AH$1&amp;CHAR(34)&amp;",","")</f>
        <v/>
      </c>
      <c r="EP3" s="48" t="str">
        <f>IF(AI3="y",CHAR(34)&amp;AI$1&amp;CHAR(34)&amp;",","")</f>
        <v/>
      </c>
      <c r="EQ3" s="48" t="str">
        <f>IF(AJ3="y",CHAR(34)&amp;AJ$1&amp;CHAR(34)&amp;",","")</f>
        <v/>
      </c>
      <c r="ER3" s="48" t="str">
        <f>IF(AK3="y",CHAR(34)&amp;AK$1&amp;CHAR(34)&amp;",","")</f>
        <v/>
      </c>
      <c r="ES3" s="48" t="str">
        <f>IF(AL3="y",CHAR(34)&amp;AL$1&amp;CHAR(34)&amp;",","")</f>
        <v/>
      </c>
      <c r="ET3" s="48" t="str">
        <f>IF(AM3="y",CHAR(34)&amp;AM$1&amp;CHAR(34)&amp;",","")</f>
        <v/>
      </c>
      <c r="EU3" s="48" t="str">
        <f>IF(AN3="y",CHAR(34)&amp;AN$1&amp;CHAR(34)&amp;",","")</f>
        <v/>
      </c>
      <c r="EV3" s="48" t="str">
        <f>IF(AO3="y",CHAR(34)&amp;AO$1&amp;CHAR(34)&amp;",","")</f>
        <v/>
      </c>
      <c r="EW3" s="48" t="str">
        <f>IF(AP3="y",CHAR(34)&amp;AP$1&amp;CHAR(34)&amp;",","")</f>
        <v/>
      </c>
      <c r="EX3" s="48" t="str">
        <f>IF(AQ3="y",CHAR(34)&amp;AQ$1&amp;CHAR(34)&amp;",","")</f>
        <v/>
      </c>
      <c r="EY3" s="48" t="str">
        <f>IF(AR3="y",CHAR(34)&amp;AR$1&amp;CHAR(34)&amp;",","")</f>
        <v/>
      </c>
      <c r="EZ3" s="48" t="str">
        <f>IF(AS3="y",CHAR(34)&amp;AS$1&amp;CHAR(34)&amp;",","")</f>
        <v/>
      </c>
      <c r="FA3" s="48" t="str">
        <f>IF(AT3&gt;0,CHAR(34)&amp;"sta"&amp;AZ3&amp;CHAR(34)&amp;",","")</f>
        <v>"staRED",</v>
      </c>
      <c r="FB3" s="48" t="str">
        <f>IF(AND(AT3&gt;0,BA3&lt;&gt;""),CHAR(34)&amp;"sta"&amp;BA3&amp;CHAR(34)&amp;",","")</f>
        <v/>
      </c>
      <c r="FD3" s="48" t="str">
        <f>IF(BV3="n",CHAR(34)&amp;"tcWHYE"&amp;CHAR(34)&amp;",",IF(BV3="y",CHAR(34)&amp;FD$1&amp;CHAR(34)&amp;",",""))</f>
        <v/>
      </c>
      <c r="FE3" s="48" t="str">
        <f>IF(COUNTIF(BL3:BT3,"BLU")=0,CHAR(34)&amp;"NO_BLU"&amp;CHAR(34)&amp;",", "")</f>
        <v>"NO_BLU",</v>
      </c>
      <c r="FF3" s="48" t="str">
        <f>IF(COUNTIF(BL3:BT3,"WHI")=0,CHAR(34)&amp;"NO_WHI"&amp;CHAR(34)&amp;",", "")</f>
        <v/>
      </c>
      <c r="FG3" s="48" t="str">
        <f>IF(COUNTIF(BL3:BT3,"RED")=0,CHAR(34)&amp;"NO_RED"&amp;CHAR(34)&amp;",", "")</f>
        <v/>
      </c>
      <c r="FH3" s="48" t="str">
        <f>IF(COUNTIF(BL3:BS3,"GRE")=0,CHAR(34)&amp;"NO_GRE"&amp;CHAR(34)&amp;",", "")</f>
        <v/>
      </c>
      <c r="FI3" s="48" t="str">
        <f>IF(COUNTIF(BL3:BT3,"YEL")=0,CHAR(34)&amp;"NO_YEL"&amp;CHAR(34)&amp;",", "")</f>
        <v/>
      </c>
      <c r="FJ3" s="48" t="str">
        <f>IF(COUNTIF(BL3:BT3,"BLA")=0,CHAR(34)&amp;"NO_BLA"&amp;CHAR(34)&amp;",", "")</f>
        <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
      </c>
      <c r="FQ3" s="48" t="str">
        <f>IF(LEN(BF3)=3,CHAR(34)&amp;"001"&amp;BF3&amp;CHAR(34)&amp;",","")</f>
        <v>"001YEL",</v>
      </c>
      <c r="FR3" s="48" t="str">
        <f>IF(LEN(BG3)=3,CHAR(34)&amp;"002"&amp;BG3&amp;CHAR(34)&amp;",","")</f>
        <v>"002WHI",</v>
      </c>
      <c r="FS3" s="48" t="str">
        <f>IF(LEN(BH3)=3,CHAR(34)&amp;"003"&amp;BH3&amp;CHAR(34)&amp;",","")</f>
        <v>"003GRE",</v>
      </c>
      <c r="FT3" s="48" t="str">
        <f>CHAR(34)&amp;"myr"&amp;BD3&amp;CHAR(34)&amp;","</f>
        <v>"myrGRE",</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"histor",</v>
      </c>
      <c r="GG3" s="48" t="str">
        <f>IF(BU3="y",CHAR(34)&amp;"unjack"&amp;CHAR(34)&amp;",","")</f>
        <v/>
      </c>
      <c r="GH3" s="48" t="str">
        <f>IF(CD3=1,CHAR(34)&amp;"southc"&amp;CHAR(34)&amp;",","")</f>
        <v/>
      </c>
      <c r="GI3" s="48" t="str">
        <f>IF(CE3=1,CHAR(34)&amp;"hasmap"&amp;CHAR(34)&amp;",","")</f>
        <v/>
      </c>
      <c r="GJ3" s="48" t="str">
        <f>IF(CP3="y",CHAR(34)&amp;CP$1&amp;CHAR(34)&amp;",","")</f>
        <v/>
      </c>
      <c r="GK3" s="48" t="str">
        <f>IF(GJ3="",CHAR(34)&amp;"HasSta"&amp;CHAR(34)&amp;",","")</f>
        <v>"HasSta",</v>
      </c>
      <c r="GL3" s="48" t="str">
        <f>IF(CQ3="y",CHAR(34)&amp;CQ$1&amp;CHAR(34)&amp;",","")</f>
        <v>"1Stars",</v>
      </c>
      <c r="GM3" s="48" t="str">
        <f>IF(CR3="y",CHAR(34)&amp;CR$1&amp;CHAR(34)&amp;",","")</f>
        <v/>
      </c>
      <c r="GN3" s="48" t="str">
        <f>IF(CS3="y",CHAR(34)&amp;CS$1&amp;CHAR(34)&amp;",","")</f>
        <v/>
      </c>
      <c r="GP3" s="48" t="str">
        <f>CHAR(34)&amp;AU3&amp;CHAR(34)</f>
        <v>"Historical"</v>
      </c>
      <c r="GS3" s="48" t="str">
        <f>SUBSTITUTE("["&amp;_xlfn.CONCAT(CW3:GN3)&amp;"]",",]","]")</f>
        <v>["5+Colo","words2","lets21","startM","with_q","with_z","year19","dgband","alldia","4+Band","Diagon","Circle","Weapon","staRED","NO_BLU","001YEL","002WHI","003GRE","myrGRE","histor","HasSta","1Stars"]</v>
      </c>
      <c r="GT3" s="48" t="str">
        <f>IF(BL3&lt;&gt;"",CHAR(34)&amp;"cl_"&amp;BL3&amp;CHAR(34)&amp;",","")</f>
        <v>"cl_BLA",</v>
      </c>
      <c r="GU3" s="48" t="str">
        <f>IF(BM3&lt;&gt;"",CHAR(34)&amp;"cl_"&amp;BM3&amp;CHAR(34)&amp;",","")</f>
        <v/>
      </c>
      <c r="GV3" s="48" t="str">
        <f>IF(BN3&lt;&gt;"",CHAR(34)&amp;"cl_"&amp;BN3&amp;CHAR(34)&amp;",","")</f>
        <v>"cl_GRE",</v>
      </c>
      <c r="GW3" s="48" t="str">
        <f>IF(BO3&lt;&gt;"",CHAR(34)&amp;"cl_"&amp;BO3&amp;CHAR(34)&amp;",","")</f>
        <v>"cl_RED",</v>
      </c>
      <c r="GX3" s="48" t="str">
        <f>IF(BP3&lt;&gt;"",CHAR(34)&amp;"cl_"&amp;BP3&amp;CHAR(34)&amp;",","")</f>
        <v>"cl_YEL",</v>
      </c>
      <c r="GY3" s="48" t="str">
        <f>IF(BQ3&lt;&gt;"",CHAR(34)&amp;"cl_"&amp;BQ3&amp;CHAR(34)&amp;",","")</f>
        <v/>
      </c>
      <c r="GZ3" s="48" t="str">
        <f>IF(BR3&lt;&gt;"",CHAR(34)&amp;"cl_"&amp;BR3&amp;CHAR(34)&amp;",","")</f>
        <v/>
      </c>
      <c r="HA3" s="48" t="str">
        <f>IF(BS3&lt;&gt;"",CHAR(34)&amp;"cl_"&amp;BS3&amp;CHAR(34)&amp;",","")</f>
        <v/>
      </c>
      <c r="HB3" s="48" t="str">
        <f>IF(BT3&lt;&gt;"",CHAR(34)&amp;"cl_"&amp;BT3&amp;CHAR(34)&amp;",","")</f>
        <v>"cl_WHI",</v>
      </c>
      <c r="HC3" s="48" t="str">
        <f>SUBSTITUTE("["&amp;_xlfn.CONCAT(GT3:HB3)&amp;"]",",]","]")</f>
        <v>["cl_BLA","cl_GRE","cl_RED","cl_YEL","cl_WHI"]</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{couname:"[MOZ] Mozambique (1975–1983)",year:"1975",region:"rgn_Africa",Colors:["cl_BLA","cl_GRE","cl_RED","cl_YEL","cl_WHI"],Items:["5+Colo","words2","lets21","startM","with_q","with_z","year19","dgband","alldia","4+Band","Diagon","Circle","Weapon","staRED","NO_BLU","001YEL","002WHI","003GRE","myrGRE","histor","HasSta","1Stars"],Flag:"https://upload.wikimedia.org/wikipedia/commons/thumb/f/fd/Flag_of_Mozambique_%281975%E2%80%931983%29.svg/320px-Flag_of_Mozambique_%281975%E2%80%931983%29.svg.png",HDFlag:"https://upload.wikimedia.org/wikipedia/commons/thumb/f/fd/Flag_of_Mozambique_%281975%E2%80%931983%29.svg/2560px-Flag_of_Mozambique_%281975%E2%80%931983%29.svg.png",type:"Historical", describe: "\nThe People's Republic of Mozambique proclaimed its independence on 25 June 1975, and a new national flag was hoisted in place of the Portuguese and FRELIMO flags. The new flag's design and significance were defined in Title IV, Article 68 of the Constitution of the People's Republic of Mozambique. The flag consisted of four diagonal stripes emanating from the upper hoist, separated by white fimbriations. The stripes were, from top to bottom, green, red, black, and yellow. Near the upper hoist was a white cogwheel, charged with a red star and an AK-47 crossed by a hoe, superimposed on an open book. The colours and symbols of the People's Republic flag retained by the current flag share the same meaning. The other symbols were given the following significance by the Mozambican government: the cogwheel represents the working class and industrial production, while the red star represents proletarian internationalism.", isnew:".", links: "https://en.wikipedia.org/wiki/Flag_of_Mozambique"},</v>
      </c>
      <c r="HG3" s="73" t="str">
        <f>"{couname:"&amp;CT3&amp;(IF(HK3&lt;&gt;"",",subtype:"&amp;CHAR(34)&amp;HK3&amp;CHAR(34),""))&amp;",year:"&amp;HJ3&amp;",region:"&amp;CU3&amp;",Colors:"&amp;HC3&amp;",Items:"&amp;GS3&amp;",Flag:"&amp;CV3&amp;",HDFlag:"&amp;CHAR(34)&amp;E3&amp;CHAR(34)&amp;",type:"&amp;GP3&amp;", describe: "&amp;HI3&amp;", links: "&amp;HL3&amp;"},"</f>
        <v>{couname:"[MOZ] Mozambique (1975–1983)",year:"1975",region:"rgn_Africa",Colors:["cl_BLA","cl_GRE","cl_RED","cl_YEL","cl_WHI"],Items:["5+Colo","words2","lets21","startM","with_q","with_z","year19","dgband","alldia","4+Band","Diagon","Circle","Weapon","staRED","NO_BLU","001YEL","002WHI","003GRE","myrGRE","histor","HasSta","1Stars"],Flag:"https://upload.wikimedia.org/wikipedia/commons/thumb/f/fd/Flag_of_Mozambique_%281975%E2%80%931983%29.svg/320px-Flag_of_Mozambique_%281975%E2%80%931983%29.svg.png",HDFlag:"https://upload.wikimedia.org/wikipedia/commons/thumb/f/fd/Flag_of_Mozambique_%281975%E2%80%931983%29.svg/2560px-Flag_of_Mozambique_%281975%E2%80%931983%29.svg.png",type:"Historical", describe: "\nThe People's Republic of Mozambique proclaimed its independence on 25 June 1975, and a new national flag was hoisted in place of the Portuguese and FRELIMO flags. The new flag's design and significance were defined in Title IV, Article 68 of the Constitution of the People's Republic of Mozambique. The flag consisted of four diagonal stripes emanating from the upper hoist, separated by white fimbriations. The stripes were, from top to bottom, green, red, black, and yellow. Near the upper hoist was a white cogwheel, charged with a red star and an AK-47 crossed by a hoe, superimposed on an open book. The colours and symbols of the People's Republic flag retained by the current flag share the same meaning. The other symbols were given the following significance by the Mozambican government: the cogwheel represents the working class and industrial production, while the red star represents proletarian internationalism.", links: "https://en.wikipedia.org/wiki/Flag_of_Mozambique"},</v>
      </c>
      <c r="HH3" s="48" t="str">
        <f>IF(P3&lt;&gt;"",CHAR(34)&amp;"\n"&amp;P3&amp;CHAR(34),CHAR(34)&amp;CHAR(34))</f>
        <v>"\nThe People's Republic of Mozambique proclaimed its independence on 25 June 1975, and a new national flag was hoisted in place of the Portuguese and FRELIMO flags. The new flag's design and significance were defined in Title IV, Article 68 of the Constitution of the People's Republic of Mozambique. The flag consisted of four diagonal stripes emanating from the upper hoist, separated by white fimbriations. The stripes were, from top to bottom, green, red, black, and yellow. Near the upper hoist was a white cogwheel, charged with a red star and an AK-47 crossed by a hoe, superimposed on an open book. The colours and symbols of the People's Republic flag retained by the current flag share the same meaning. The other symbols were given the following significance by the Mozambican government: the cogwheel represents the working class and industrial production, while the red star represents proletarian internationalism."</v>
      </c>
      <c r="HI3" s="48" t="str">
        <f>IF(J3=0,CHAR(34)&amp;CHAR(34),HH3)</f>
        <v>"\nThe People's Republic of Mozambique proclaimed its independence on 25 June 1975, and a new national flag was hoisted in place of the Portuguese and FRELIMO flags. The new flag's design and significance were defined in Title IV, Article 68 of the Constitution of the People's Republic of Mozambique. The flag consisted of four diagonal stripes emanating from the upper hoist, separated by white fimbriations. The stripes were, from top to bottom, green, red, black, and yellow. Near the upper hoist was a white cogwheel, charged with a red star and an AK-47 crossed by a hoe, superimposed on an open book. The colours and symbols of the People's Republic flag retained by the current flag share the same meaning. The other symbols were given the following significance by the Mozambican government: the cogwheel represents the working class and industrial production, while the red star represents proletarian internationalism."</v>
      </c>
      <c r="HJ3" s="48" t="str">
        <f>CHAR(34)&amp;O3&amp;CHAR(34)</f>
        <v>"1975"</v>
      </c>
      <c r="HL3" s="48" t="str">
        <f>CHAR(34)&amp;I3&amp;CHAR(34)</f>
        <v>"https://en.wikipedia.org/wiki/Flag_of_Mozambique"</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{"couname":"[MOZ] Mozambique (1975–1983)","subtype":"[MOZ] Other","year":"1975","region":"rgn_Africa","Colors":["cl_BLA","cl_GRE","cl_RED","cl_YEL","cl_WHI"],"Items":["5+Colo","words2","lets21","startM","with_q","with_z","year19","dgband","alldia","4+Band","Diagon","Circle","Weapon","staRED","NO_BLU","001YEL","002WHI","003GRE","myrGRE","histor","HasSta","1Stars"],"Flag":"https://upload.wikimedia.org/wikipedia/commons/thumb/f/fd/Flag_of_Mozambique_%281975%E2%80%931983%29.svg/320px-Flag_of_Mozambique_%281975%E2%80%931983%29.svg.png","HDFlag":"https://upload.wikimedia.org/wikipedia/commons/thumb/f/fd/Flag_of_Mozambique_%281975%E2%80%931983%29.svg/2560px-Flag_of_Mozambique_%281975%E2%80%931983%29.svg.png","type":"Historical", "describe": "\nThe People's Republic of Mozambique proclaimed its independence on 25 June 1975, and a new national flag was hoisted in place of the Portuguese and FRELIMO flags. The new flag's design and significance were defined in Title IV, Article 68 of the Constitution of the People's Republic of Mozambique. The flag consisted of four diagonal stripes emanating from the upper hoist, separated by white fimbriations. The stripes were, from top to bottom, green, red, black, and yellow. Near the upper hoist was a white cogwheel, charged with a red star and an AK-47 crossed by a hoe, superimposed on an open book. The colours and symbols of the People's Republic flag retained by the current flag share the same meaning. The other symbols were given the following significance by the Mozambican government: the cogwheel represents the working class and industrial production, while the red star represents proletarian internationalism.", "isnew": ".", "links": "https://en.wikipedia.org/wiki/Flag_of_Mozambique"},</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{"couname":"[MOZ] Mozambique (1975–1983)","subtype":"[MOZ] Other","year":"1975","region":"rgn_Africa","Colors":["cl_BLA","cl_GRE","cl_RED","cl_YEL","cl_WHI"],"Items":["5+Colo","words2","lets21","startM","with_q","with_z","year19","dgband","alldia","4+Band","Diagon","Circle","Weapon","staRED","NO_BLU","001YEL","002WHI","003GRE","myrGRE","histor","HasSta","1Stars"],"Flag":"https://upload.wikimedia.org/wikipedia/commons/thumb/f/fd/Flag_of_Mozambique_%281975%E2%80%931983%29.svg/320px-Flag_of_Mozambique_%281975%E2%80%931983%29.svg.png","HDFlag":"https://upload.wikimedia.org/wikipedia/commons/thumb/f/fd/Flag_of_Mozambique_%281975%E2%80%931983%29.svg/2560px-Flag_of_Mozambique_%281975%E2%80%931983%29.svg.png","type":"Historical", "describe": "\nThe People's Republic of Mozambique proclaimed its independence on 25 June 1975, and a new national flag was hoisted in place of the Portuguese and FRELIMO flags. The new flag's design and significance were defined in Title IV, Article 68 of the Constitution of the People's Republic of Mozambique. The flag consisted of four diagonal stripes emanating from the upper hoist, separated by white fimbriations. The stripes were, from top to bottom, green, red, black, and yellow. Near the upper hoist was a white cogwheel, charged with a red star and an AK-47 crossed by a hoe, superimposed on an open book. The colours and symbols of the People's Republic flag retained by the current flag share the same meaning. The other symbols were given the following significance by the Mozambican government: the cogwheel represents the working class and industrial production, while the red star represents proletarian internationalism.", "isnew": ".", "links": "https://en.wikipedia.org/wiki/Flag_of_Mozambique"},</v>
      </c>
      <c r="HO3" s="75">
        <v>45644</v>
      </c>
      <c r="HP3" s="48" t="str" cm="1">
        <f t="array" ref="HP3">IF(_xlfn.TEXTJOIN(", ", TRUE, IF(ISNUMBER(SEARCH("BLA", BL3:BT3)), COLUMN(BL3:BT3) - COLUMN(BL3) + 1, ""))&lt;&gt;"","BLA","")</f>
        <v>BLA</v>
      </c>
      <c r="HQ3" s="48" t="str" cm="1">
        <f t="array" ref="HQ3">IF(_xlfn.TEXTJOIN(", ", TRUE, IF(ISNUMBER(SEARCH("BLU", BL3:BT3)), COLUMN(BL3:BT3) - COLUMN(BL3) + 1, ""))&lt;&gt;"","BLU","")</f>
        <v/>
      </c>
      <c r="HR3" s="48" t="str" cm="1">
        <f t="array" ref="HR3">IF(_xlfn.TEXTJOIN(", ", TRUE, IF(ISNUMBER(SEARCH("GRE", BL3:BT3)), COLUMN(BL3:BT3) - COLUMN(BL3) + 1, ""))&lt;&gt;"","GRE","")</f>
        <v>GRE</v>
      </c>
      <c r="HS3" s="48" t="str" cm="1">
        <f t="array" ref="HS3">IF(_xlfn.TEXTJOIN(", ", TRUE, IF(ISNUMBER(SEARCH("RED", BL3:BT3)), COLUMN(BL3:BT3) - COLUMN(BL3) + 1, ""))&lt;&gt;"","RED","")</f>
        <v>RED</v>
      </c>
      <c r="HT3" s="48" t="str" cm="1">
        <f t="array" ref="HT3">IF(_xlfn.TEXTJOIN(", ", TRUE, IF(ISNUMBER(SEARCH("YEL", BL3:BT3)), COLUMN(BL3:BT3) - COLUMN(BL3) + 1, ""))&lt;&gt;"","YEL","")</f>
        <v>YEL</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M3" s="45">
        <f>COUNTIF(IC3:IK3,"&gt;0")-CG3</f>
        <v>-5</v>
      </c>
      <c r="IN3" s="78" t="str">
        <f>"http://mkweb.bcgsc.ca/color-summarizer/?url="&amp;D3&amp;"&amp;precision=low&amp;num_clusters="&amp;CG3&amp;"&amp;text=1"</f>
        <v>http://mkweb.bcgsc.ca/color-summarizer/?url=https://upload.wikimedia.org/wikipedia/commons/thumb/f/fd/Flag_of_Mozambique_%281975%E2%80%931983%29.svg/320px-Flag_of_Mozambique_%281975%E2%80%931983%29.svg.png&amp;precision=low&amp;num_clusters=5&amp;text=1</v>
      </c>
      <c r="IO3" s="48" t="str">
        <f>IF(HP3&lt;&gt;"",CHAR(34)&amp;"black"&amp;CHAR(34),"")</f>
        <v>"black"</v>
      </c>
      <c r="IP3" s="48" t="str">
        <f>IF(HQ3&lt;&gt;"",CHAR(34)&amp;"blue"&amp;CHAR(34),"")</f>
        <v/>
      </c>
      <c r="IQ3" s="48" t="str">
        <f>IF(HR3&lt;&gt;"",CHAR(34)&amp;"green"&amp;CHAR(34),"")</f>
        <v>"green"</v>
      </c>
      <c r="IR3" s="48" t="str">
        <f>IF(HS3&lt;&gt;"",CHAR(34)&amp;"red"&amp;CHAR(34),"")</f>
        <v>"red"</v>
      </c>
      <c r="IS3" s="48" t="str">
        <f>IF(HT3&lt;&gt;"",CHAR(34)&amp;"yellow"&amp;CHAR(34),"")</f>
        <v>"yellow"</v>
      </c>
      <c r="IT3" s="48" t="str">
        <f>IF(HU3&lt;&gt;"",CHAR(34)&amp;"orange"&amp;CHAR(34),"")</f>
        <v/>
      </c>
      <c r="IU3" s="48" t="str">
        <f>IF(HV3&lt;&gt;"",CHAR(34)&amp;"brown"&amp;CHAR(34),"")</f>
        <v/>
      </c>
      <c r="IV3" s="48" t="str">
        <f>IF(HW3&lt;&gt;"",CHAR(34)&amp;"purple"&amp;CHAR(34),"")</f>
        <v/>
      </c>
      <c r="IW3" s="48" t="str">
        <f>IF(HX3&lt;&gt;"",CHAR(34)&amp;"white"&amp;CHAR(34),"")</f>
        <v>"white"</v>
      </c>
      <c r="IX3" s="48" t="str">
        <f>"{"&amp;CHAR(34)&amp;"url"&amp;CHAR(34)&amp;":"&amp;CHAR(34)&amp;IN3&amp;CHAR(34)&amp;","&amp;CHAR(34)&amp;"name"&amp;CHAR(34)&amp;":"&amp;CHAR(34)&amp;A3&amp;CHAR(34)&amp;"},"</f>
        <v>{"url":"http://mkweb.bcgsc.ca/color-summarizer/?url=https://upload.wikimedia.org/wikipedia/commons/thumb/f/fd/Flag_of_Mozambique_%281975%E2%80%931983%29.svg/320px-Flag_of_Mozambique_%281975%E2%80%931983%29.svg.png&amp;precision=low&amp;num_clusters=5&amp;text=1","name":"[MOZ] Mozambique (1975–1983)"},</v>
      </c>
      <c r="IY3" s="48">
        <v>1503</v>
      </c>
    </row>
    <row r="4" spans="1:259" ht="38.4" customHeight="1" x14ac:dyDescent="0.3">
      <c r="F4" s="82"/>
      <c r="G4" s="82"/>
      <c r="H4" s="82"/>
      <c r="I4" s="82"/>
      <c r="J4" s="82"/>
      <c r="K4" s="82"/>
    </row>
    <row r="5" spans="1:259" ht="38.4" customHeight="1" x14ac:dyDescent="0.3">
      <c r="F5" s="82"/>
      <c r="G5" s="82"/>
      <c r="H5" s="82"/>
      <c r="I5" s="82"/>
      <c r="J5" s="82"/>
      <c r="K5" s="82"/>
    </row>
    <row r="6" spans="1:259" ht="38.4" customHeight="1" x14ac:dyDescent="0.3">
      <c r="F6" s="82"/>
      <c r="G6" s="82"/>
      <c r="H6" s="82"/>
      <c r="I6" s="82"/>
      <c r="J6" s="82"/>
      <c r="K6" s="82"/>
    </row>
  </sheetData>
  <autoFilter ref="A1:IY1" xr:uid="{A1051193-A95B-4CFB-A73C-F0184620C81F}">
    <sortState xmlns:xlrd2="http://schemas.microsoft.com/office/spreadsheetml/2017/richdata2" ref="A2:IY5">
      <sortCondition ref="AW1"/>
    </sortState>
  </autoFilter>
  <conditionalFormatting sqref="H1 CW1:GS1 IA1:IB1">
    <cfRule type="cellIs" dxfId="2768" priority="201" operator="greaterThan">
      <formula>0</formula>
    </cfRule>
  </conditionalFormatting>
  <conditionalFormatting sqref="H1 H7:H1048576">
    <cfRule type="cellIs" dxfId="2767" priority="167" stopIfTrue="1" operator="notEqual">
      <formula>""</formula>
    </cfRule>
  </conditionalFormatting>
  <conditionalFormatting sqref="T1:BK1">
    <cfRule type="cellIs" dxfId="2766" priority="204" operator="greaterThan">
      <formula>0</formula>
    </cfRule>
  </conditionalFormatting>
  <conditionalFormatting sqref="BV1:BW1 BV4:BW1048576">
    <cfRule type="cellIs" dxfId="2765" priority="203" operator="equal">
      <formula>"nc"</formula>
    </cfRule>
  </conditionalFormatting>
  <conditionalFormatting sqref="HF1:HG1">
    <cfRule type="cellIs" dxfId="2764" priority="205" operator="greaterThan">
      <formula>0</formula>
    </cfRule>
  </conditionalFormatting>
  <conditionalFormatting sqref="HK1">
    <cfRule type="cellIs" dxfId="2763" priority="202" operator="greaterThan">
      <formula>0</formula>
    </cfRule>
  </conditionalFormatting>
  <conditionalFormatting sqref="HP1:HX1">
    <cfRule type="cellIs" dxfId="2762" priority="179" operator="equal">
      <formula>"PIN"</formula>
    </cfRule>
    <cfRule type="cellIs" dxfId="2761" priority="180" operator="equal">
      <formula>"ORA"</formula>
    </cfRule>
    <cfRule type="cellIs" dxfId="2760" priority="181" operator="equal">
      <formula>"GRA"</formula>
    </cfRule>
    <cfRule type="cellIs" dxfId="2759" priority="182" operator="equal">
      <formula>"PUR"</formula>
    </cfRule>
    <cfRule type="cellIs" dxfId="2758" priority="183" operator="equal">
      <formula>"BRO"</formula>
    </cfRule>
    <cfRule type="cellIs" dxfId="2757" priority="184" operator="equal">
      <formula>"YEL"</formula>
    </cfRule>
    <cfRule type="cellIs" dxfId="2756" priority="185" operator="equal">
      <formula>"BLU"</formula>
    </cfRule>
    <cfRule type="cellIs" dxfId="2755" priority="186" operator="equal">
      <formula>"WHI"</formula>
    </cfRule>
    <cfRule type="cellIs" dxfId="2754" priority="187" operator="equal">
      <formula>"GRE"</formula>
    </cfRule>
    <cfRule type="cellIs" dxfId="2753" priority="188" operator="equal">
      <formula>"RED"</formula>
    </cfRule>
    <cfRule type="cellIs" dxfId="2752" priority="189" operator="equal">
      <formula>"BLA"</formula>
    </cfRule>
  </conditionalFormatting>
  <conditionalFormatting sqref="IC1:IK1">
    <cfRule type="cellIs" dxfId="2751" priority="190" operator="equal">
      <formula>"PIN"</formula>
    </cfRule>
    <cfRule type="cellIs" dxfId="2750" priority="191" operator="equal">
      <formula>"ORA"</formula>
    </cfRule>
    <cfRule type="cellIs" dxfId="2749" priority="192" operator="equal">
      <formula>"GRA"</formula>
    </cfRule>
    <cfRule type="cellIs" dxfId="2748" priority="193" operator="equal">
      <formula>"PUR"</formula>
    </cfRule>
    <cfRule type="cellIs" dxfId="2747" priority="194" operator="equal">
      <formula>"BRO"</formula>
    </cfRule>
    <cfRule type="cellIs" dxfId="2746" priority="195" operator="equal">
      <formula>"YEL"</formula>
    </cfRule>
    <cfRule type="cellIs" dxfId="2745" priority="196" operator="equal">
      <formula>"BLU"</formula>
    </cfRule>
    <cfRule type="cellIs" dxfId="2744" priority="197" operator="equal">
      <formula>"WHI"</formula>
    </cfRule>
    <cfRule type="cellIs" dxfId="2743" priority="198" operator="equal">
      <formula>"GRE"</formula>
    </cfRule>
    <cfRule type="cellIs" dxfId="2742" priority="199" operator="equal">
      <formula>"RED"</formula>
    </cfRule>
    <cfRule type="cellIs" dxfId="2741" priority="200" operator="equal">
      <formula>"BLA"</formula>
    </cfRule>
  </conditionalFormatting>
  <conditionalFormatting sqref="IO1:IW1">
    <cfRule type="cellIs" dxfId="2740" priority="168" operator="equal">
      <formula>"PIN"</formula>
    </cfRule>
    <cfRule type="cellIs" dxfId="2739" priority="169" operator="equal">
      <formula>"ORA"</formula>
    </cfRule>
    <cfRule type="cellIs" dxfId="2738" priority="170" operator="equal">
      <formula>"GRA"</formula>
    </cfRule>
    <cfRule type="cellIs" dxfId="2737" priority="171" operator="equal">
      <formula>"PUR"</formula>
    </cfRule>
    <cfRule type="cellIs" dxfId="2736" priority="172" operator="equal">
      <formula>"BRO"</formula>
    </cfRule>
    <cfRule type="cellIs" dxfId="2735" priority="173" operator="equal">
      <formula>"YEL"</formula>
    </cfRule>
    <cfRule type="cellIs" dxfId="2734" priority="174" operator="equal">
      <formula>"BLU"</formula>
    </cfRule>
    <cfRule type="cellIs" dxfId="2733" priority="175" operator="equal">
      <formula>"WHI"</formula>
    </cfRule>
    <cfRule type="cellIs" dxfId="2732" priority="176" operator="equal">
      <formula>"GRE"</formula>
    </cfRule>
    <cfRule type="cellIs" dxfId="2731" priority="177" operator="equal">
      <formula>"RED"</formula>
    </cfRule>
    <cfRule type="cellIs" dxfId="2730" priority="178" operator="equal">
      <formula>"BLA"</formula>
    </cfRule>
  </conditionalFormatting>
  <conditionalFormatting sqref="H3">
    <cfRule type="cellIs" dxfId="2729" priority="76" stopIfTrue="1" operator="notEqual">
      <formula>""</formula>
    </cfRule>
  </conditionalFormatting>
  <conditionalFormatting sqref="R3 CU3">
    <cfRule type="cellIs" dxfId="2728" priority="79" operator="greaterThan">
      <formula>0</formula>
    </cfRule>
  </conditionalFormatting>
  <conditionalFormatting sqref="T3:AS3 CH3:CS3">
    <cfRule type="cellIs" dxfId="2727" priority="73" stopIfTrue="1" operator="equal">
      <formula>"n"</formula>
    </cfRule>
    <cfRule type="cellIs" dxfId="2726" priority="74" stopIfTrue="1" operator="equal">
      <formula>"y"</formula>
    </cfRule>
    <cfRule type="cellIs" dxfId="2725" priority="75" operator="greaterThan">
      <formula>0</formula>
    </cfRule>
  </conditionalFormatting>
  <conditionalFormatting sqref="AZ3:BB3">
    <cfRule type="expression" dxfId="2724" priority="60">
      <formula>$AT3=0</formula>
    </cfRule>
  </conditionalFormatting>
  <conditionalFormatting sqref="CD3:CF3 BX3:CA3 AZ3:BU3">
    <cfRule type="cellIs" dxfId="2723" priority="61" operator="equal">
      <formula>"PIN"</formula>
    </cfRule>
    <cfRule type="cellIs" dxfId="2722" priority="62" operator="equal">
      <formula>"ORA"</formula>
    </cfRule>
    <cfRule type="cellIs" dxfId="2721" priority="63" operator="equal">
      <formula>"GRA"</formula>
    </cfRule>
    <cfRule type="cellIs" dxfId="2720" priority="64" operator="equal">
      <formula>"PUR"</formula>
    </cfRule>
    <cfRule type="cellIs" dxfId="2719" priority="65" operator="equal">
      <formula>"BRO"</formula>
    </cfRule>
    <cfRule type="cellIs" dxfId="2718" priority="66" operator="equal">
      <formula>"YEL"</formula>
    </cfRule>
    <cfRule type="cellIs" dxfId="2717" priority="67" operator="equal">
      <formula>"BLU"</formula>
    </cfRule>
    <cfRule type="cellIs" dxfId="2716" priority="68" operator="equal">
      <formula>"WHI"</formula>
    </cfRule>
    <cfRule type="cellIs" dxfId="2715" priority="69" operator="equal">
      <formula>"GRE"</formula>
    </cfRule>
    <cfRule type="cellIs" dxfId="2714" priority="70" operator="equal">
      <formula>"RED"</formula>
    </cfRule>
    <cfRule type="cellIs" dxfId="2713" priority="71" operator="equal">
      <formula>"BLA"</formula>
    </cfRule>
  </conditionalFormatting>
  <conditionalFormatting sqref="BV3">
    <cfRule type="cellIs" dxfId="2712" priority="78" operator="equal">
      <formula>"nc"</formula>
    </cfRule>
  </conditionalFormatting>
  <conditionalFormatting sqref="CD3:CF3 BX3:CA3">
    <cfRule type="cellIs" dxfId="2711" priority="77" operator="equal">
      <formula>"y"</formula>
    </cfRule>
  </conditionalFormatting>
  <conditionalFormatting sqref="CD3:CF3 BZ3:CA3">
    <cfRule type="cellIs" dxfId="2710" priority="72" operator="greaterThan">
      <formula>0</formula>
    </cfRule>
  </conditionalFormatting>
  <conditionalFormatting sqref="IC3:IK3">
    <cfRule type="expression" dxfId="2709" priority="59">
      <formula>$IL3&gt;0</formula>
    </cfRule>
  </conditionalFormatting>
  <conditionalFormatting sqref="IC3">
    <cfRule type="cellIs" dxfId="2708" priority="53" stopIfTrue="1" operator="greaterThan">
      <formula>0</formula>
    </cfRule>
  </conditionalFormatting>
  <conditionalFormatting sqref="ID3">
    <cfRule type="cellIs" dxfId="2707" priority="51" stopIfTrue="1" operator="greaterThan">
      <formula>0</formula>
    </cfRule>
  </conditionalFormatting>
  <conditionalFormatting sqref="II3 IE3:IF3">
    <cfRule type="cellIs" dxfId="2706" priority="58" operator="greaterThan">
      <formula>0</formula>
    </cfRule>
  </conditionalFormatting>
  <conditionalFormatting sqref="II3 IF3">
    <cfRule type="cellIs" dxfId="2705" priority="52" stopIfTrue="1" operator="greaterThan">
      <formula>0</formula>
    </cfRule>
  </conditionalFormatting>
  <conditionalFormatting sqref="IG3">
    <cfRule type="cellIs" dxfId="2704" priority="57" operator="greaterThan">
      <formula>0</formula>
    </cfRule>
  </conditionalFormatting>
  <conditionalFormatting sqref="IH3:II3">
    <cfRule type="cellIs" dxfId="2703" priority="56" operator="greaterThan">
      <formula>0</formula>
    </cfRule>
  </conditionalFormatting>
  <conditionalFormatting sqref="IJ3">
    <cfRule type="cellIs" dxfId="2702" priority="55" operator="greaterThan">
      <formula>0</formula>
    </cfRule>
  </conditionalFormatting>
  <conditionalFormatting sqref="IK3">
    <cfRule type="cellIs" dxfId="2701" priority="54" operator="greaterThan">
      <formula>0</formula>
    </cfRule>
  </conditionalFormatting>
  <conditionalFormatting sqref="IF3">
    <cfRule type="cellIs" dxfId="2700" priority="50" stopIfTrue="1" operator="greaterThan">
      <formula>0</formula>
    </cfRule>
  </conditionalFormatting>
  <conditionalFormatting sqref="IM3">
    <cfRule type="cellIs" dxfId="2699" priority="49" operator="equal">
      <formula>0</formula>
    </cfRule>
  </conditionalFormatting>
  <conditionalFormatting sqref="BX3:CA3 CD3:CF3">
    <cfRule type="cellIs" dxfId="2698" priority="37" operator="equal">
      <formula>"y"</formula>
    </cfRule>
    <cfRule type="cellIs" dxfId="2697" priority="38" operator="equal">
      <formula>"PIN"</formula>
    </cfRule>
    <cfRule type="cellIs" dxfId="2696" priority="39" operator="equal">
      <formula>"ORA"</formula>
    </cfRule>
    <cfRule type="cellIs" dxfId="2695" priority="40" operator="equal">
      <formula>"GRA"</formula>
    </cfRule>
    <cfRule type="cellIs" dxfId="2694" priority="41" operator="equal">
      <formula>"PUR"</formula>
    </cfRule>
    <cfRule type="cellIs" dxfId="2693" priority="42" operator="equal">
      <formula>"BRO"</formula>
    </cfRule>
    <cfRule type="cellIs" dxfId="2692" priority="43" operator="equal">
      <formula>"YEL"</formula>
    </cfRule>
    <cfRule type="cellIs" dxfId="2691" priority="44" operator="equal">
      <formula>"BLU"</formula>
    </cfRule>
    <cfRule type="cellIs" dxfId="2690" priority="45" operator="equal">
      <formula>"WHI"</formula>
    </cfRule>
    <cfRule type="cellIs" dxfId="2689" priority="46" operator="equal">
      <formula>"GRE"</formula>
    </cfRule>
    <cfRule type="cellIs" dxfId="2688" priority="47" operator="equal">
      <formula>"RED"</formula>
    </cfRule>
    <cfRule type="cellIs" dxfId="2687" priority="48" operator="equal">
      <formula>"BLA"</formula>
    </cfRule>
  </conditionalFormatting>
  <conditionalFormatting sqref="AT3">
    <cfRule type="colorScale" priority="80">
      <colorScale>
        <cfvo type="min"/>
        <cfvo type="max"/>
        <color rgb="FFFCFCFF"/>
        <color theme="8" tint="0.39997558519241921"/>
      </colorScale>
    </cfRule>
  </conditionalFormatting>
  <conditionalFormatting sqref="S3">
    <cfRule type="colorScale" priority="81">
      <colorScale>
        <cfvo type="min"/>
        <cfvo type="max"/>
        <color rgb="FFFCFCFF"/>
        <color rgb="FF754BFB"/>
      </colorScale>
    </cfRule>
  </conditionalFormatting>
  <conditionalFormatting sqref="J3">
    <cfRule type="colorScale" priority="82">
      <colorScale>
        <cfvo type="min"/>
        <cfvo type="percentile" val="50"/>
        <cfvo type="max"/>
        <color rgb="FFF8696B"/>
        <color rgb="FFFFEB84"/>
        <color rgb="FF63BE7B"/>
      </colorScale>
    </cfRule>
  </conditionalFormatting>
  <conditionalFormatting sqref="CG3">
    <cfRule type="colorScale" priority="83">
      <colorScale>
        <cfvo type="min"/>
        <cfvo type="max"/>
        <color rgb="FFFCFCFF"/>
        <color rgb="FF63BE7B"/>
      </colorScale>
    </cfRule>
  </conditionalFormatting>
  <conditionalFormatting sqref="H2">
    <cfRule type="cellIs" dxfId="2686" priority="30" stopIfTrue="1" operator="notEqual">
      <formula>""</formula>
    </cfRule>
  </conditionalFormatting>
  <conditionalFormatting sqref="R2 CU2">
    <cfRule type="cellIs" dxfId="2685" priority="32" operator="greaterThan">
      <formula>0</formula>
    </cfRule>
  </conditionalFormatting>
  <conditionalFormatting sqref="T2:AS2 CH2:CS2">
    <cfRule type="cellIs" dxfId="2684" priority="27" stopIfTrue="1" operator="equal">
      <formula>"n"</formula>
    </cfRule>
    <cfRule type="cellIs" dxfId="2683" priority="28" stopIfTrue="1" operator="equal">
      <formula>"y"</formula>
    </cfRule>
    <cfRule type="cellIs" dxfId="2682" priority="29" operator="greaterThan">
      <formula>0</formula>
    </cfRule>
  </conditionalFormatting>
  <conditionalFormatting sqref="AZ2:BB2">
    <cfRule type="expression" dxfId="2681" priority="14">
      <formula>$AT2=0</formula>
    </cfRule>
  </conditionalFormatting>
  <conditionalFormatting sqref="AZ2:BU2">
    <cfRule type="cellIs" dxfId="2680" priority="15" operator="equal">
      <formula>"PIN"</formula>
    </cfRule>
    <cfRule type="cellIs" dxfId="2679" priority="16" operator="equal">
      <formula>"ORA"</formula>
    </cfRule>
    <cfRule type="cellIs" dxfId="2678" priority="17" operator="equal">
      <formula>"GRA"</formula>
    </cfRule>
    <cfRule type="cellIs" dxfId="2677" priority="18" operator="equal">
      <formula>"PUR"</formula>
    </cfRule>
    <cfRule type="cellIs" dxfId="2676" priority="19" operator="equal">
      <formula>"BRO"</formula>
    </cfRule>
    <cfRule type="cellIs" dxfId="2675" priority="20" operator="equal">
      <formula>"YEL"</formula>
    </cfRule>
    <cfRule type="cellIs" dxfId="2674" priority="21" operator="equal">
      <formula>"BLU"</formula>
    </cfRule>
    <cfRule type="cellIs" dxfId="2673" priority="22" operator="equal">
      <formula>"WHI"</formula>
    </cfRule>
    <cfRule type="cellIs" dxfId="2672" priority="23" operator="equal">
      <formula>"GRE"</formula>
    </cfRule>
    <cfRule type="cellIs" dxfId="2671" priority="24" operator="equal">
      <formula>"RED"</formula>
    </cfRule>
    <cfRule type="cellIs" dxfId="2670" priority="25" operator="equal">
      <formula>"BLA"</formula>
    </cfRule>
  </conditionalFormatting>
  <conditionalFormatting sqref="BV2">
    <cfRule type="cellIs" dxfId="2669" priority="31" operator="equal">
      <formula>"nc"</formula>
    </cfRule>
  </conditionalFormatting>
  <conditionalFormatting sqref="CD2:CF2 BZ2:CA2">
    <cfRule type="cellIs" dxfId="2668" priority="26" operator="greaterThan">
      <formula>0</formula>
    </cfRule>
  </conditionalFormatting>
  <conditionalFormatting sqref="IC2:IK2">
    <cfRule type="expression" dxfId="2667" priority="13">
      <formula>$IL2&gt;0</formula>
    </cfRule>
  </conditionalFormatting>
  <conditionalFormatting sqref="BX2:CA2 CD2:CF2">
    <cfRule type="cellIs" dxfId="2666" priority="1" operator="equal">
      <formula>"y"</formula>
    </cfRule>
    <cfRule type="cellIs" dxfId="2665" priority="2" operator="equal">
      <formula>"PIN"</formula>
    </cfRule>
    <cfRule type="cellIs" dxfId="2664" priority="3" operator="equal">
      <formula>"ORA"</formula>
    </cfRule>
    <cfRule type="cellIs" dxfId="2663" priority="4" operator="equal">
      <formula>"GRA"</formula>
    </cfRule>
    <cfRule type="cellIs" dxfId="2662" priority="5" operator="equal">
      <formula>"PUR"</formula>
    </cfRule>
    <cfRule type="cellIs" dxfId="2661" priority="6" operator="equal">
      <formula>"BRO"</formula>
    </cfRule>
    <cfRule type="cellIs" dxfId="2660" priority="7" operator="equal">
      <formula>"YEL"</formula>
    </cfRule>
    <cfRule type="cellIs" dxfId="2659" priority="8" operator="equal">
      <formula>"BLU"</formula>
    </cfRule>
    <cfRule type="cellIs" dxfId="2658" priority="9" operator="equal">
      <formula>"WHI"</formula>
    </cfRule>
    <cfRule type="cellIs" dxfId="2657" priority="10" operator="equal">
      <formula>"GRE"</formula>
    </cfRule>
    <cfRule type="cellIs" dxfId="2656" priority="11" operator="equal">
      <formula>"RED"</formula>
    </cfRule>
    <cfRule type="cellIs" dxfId="2655" priority="12" operator="equal">
      <formula>"BLA"</formula>
    </cfRule>
  </conditionalFormatting>
  <conditionalFormatting sqref="J2">
    <cfRule type="colorScale" priority="33">
      <colorScale>
        <cfvo type="min"/>
        <cfvo type="percentile" val="50"/>
        <cfvo type="max"/>
        <color rgb="FFF8696B"/>
        <color rgb="FFFFEB84"/>
        <color rgb="FF63BE7B"/>
      </colorScale>
    </cfRule>
  </conditionalFormatting>
  <conditionalFormatting sqref="S2">
    <cfRule type="colorScale" priority="34">
      <colorScale>
        <cfvo type="min"/>
        <cfvo type="max"/>
        <color rgb="FFFCFCFF"/>
        <color rgb="FF754BFB"/>
      </colorScale>
    </cfRule>
  </conditionalFormatting>
  <conditionalFormatting sqref="AT2">
    <cfRule type="colorScale" priority="35">
      <colorScale>
        <cfvo type="min"/>
        <cfvo type="max"/>
        <color rgb="FFFCFCFF"/>
        <color theme="8" tint="0.39997558519241921"/>
      </colorScale>
    </cfRule>
  </conditionalFormatting>
  <conditionalFormatting sqref="CG2">
    <cfRule type="colorScale" priority="36">
      <colorScale>
        <cfvo type="min"/>
        <cfvo type="max"/>
        <color rgb="FFFCFCFF"/>
        <color rgb="FF63BE7B"/>
      </colorScale>
    </cfRule>
  </conditionalFormatting>
  <hyperlinks>
    <hyperlink ref="A2" r:id="rId1" display="https://fbref.com/en/country/MOZ/Mozambique-Football" xr:uid="{3D0B9BF4-AADF-45C6-9DC1-6370AC801528}"/>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7170" r:id="rId6"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7171" r:id="rId7"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A526D6-A42E-4A5A-95C6-1C650B978B1F}">
  <sheetPr codeName="Sheet72"/>
  <dimension ref="A1:IY6"/>
  <sheetViews>
    <sheetView zoomScale="70" zoomScaleNormal="70" workbookViewId="0">
      <pane xSplit="5" ySplit="1" topLeftCell="F2" activePane="bottomRight" state="frozen"/>
      <selection pane="topRight" activeCell="F1" sqref="F1"/>
      <selection pane="bottomLeft" activeCell="A2" sqref="A2"/>
      <selection pane="bottomRight" activeCell="M3" sqref="M3"/>
    </sheetView>
  </sheetViews>
  <sheetFormatPr defaultRowHeight="38.4" customHeight="1" x14ac:dyDescent="0.3"/>
  <cols>
    <col min="1" max="1" width="52.44140625" style="81" bestFit="1" customWidth="1"/>
    <col min="2" max="2" width="10.109375" style="81" customWidth="1"/>
    <col min="3" max="3" width="7.44140625" style="82" customWidth="1"/>
    <col min="4" max="4" width="4.77734375" style="83" customWidth="1"/>
    <col min="5" max="5" width="4.5546875" style="83" customWidth="1"/>
    <col min="6" max="6" width="5.77734375" style="83" customWidth="1"/>
    <col min="7" max="7" width="7.44140625" style="81" customWidth="1"/>
    <col min="8" max="8" width="11.44140625" style="81" customWidth="1"/>
    <col min="9" max="9" width="10" style="81" customWidth="1"/>
    <col min="10" max="10" width="4.21875" style="81" customWidth="1"/>
    <col min="11" max="11" width="5.6640625" style="83" customWidth="1"/>
    <col min="12" max="12" width="2.88671875" style="83" customWidth="1"/>
    <col min="13" max="13" width="6.44140625" style="83" customWidth="1"/>
    <col min="14" max="14" width="4.5546875" style="83" customWidth="1"/>
    <col min="15" max="15" width="10.5546875" style="84" customWidth="1"/>
    <col min="16" max="16" width="6.88671875" style="83" customWidth="1"/>
    <col min="17" max="17" width="4.77734375" style="83" customWidth="1"/>
    <col min="18" max="18" width="13.109375" style="82" customWidth="1"/>
    <col min="19" max="19" width="6.77734375" style="82" customWidth="1"/>
    <col min="20" max="46" width="8.44140625" style="81" customWidth="1"/>
    <col min="47" max="47" width="24.5546875" style="81" customWidth="1"/>
    <col min="48" max="51" width="16.6640625" style="81" customWidth="1"/>
    <col min="52" max="52" width="6.5546875" style="81" customWidth="1"/>
    <col min="53" max="54" width="5.88671875" style="81" customWidth="1"/>
    <col min="55" max="55" width="1.33203125" style="81" customWidth="1"/>
    <col min="56" max="56" width="7.44140625" style="81" customWidth="1"/>
    <col min="57" max="57" width="2.33203125" style="81" customWidth="1"/>
    <col min="58" max="62" width="6.109375" style="81" customWidth="1"/>
    <col min="63" max="63" width="2.33203125" style="81" customWidth="1"/>
    <col min="64" max="64" width="7" style="81" bestFit="1" customWidth="1"/>
    <col min="65" max="65" width="6.44140625" style="81" bestFit="1" customWidth="1"/>
    <col min="66" max="66" width="7.109375" style="81" bestFit="1" customWidth="1"/>
    <col min="67" max="71" width="6.44140625" style="81" bestFit="1" customWidth="1"/>
    <col min="72" max="73" width="6.44140625" style="81" customWidth="1"/>
    <col min="74" max="75" width="13.44140625" style="81" customWidth="1"/>
    <col min="76" max="84" width="14.6640625" style="81" customWidth="1"/>
    <col min="85" max="85" width="6.44140625" style="81" customWidth="1"/>
    <col min="86" max="87" width="11.6640625" style="81" bestFit="1" customWidth="1"/>
    <col min="88" max="88" width="11.6640625" style="81" customWidth="1"/>
    <col min="89" max="89" width="12.77734375" style="81" bestFit="1" customWidth="1"/>
    <col min="90" max="90" width="16.44140625" style="82" bestFit="1" customWidth="1"/>
    <col min="91" max="92" width="14.88671875" style="82" bestFit="1" customWidth="1"/>
    <col min="93" max="93" width="16" style="82" bestFit="1" customWidth="1"/>
    <col min="94" max="97" width="7.77734375" style="81" customWidth="1"/>
    <col min="98" max="98" width="33.21875" style="81" customWidth="1"/>
    <col min="99" max="99" width="18" style="81" customWidth="1"/>
    <col min="100" max="100" width="75.6640625" style="81" customWidth="1"/>
    <col min="101" max="125" width="33" style="81" customWidth="1"/>
    <col min="126" max="126" width="8.88671875" style="81"/>
    <col min="127" max="128" width="9.44140625" style="81" bestFit="1" customWidth="1"/>
    <col min="129" max="129" width="10.77734375" style="81" bestFit="1" customWidth="1"/>
    <col min="130" max="134" width="10.77734375" style="81" customWidth="1"/>
    <col min="135" max="135" width="10.109375" style="81" bestFit="1" customWidth="1"/>
    <col min="136" max="136" width="7.77734375" style="81" bestFit="1" customWidth="1"/>
    <col min="137" max="137" width="7.77734375" style="81" customWidth="1"/>
    <col min="138" max="138" width="9" style="81" bestFit="1" customWidth="1"/>
    <col min="139" max="139" width="11.33203125" style="81" bestFit="1" customWidth="1"/>
    <col min="140" max="140" width="9.109375" style="81" bestFit="1" customWidth="1"/>
    <col min="141" max="141" width="9" style="81" bestFit="1" customWidth="1"/>
    <col min="142" max="142" width="12" style="81" bestFit="1" customWidth="1"/>
    <col min="143" max="166" width="12" style="81" customWidth="1"/>
    <col min="167" max="167" width="17.21875" style="81" customWidth="1"/>
    <col min="168" max="191" width="12" style="81" customWidth="1"/>
    <col min="192" max="192" width="8.5546875" style="81" bestFit="1" customWidth="1"/>
    <col min="193" max="193" width="8.5546875" style="81" customWidth="1"/>
    <col min="194" max="194" width="7.109375" style="81" bestFit="1" customWidth="1"/>
    <col min="195" max="195" width="7.5546875" style="81" bestFit="1" customWidth="1"/>
    <col min="196" max="196" width="8.5546875" style="81" bestFit="1" customWidth="1"/>
    <col min="197" max="200" width="8.5546875" style="81" customWidth="1"/>
    <col min="201" max="201" width="188.88671875" style="81" customWidth="1"/>
    <col min="202" max="202" width="9.5546875" style="81" bestFit="1" customWidth="1"/>
    <col min="203" max="203" width="10.44140625" style="81" bestFit="1" customWidth="1"/>
    <col min="204" max="204" width="11.109375" style="81" bestFit="1" customWidth="1"/>
    <col min="205" max="205" width="10.44140625" style="81" bestFit="1" customWidth="1"/>
    <col min="206" max="210" width="10.44140625" style="81" customWidth="1"/>
    <col min="211" max="211" width="45.44140625" style="81" customWidth="1"/>
    <col min="212" max="212" width="47.5546875" style="81" bestFit="1" customWidth="1"/>
    <col min="213" max="213" width="9.33203125" style="85" customWidth="1"/>
    <col min="214" max="214" width="119.5546875" style="81" customWidth="1"/>
    <col min="215" max="215" width="69.6640625" style="81" customWidth="1"/>
    <col min="216" max="218" width="8.88671875" style="81"/>
    <col min="219" max="219" width="37.109375" style="81" customWidth="1"/>
    <col min="220" max="220" width="16.33203125" style="81" customWidth="1"/>
    <col min="221" max="222" width="8.88671875" style="81"/>
    <col min="223" max="223" width="10.109375" style="81" bestFit="1" customWidth="1"/>
    <col min="224" max="232" width="10.88671875" style="81" customWidth="1"/>
    <col min="233" max="234" width="30.77734375" style="81" customWidth="1"/>
    <col min="235" max="235" width="5.109375" style="81" customWidth="1"/>
    <col min="236" max="236" width="3" style="81" customWidth="1"/>
    <col min="237" max="245" width="6.77734375" style="86" customWidth="1"/>
    <col min="246" max="247" width="8.88671875" style="81"/>
    <col min="248" max="248" width="61.5546875" style="81" customWidth="1"/>
    <col min="249" max="253" width="8.88671875" style="81"/>
    <col min="254" max="254" width="9" style="81" customWidth="1"/>
    <col min="255" max="16384" width="8.88671875" style="8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1094</v>
      </c>
      <c r="B2" s="40" t="e" vm="83">
        <v>#VALUE!</v>
      </c>
      <c r="C2" s="41">
        <v>1</v>
      </c>
      <c r="D2" s="42" t="s">
        <v>1095</v>
      </c>
      <c r="E2" s="43" t="s">
        <v>1096</v>
      </c>
      <c r="F2" s="44" t="s">
        <v>163</v>
      </c>
      <c r="G2" s="45">
        <f>COUNTIF($A$1:$A$8335,A2)</f>
        <v>1</v>
      </c>
      <c r="H2" s="46"/>
      <c r="I2" s="47" t="s">
        <v>1097</v>
      </c>
      <c r="J2" s="48" t="str">
        <f>""</f>
        <v/>
      </c>
      <c r="K2" s="49">
        <v>27202843</v>
      </c>
      <c r="L2" s="50">
        <v>135000</v>
      </c>
      <c r="M2" s="50" t="s">
        <v>1114</v>
      </c>
      <c r="N2" s="51" t="s">
        <v>180</v>
      </c>
      <c r="O2" s="52" t="s">
        <v>390</v>
      </c>
      <c r="P2" s="53" t="s">
        <v>1098</v>
      </c>
      <c r="Q2" s="54">
        <v>1</v>
      </c>
      <c r="R2" s="55" t="s">
        <v>180</v>
      </c>
      <c r="S2" s="56">
        <v>3</v>
      </c>
      <c r="T2" s="57" t="s">
        <v>164</v>
      </c>
      <c r="U2" s="58" t="s">
        <v>164</v>
      </c>
      <c r="V2" s="58" t="s">
        <v>167</v>
      </c>
      <c r="W2" s="58" t="s">
        <v>164</v>
      </c>
      <c r="X2" s="58" t="s">
        <v>167</v>
      </c>
      <c r="Y2" s="58" t="s">
        <v>164</v>
      </c>
      <c r="Z2" s="58" t="s">
        <v>164</v>
      </c>
      <c r="AA2" s="58" t="s">
        <v>164</v>
      </c>
      <c r="AB2" s="58" t="s">
        <v>164</v>
      </c>
      <c r="AC2" s="58" t="s">
        <v>164</v>
      </c>
      <c r="AD2" s="58" t="s">
        <v>167</v>
      </c>
      <c r="AE2" s="58" t="s">
        <v>164</v>
      </c>
      <c r="AF2" s="59" t="s">
        <v>164</v>
      </c>
      <c r="AG2" s="59" t="s">
        <v>167</v>
      </c>
      <c r="AH2" s="59" t="s">
        <v>167</v>
      </c>
      <c r="AI2" s="59" t="s">
        <v>164</v>
      </c>
      <c r="AJ2" s="59" t="s">
        <v>164</v>
      </c>
      <c r="AK2" s="59" t="s">
        <v>164</v>
      </c>
      <c r="AL2" s="59" t="s">
        <v>164</v>
      </c>
      <c r="AM2" s="59" t="s">
        <v>164</v>
      </c>
      <c r="AN2" s="59" t="s">
        <v>164</v>
      </c>
      <c r="AO2" s="59" t="s">
        <v>164</v>
      </c>
      <c r="AP2" s="59" t="s">
        <v>164</v>
      </c>
      <c r="AQ2" s="59" t="s">
        <v>164</v>
      </c>
      <c r="AR2" s="59" t="s">
        <v>164</v>
      </c>
      <c r="AS2" s="59" t="s">
        <v>164</v>
      </c>
      <c r="AT2" s="60">
        <v>0</v>
      </c>
      <c r="AU2" s="59"/>
      <c r="AV2" s="59" t="str">
        <f>IF(LEFT(A2,1)="[",LEFT(A2,5)&amp;AU2&amp;A2,"")</f>
        <v/>
      </c>
      <c r="AW2" s="59" t="str">
        <f t="shared" ref="AW2" si="0">C2&amp;H2&amp;A2</f>
        <v>1Niger</v>
      </c>
      <c r="AX2" s="61" t="str">
        <f>_xlfn.TEXTJOIN(";",TRUE,AU2:AW2)</f>
        <v>1Niger</v>
      </c>
      <c r="AY2" s="61"/>
      <c r="AZ2" s="62"/>
      <c r="BA2" s="62"/>
      <c r="BB2" s="62"/>
      <c r="BC2" s="63"/>
      <c r="BD2" s="64" t="s">
        <v>156</v>
      </c>
      <c r="BE2" s="47"/>
      <c r="BF2" s="64" t="s">
        <v>156</v>
      </c>
      <c r="BG2" s="64" t="s">
        <v>159</v>
      </c>
      <c r="BH2" s="64" t="s">
        <v>153</v>
      </c>
      <c r="BI2" s="64"/>
      <c r="BJ2" s="64"/>
      <c r="BK2" s="47"/>
      <c r="BL2" s="64" t="s">
        <v>156</v>
      </c>
      <c r="BM2" s="64" t="s">
        <v>159</v>
      </c>
      <c r="BN2" s="64" t="s">
        <v>153</v>
      </c>
      <c r="BO2" s="64"/>
      <c r="BP2" s="64"/>
      <c r="BQ2" s="64"/>
      <c r="BR2" s="64"/>
      <c r="BS2" s="64"/>
      <c r="BT2" s="64"/>
      <c r="BU2" s="65"/>
      <c r="BV2" s="66" t="s">
        <v>165</v>
      </c>
      <c r="BW2" s="66">
        <v>0</v>
      </c>
      <c r="BX2" s="47"/>
      <c r="BZ2" s="48" t="s">
        <v>167</v>
      </c>
      <c r="CB2" s="6" t="s">
        <v>137</v>
      </c>
      <c r="CC2" s="6"/>
      <c r="CD2" s="67">
        <v>0</v>
      </c>
      <c r="CE2" s="67">
        <v>0</v>
      </c>
      <c r="CF2" s="67" t="e">
        <v>#REF!</v>
      </c>
      <c r="CG2" s="68" cm="1">
        <f t="array" ref="CG2">SUMPRODUCT(--(LEN(TRIM(BL2:BT2))&gt;0))</f>
        <v>3</v>
      </c>
      <c r="CH2" s="59" t="str">
        <f>IF(CG2=2,"y","n")</f>
        <v>n</v>
      </c>
      <c r="CI2" s="59" t="str">
        <f>IF(CG2=3,"y","n")</f>
        <v>y</v>
      </c>
      <c r="CJ2" s="59" t="str">
        <f>IF(CG2=4,"y","n")</f>
        <v>n</v>
      </c>
      <c r="CK2" s="59" t="str">
        <f>IF(CG2&gt;4,"y","n")</f>
        <v>n</v>
      </c>
      <c r="CL2" s="59" t="str">
        <f>IF(S2=0,"y","n")</f>
        <v>n</v>
      </c>
      <c r="CM2" s="59" t="str">
        <f>IF(S2=2,"y","n")</f>
        <v>n</v>
      </c>
      <c r="CN2" s="59" t="str">
        <f>IF(S2=3,"y","n")</f>
        <v>y</v>
      </c>
      <c r="CO2" s="59" t="str">
        <f>IF(S2&gt;=4,"y","n")</f>
        <v>n</v>
      </c>
      <c r="CP2" s="59" t="str">
        <f>IF(AT2=0,"y","n")</f>
        <v>y</v>
      </c>
      <c r="CQ2" s="59" t="str">
        <f>IF(AT2=1,"y","n")</f>
        <v>n</v>
      </c>
      <c r="CR2" s="59" t="str">
        <f>IF(AT2=2,"y","n")</f>
        <v>n</v>
      </c>
      <c r="CS2" s="59" t="str">
        <f>IF(AT2&gt;=3,"y","n")</f>
        <v>n</v>
      </c>
      <c r="CT2" s="69" t="str">
        <f>CHAR(34)&amp;A2&amp;CHAR(34)</f>
        <v>"Niger"</v>
      </c>
      <c r="CU2" s="70" t="str">
        <f>CHAR(34)&amp;"rgn_"&amp;R2&amp;CHAR(34)</f>
        <v>"rgn_Africa"</v>
      </c>
      <c r="CV2" s="48" t="str">
        <f>CHAR(34)&amp;D2&amp;CHAR(34)</f>
        <v>"https://i.ibb.co/8Dtc0Qq/Niger-Flag.png"</v>
      </c>
      <c r="CW2" s="48" t="str">
        <f>IF(CH2="y",CHAR(34)&amp;CH$1&amp;CHAR(34)&amp;",","")</f>
        <v/>
      </c>
      <c r="CX2" s="48" t="str">
        <f>IF(CI2="y",CHAR(34)&amp;CI$1&amp;CHAR(34)&amp;",","")</f>
        <v>"3Color",</v>
      </c>
      <c r="CY2" s="48" t="str">
        <f>IF(CJ2="y",CHAR(34)&amp;CJ$1&amp;CHAR(34)&amp;",","")</f>
        <v/>
      </c>
      <c r="CZ2" s="48" t="str">
        <f>IF(CK2="y",CHAR(34)&amp;CK$1&amp;CHAR(34)&amp;",","")</f>
        <v/>
      </c>
      <c r="DA2" s="48" t="str">
        <f>IF(Q2&gt;1,CHAR(34)&amp;"words2"&amp;CHAR(34)&amp;",","")</f>
        <v/>
      </c>
      <c r="DB2" s="48" t="str">
        <f>IF(Q2&gt;2,CHAR(34)&amp;"words3"&amp;CHAR(34)&amp;",","")</f>
        <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"lets05",</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"startN",</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"RERAHI",</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
      </c>
      <c r="DS2" s="6" t="str">
        <f>IF(W2="y",IF(AND(V2="n",BY2&lt;&gt;"y"),CHAR(34)&amp;"allver"&amp;CHAR(34)&amp;",",""),"")</f>
        <v/>
      </c>
      <c r="DT2" s="6" t="str">
        <f>IF(V2="y",IF(AND(W2="n",BY2&lt;&gt;"y"),CHAR(34)&amp;"allhor"&amp;CHAR(34)&amp;",",""),"")</f>
        <v>"allhor",</v>
      </c>
      <c r="DU2" s="6" t="str">
        <f>IF(BY2="y",IF(AND(W2="n",V2="n"),CHAR(34)&amp;"alldia"&amp;CHAR(34)&amp;",",""),"")</f>
        <v/>
      </c>
      <c r="DV2" s="48" t="str">
        <f>IF(IA2&lt;&gt;"",(IF(IA2="y",CHAR(34)&amp;"largec"&amp;CHAR(34)&amp;",",CHAR(34)&amp;"smallc"&amp;CHAR(34)&amp;",")),"")</f>
        <v/>
      </c>
      <c r="DW2" s="48" t="str">
        <f>IF(CL2="y",CHAR(34)&amp;CL$1&amp;CHAR(34)&amp;",","")</f>
        <v/>
      </c>
      <c r="DX2" s="48" t="str">
        <f>IF(CM2="y",CHAR(34)&amp;CM$1&amp;CHAR(34)&amp;",","")</f>
        <v/>
      </c>
      <c r="DY2" s="48" t="str">
        <f>IF(CN2="y",CHAR(34)&amp;CN$1&amp;CHAR(34)&amp;",","")</f>
        <v>"3Bands",</v>
      </c>
      <c r="DZ2" s="48" t="str">
        <f>IF(CO2="y",CHAR(34)&amp;CO$1&amp;CHAR(34)&amp;",","")</f>
        <v/>
      </c>
      <c r="EA2" s="48" t="str">
        <f>IF(T2="y",CHAR(34)&amp;T$1&amp;CHAR(34)&amp;",","")</f>
        <v/>
      </c>
      <c r="EB2" s="48" t="str">
        <f>IF(U2="y",CHAR(34)&amp;U$1&amp;CHAR(34)&amp;",","")</f>
        <v/>
      </c>
      <c r="EC2" s="48" t="str">
        <f>IF(V2="y",CHAR(34)&amp;V$1&amp;CHAR(34)&amp;",","")</f>
        <v>"Horizo",</v>
      </c>
      <c r="ED2" s="48" t="str">
        <f>IF(W2="y",CHAR(34)&amp;W$1&amp;CHAR(34)&amp;",","")</f>
        <v/>
      </c>
      <c r="EE2" s="48" t="str">
        <f>IF(X2="y",CHAR(34)&amp;X$1&amp;CHAR(34)&amp;",","")</f>
        <v>"Circle",</v>
      </c>
      <c r="EF2" s="48" t="str">
        <f>IF(AND(Y2&lt;&gt;"n",Y2&lt;&gt;""),CHAR(34)&amp;Y$1&amp;CHAR(34)&amp;",","")</f>
        <v/>
      </c>
      <c r="EG2" s="48" t="str">
        <f>IF(Z2="y",CHAR(34)&amp;Z$1&amp;CHAR(34)&amp;",","")</f>
        <v/>
      </c>
      <c r="EH2" s="48" t="str">
        <f>IF(AA2="y",CHAR(34)&amp;AA$1&amp;CHAR(34)&amp;",","")</f>
        <v/>
      </c>
      <c r="EI2" s="48" t="str">
        <f>IF(AB2="y",CHAR(34)&amp;AB$1&amp;CHAR(34)&amp;",","")</f>
        <v/>
      </c>
      <c r="EJ2" s="48" t="str">
        <f>IF(AC2="y",CHAR(34)&amp;AC$1&amp;CHAR(34)&amp;",","")</f>
        <v/>
      </c>
      <c r="EK2" s="48" t="str">
        <f>IF(AD2="y",CHAR(34)&amp;AD$1&amp;CHAR(34)&amp;",","")</f>
        <v>"HasSun",</v>
      </c>
      <c r="EL2" s="48" t="str">
        <f>IF(AE2="y",CHAR(34)&amp;AE$1&amp;CHAR(34)&amp;",","")</f>
        <v/>
      </c>
      <c r="EM2" s="48" t="str">
        <f>IF(AF2="y",CHAR(34)&amp;AF$1&amp;CHAR(34)&amp;",","")</f>
        <v/>
      </c>
      <c r="EN2" s="48" t="str">
        <f>IF(AG2="y",CHAR(34)&amp;AG$1&amp;CHAR(34)&amp;",","")</f>
        <v>"Unequa",</v>
      </c>
      <c r="EO2" s="48" t="str">
        <f>IF(AH2="y",CHAR(34)&amp;AH$1&amp;CHAR(34)&amp;",","")</f>
        <v>"Center",</v>
      </c>
      <c r="EP2" s="48" t="str">
        <f>IF(AI2="y",CHAR(34)&amp;AI$1&amp;CHAR(34)&amp;",","")</f>
        <v/>
      </c>
      <c r="EQ2" s="48" t="str">
        <f>IF(AJ2="y",CHAR(34)&amp;AJ$1&amp;CHAR(34)&amp;",","")</f>
        <v/>
      </c>
      <c r="ER2" s="48" t="str">
        <f>IF(AK2="y",CHAR(34)&amp;AK$1&amp;CHAR(34)&amp;",","")</f>
        <v/>
      </c>
      <c r="ES2" s="48" t="str">
        <f>IF(AL2="y",CHAR(34)&amp;AL$1&amp;CHAR(34)&amp;",","")</f>
        <v/>
      </c>
      <c r="ET2" s="48" t="str">
        <f>IF(AM2="y",CHAR(34)&amp;AM$1&amp;CHAR(34)&amp;",","")</f>
        <v/>
      </c>
      <c r="EU2" s="48" t="str">
        <f>IF(AN2="y",CHAR(34)&amp;AN$1&amp;CHAR(34)&amp;",","")</f>
        <v/>
      </c>
      <c r="EV2" s="48" t="str">
        <f>IF(AO2="y",CHAR(34)&amp;AO$1&amp;CHAR(34)&amp;",","")</f>
        <v/>
      </c>
      <c r="EW2" s="48" t="str">
        <f>IF(AP2="y",CHAR(34)&amp;AP$1&amp;CHAR(34)&amp;",","")</f>
        <v/>
      </c>
      <c r="EX2" s="48" t="str">
        <f>IF(AQ2="y",CHAR(34)&amp;AQ$1&amp;CHAR(34)&amp;",","")</f>
        <v/>
      </c>
      <c r="EY2" s="48" t="str">
        <f>IF(AR2="y",CHAR(34)&amp;AR$1&amp;CHAR(34)&amp;",","")</f>
        <v/>
      </c>
      <c r="EZ2" s="48" t="str">
        <f>IF(AS2="y",CHAR(34)&amp;AS$1&amp;CHAR(34)&amp;",","")</f>
        <v/>
      </c>
      <c r="FA2" s="48" t="str">
        <f>IF(AT2&gt;0,CHAR(34)&amp;"sta"&amp;AZ2&amp;CHAR(34)&amp;",","")</f>
        <v/>
      </c>
      <c r="FB2" s="48" t="str">
        <f>IF(AND(AT2&gt;0,BA2&lt;&gt;""),CHAR(34)&amp;"sta"&amp;BA2&amp;CHAR(34)&amp;",","")</f>
        <v/>
      </c>
      <c r="FC2" s="48" t="str">
        <f>IF(AND(AT2&gt;0,BB2&lt;&gt;""),CHAR(34)&amp;"sta"&amp;BB2&amp;CHAR(34)&amp;",","")</f>
        <v/>
      </c>
      <c r="FD2" s="48" t="str">
        <f>IF(BV2="n",CHAR(34)&amp;"tcWHYE"&amp;CHAR(34)&amp;",",IF(BV2="y",CHAR(34)&amp;FD$1&amp;CHAR(34)&amp;",",""))</f>
        <v/>
      </c>
      <c r="FE2" s="48" t="str">
        <f>IF(COUNTIF(BL2:BT2,"BLU")=0,CHAR(34)&amp;"NO_BLU"&amp;CHAR(34)&amp;",", "")</f>
        <v>"NO_BLU",</v>
      </c>
      <c r="FF2" s="48" t="str">
        <f>IF(COUNTIF(BL2:BT2,"WHI")=0,CHAR(34)&amp;"NO_WHI"&amp;CHAR(34)&amp;",", "")</f>
        <v/>
      </c>
      <c r="FG2" s="48" t="str">
        <f>IF(COUNTIF(BL2:BT2,"RED")=0,CHAR(34)&amp;"NO_RED"&amp;CHAR(34)&amp;",", "")</f>
        <v>"NO_RED",</v>
      </c>
      <c r="FH2" s="48" t="str">
        <f>IF(COUNTIF(BL2:BS2,"GRE")=0,CHAR(34)&amp;"NO_GRE"&amp;CHAR(34)&amp;",", "")</f>
        <v/>
      </c>
      <c r="FI2" s="48" t="str">
        <f>IF(COUNTIF(BL2:BT2,"YEL")=0,CHAR(34)&amp;"NO_YEL"&amp;CHAR(34)&amp;",", "")</f>
        <v>"NO_YEL",</v>
      </c>
      <c r="FJ2" s="48" t="str">
        <f>IF(COUNTIF(BL2:BT2,"BLA")=0,CHAR(34)&amp;"NO_BLA"&amp;CHAR(34)&amp;",", "")</f>
        <v>"NO_BLA",</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"BLRENO",</v>
      </c>
      <c r="FP2" s="48" t="str">
        <f>IF(AND(FF2&lt;&gt;"",FF2&lt;&gt;""),CHAR(34)&amp;"WHRENO"&amp;CHAR(34)&amp;",","")</f>
        <v/>
      </c>
      <c r="FQ2" s="48" t="str">
        <f>IF(LEN(BF2)=3,CHAR(34)&amp;"001"&amp;BF2&amp;CHAR(34)&amp;",","")</f>
        <v>"001ORA",</v>
      </c>
      <c r="FR2" s="48" t="str">
        <f>IF(LEN(BG2)=3,CHAR(34)&amp;"002"&amp;BG2&amp;CHAR(34)&amp;",","")</f>
        <v>"002WHI",</v>
      </c>
      <c r="FS2" s="48" t="str">
        <f>IF(LEN(BH2)=3,CHAR(34)&amp;"003"&amp;BH2&amp;CHAR(34)&amp;",","")</f>
        <v>"003GRE",</v>
      </c>
      <c r="FT2" s="48" t="str">
        <f>CHAR(34)&amp;"myr"&amp;BD2&amp;CHAR(34)&amp;","</f>
        <v>"myrORA",</v>
      </c>
      <c r="FU2" s="48" t="str">
        <f>IF(AY2="y",CHAR(34)&amp;"island"&amp;CHAR(34)&amp;",","")</f>
        <v/>
      </c>
      <c r="FV2" s="48" t="str">
        <f>IF(BZ2="y",CHAR(34)&amp;"landlo"&amp;CHAR(34)&amp;",","")</f>
        <v>"landlo",</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
      </c>
      <c r="GA2" s="48" t="str">
        <f>IFERROR(IF(SEARCH("French",CB2)&gt;0,CHAR(34)&amp;"french"&amp;CHAR(34)&amp;",",""),"")</f>
        <v>"french",</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"NoStar",</v>
      </c>
      <c r="GK2" s="48" t="str">
        <f>IF(GJ2="",CHAR(34)&amp;"HasSta"&amp;CHAR(34)&amp;",","")</f>
        <v/>
      </c>
      <c r="GL2" s="48" t="str">
        <f>IF(CQ2="y",CHAR(34)&amp;CQ$1&amp;CHAR(34)&amp;",","")</f>
        <v/>
      </c>
      <c r="GM2" s="48" t="str">
        <f>IF(CR2="y",CHAR(34)&amp;CR$1&amp;CHAR(34)&amp;",","")</f>
        <v/>
      </c>
      <c r="GN2" s="48" t="str">
        <f>IF(CS2="y",CHAR(34)&amp;CS$1&amp;CHAR(34)&amp;",","")</f>
        <v/>
      </c>
      <c r="GP2" s="48" t="str">
        <f>CHAR(34)&amp;AU2&amp;CHAR(34)</f>
        <v>""</v>
      </c>
      <c r="GS2" s="48" t="str">
        <f>SUBSTITUTE("["&amp;_xlfn.CONCAT(CW2:GN2)&amp;"]",",]","]")</f>
        <v>["3Color","lets05","startN","RERAHI","year19","allhor","3Bands","Horizo","Circle","HasSun","Unequa","Center","NO_BLU","NO_RED","NO_YEL","NO_BLA","BLRENO","001ORA","002WHI","003GRE","myrORA","landlo","french","NoStar"]</v>
      </c>
      <c r="GT2" s="48" t="str">
        <f>IF(BL2&lt;&gt;"",CHAR(34)&amp;"cl_"&amp;BL2&amp;CHAR(34)&amp;",","")</f>
        <v>"cl_ORA",</v>
      </c>
      <c r="GU2" s="48" t="str">
        <f>IF(BM2&lt;&gt;"",CHAR(34)&amp;"cl_"&amp;BM2&amp;CHAR(34)&amp;",","")</f>
        <v>"cl_WHI",</v>
      </c>
      <c r="GV2" s="48" t="str">
        <f>IF(BN2&lt;&gt;"",CHAR(34)&amp;"cl_"&amp;BN2&amp;CHAR(34)&amp;",","")</f>
        <v>"cl_GRE",</v>
      </c>
      <c r="GW2" s="48" t="str">
        <f>IF(BO2&lt;&gt;"",CHAR(34)&amp;"cl_"&amp;BO2&amp;CHAR(34)&amp;",","")</f>
        <v/>
      </c>
      <c r="GX2" s="48" t="str">
        <f>IF(BP2&lt;&gt;"",CHAR(34)&amp;"cl_"&amp;BP2&amp;CHAR(34)&amp;",","")</f>
        <v/>
      </c>
      <c r="GY2" s="48" t="str">
        <f>IF(BQ2&lt;&gt;"",CHAR(34)&amp;"cl_"&amp;BQ2&amp;CHAR(34)&amp;",","")</f>
        <v/>
      </c>
      <c r="GZ2" s="48" t="str">
        <f>IF(BR2&lt;&gt;"",CHAR(34)&amp;"cl_"&amp;BR2&amp;CHAR(34)&amp;",","")</f>
        <v/>
      </c>
      <c r="HA2" s="48" t="str">
        <f>IF(BS2&lt;&gt;"",CHAR(34)&amp;"cl_"&amp;BS2&amp;CHAR(34)&amp;",","")</f>
        <v/>
      </c>
      <c r="HB2" s="48" t="str">
        <f>IF(BT2&lt;&gt;"",CHAR(34)&amp;"cl_"&amp;BT2&amp;CHAR(34)&amp;",","")</f>
        <v/>
      </c>
      <c r="HC2" s="48" t="str">
        <f>SUBSTITUTE("["&amp;_xlfn.CONCAT(GT2:HB2)&amp;"]",",]","]")</f>
        <v>["cl_ORA","cl_WHI","cl_GRE"]</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{couname:"Niger",year:"1959 ",region:"rgn_Africa",Colors:["cl_ORA","cl_WHI","cl_GRE"],Items:["3Color","lets05","startN","RERAHI","year19","allhor","3Bands","Horizo","Circle","HasSun","Unequa","Center","NO_BLU","NO_RED","NO_YEL","NO_BLA","BLRENO","001ORA","002WHI","003GRE","myrORA","landlo","french","NoStar"],Flag:"https://i.ibb.co/8Dtc0Qq/Niger-Flag.png",HDFlag:"https://upload.wikimedia.org/wikipedia/commons/thumb/f/f4/Flag_of_Niger.svg/2389px-Flag_of_Niger.svg.png",type:"", describe: "\nA number of sources have described the symbolic intent of the flag, although official sources have yet to confirm. Common interpretations are that the upper orange band represents the northern regions of the Sahara Desert, or the Sahel, the center white band represents purity, or the Niger River, and the lower green band represents both hope and the fertile regions of southern Niger as well as the country's Muslim majority. The orange disc in the center band is thought to stand for the sun or independence. ", isnew:".", links: "https://en.wikipedia.org/wiki/Flag_of_Niger"},</v>
      </c>
      <c r="HG2" s="73" t="str">
        <f>"{couname:"&amp;CT2&amp;(IF(HK2&lt;&gt;"",",subtype:"&amp;CHAR(34)&amp;HK2&amp;CHAR(34),""))&amp;",year:"&amp;HJ2&amp;",region:"&amp;CU2&amp;",Colors:"&amp;HC2&amp;",Items:"&amp;GS2&amp;",Flag:"&amp;CV2&amp;",HDFlag:"&amp;CHAR(34)&amp;E2&amp;CHAR(34)&amp;",type:"&amp;GP2&amp;", describe: "&amp;HI2&amp;", links: "&amp;HL2&amp;"},"</f>
        <v>{couname:"Niger",year:"1959 ",region:"rgn_Africa",Colors:["cl_ORA","cl_WHI","cl_GRE"],Items:["3Color","lets05","startN","RERAHI","year19","allhor","3Bands","Horizo","Circle","HasSun","Unequa","Center","NO_BLU","NO_RED","NO_YEL","NO_BLA","BLRENO","001ORA","002WHI","003GRE","myrORA","landlo","french","NoStar"],Flag:"https://i.ibb.co/8Dtc0Qq/Niger-Flag.png",HDFlag:"https://upload.wikimedia.org/wikipedia/commons/thumb/f/f4/Flag_of_Niger.svg/2389px-Flag_of_Niger.svg.png",type:"", describe: "\nA number of sources have described the symbolic intent of the flag, although official sources have yet to confirm. Common interpretations are that the upper orange band represents the northern regions of the Sahara Desert, or the Sahel, the center white band represents purity, or the Niger River, and the lower green band represents both hope and the fertile regions of southern Niger as well as the country's Muslim majority. The orange disc in the center band is thought to stand for the sun or independence. ", links: "https://en.wikipedia.org/wiki/Flag_of_Niger"},</v>
      </c>
      <c r="HH2" s="48" t="str">
        <f>IF(P2&lt;&gt;"",CHAR(34)&amp;"\n"&amp;P2&amp;CHAR(34),CHAR(34)&amp;CHAR(34))</f>
        <v>"\nA number of sources have described the symbolic intent of the flag, although official sources have yet to confirm. Common interpretations are that the upper orange band represents the northern regions of the Sahara Desert, or the Sahel, the center white band represents purity, or the Niger River, and the lower green band represents both hope and the fertile regions of southern Niger as well as the country's Muslim majority. The orange disc in the center band is thought to stand for the sun or independence. "</v>
      </c>
      <c r="HI2" s="48" t="str">
        <f>IF(J2=0,CHAR(34)&amp;CHAR(34),HH2)</f>
        <v>"\nA number of sources have described the symbolic intent of the flag, although official sources have yet to confirm. Common interpretations are that the upper orange band represents the northern regions of the Sahara Desert, or the Sahel, the center white band represents purity, or the Niger River, and the lower green band represents both hope and the fertile regions of southern Niger as well as the country's Muslim majority. The orange disc in the center band is thought to stand for the sun or independence. "</v>
      </c>
      <c r="HJ2" s="48" t="str">
        <f>CHAR(34)&amp;O2&amp;CHAR(34)</f>
        <v>"1959 "</v>
      </c>
      <c r="HL2" s="48" t="str">
        <f>CHAR(34)&amp;I2&amp;CHAR(34)</f>
        <v>"https://en.wikipedia.org/wiki/Flag_of_Niger"</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{"couname":"Niger","year":"1959 ","region":"rgn_Africa","Colors":["cl_ORA","cl_WHI","cl_GRE"],"Items":["3Color","lets05","startN","RERAHI","year19","allhor","3Bands","Horizo","Circle","HasSun","Unequa","Center","NO_BLU","NO_RED","NO_YEL","NO_BLA","BLRENO","001ORA","002WHI","003GRE","myrORA","landlo","french","NoStar"],"Flag":"https://i.ibb.co/8Dtc0Qq/Niger-Flag.png","HDFlag":"https://upload.wikimedia.org/wikipedia/commons/thumb/f/f4/Flag_of_Niger.svg/2389px-Flag_of_Niger.svg.png","type":"", "describe": "\nA number of sources have described the symbolic intent of the flag, although official sources have yet to confirm. Common interpretations are that the upper orange band represents the northern regions of the Sahara Desert, or the Sahel, the center white band represents purity, or the Niger River, and the lower green band represents both hope and the fertile regions of southern Niger as well as the country's Muslim majority. The orange disc in the center band is thought to stand for the sun or independence. ", "isnew": ".", "links": "https://en.wikipedia.org/wiki/Flag_of_Niger"},</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{"couname":"Niger","year":"1959 ","region":"rgn_Africa","Colors":["cl_ORA","cl_WHI","cl_GRE"],"Items":["3Color","lets05","startN","RERAHI","year19","allhor","3Bands","Horizo","Circle","HasSun","Unequa","Center","NO_BLU","NO_RED","NO_YEL","NO_BLA","BLRENO","001ORA","002WHI","003GRE","myrORA","landlo","french","NoStar"],"Flag":"https://i.ibb.co/8Dtc0Qq/Niger-Flag.png","HDFlag":"https://upload.wikimedia.org/wikipedia/commons/thumb/f/f4/Flag_of_Niger.svg/2389px-Flag_of_Niger.svg.png","type":"", "describe": "\nA number of sources have described the symbolic intent of the flag, although official sources have yet to confirm. Common interpretations are that the upper orange band represents the northern regions of the Sahara Desert, or the Sahel, the center white band represents purity, or the Niger River, and the lower green band represents both hope and the fertile regions of southern Niger as well as the country's Muslim majority. The orange disc in the center band is thought to stand for the sun or independence. ", "isnew": ".", "links": "https://en.wikipedia.org/wiki/Flag_of_Niger"},</v>
      </c>
      <c r="HO2" s="75"/>
      <c r="HP2" s="48" t="str" cm="1">
        <f t="array" ref="HP2">IF(_xlfn.TEXTJOIN(", ", TRUE, IF(ISNUMBER(SEARCH("BLA", BL2:BT2)), COLUMN(BL2:BT2) - COLUMN(BL2) + 1, ""))&lt;&gt;"","BLA","")</f>
        <v/>
      </c>
      <c r="HQ2" s="48" t="str" cm="1">
        <f t="array" ref="HQ2">IF(_xlfn.TEXTJOIN(", ", TRUE, IF(ISNUMBER(SEARCH("BLU", BL2:BT2)), COLUMN(BL2:BT2) - COLUMN(BL2) + 1, ""))&lt;&gt;"","BLU","")</f>
        <v/>
      </c>
      <c r="HR2" s="48" t="str" cm="1">
        <f t="array" ref="HR2">IF(_xlfn.TEXTJOIN(", ", TRUE, IF(ISNUMBER(SEARCH("GRE", BL2:BT2)), COLUMN(BL2:BT2) - COLUMN(BL2) + 1, ""))&lt;&gt;"","GRE","")</f>
        <v>GRE</v>
      </c>
      <c r="HS2" s="48" t="str" cm="1">
        <f t="array" ref="HS2">IF(_xlfn.TEXTJOIN(", ", TRUE, IF(ISNUMBER(SEARCH("RED", BL2:BT2)), COLUMN(BL2:BT2) - COLUMN(BL2) + 1, ""))&lt;&gt;"","RED","")</f>
        <v/>
      </c>
      <c r="HT2" s="48" t="str" cm="1">
        <f t="array" ref="HT2">IF(_xlfn.TEXTJOIN(", ", TRUE, IF(ISNUMBER(SEARCH("YEL", BL2:BT2)), COLUMN(BL2:BT2) - COLUMN(BL2) + 1, ""))&lt;&gt;"","YEL","")</f>
        <v/>
      </c>
      <c r="HU2" s="48" t="str" cm="1">
        <f t="array" ref="HU2">IF(_xlfn.TEXTJOIN(", ", TRUE, IF(ISNUMBER(SEARCH("ORA", BL2:BT2)), COLUMN(BL2:BT2) - COLUMN(BL2) + 1, ""))&lt;&gt;"","ORA","")</f>
        <v>ORA</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c r="IB2" s="6"/>
      <c r="IC2" s="77"/>
      <c r="ID2" s="77"/>
      <c r="IE2" s="77"/>
      <c r="IF2" s="77"/>
      <c r="IG2" s="77"/>
      <c r="IH2" s="77"/>
      <c r="II2" s="77"/>
      <c r="IJ2" s="77"/>
      <c r="IK2" s="77"/>
      <c r="IL2" s="48">
        <f>SUM(IC2:IK2)</f>
        <v>0</v>
      </c>
      <c r="IM2" s="45">
        <f>COUNTIF(IC2:IK2,"&gt;0")-CG2</f>
        <v>-3</v>
      </c>
      <c r="IN2" s="78" t="str">
        <f>"http://mkweb.bcgsc.ca/color-summarizer/?url="&amp;D2&amp;"&amp;precision=low&amp;num_clusters="&amp;CG2&amp;"&amp;text=1"</f>
        <v>http://mkweb.bcgsc.ca/color-summarizer/?url=https://i.ibb.co/8Dtc0Qq/Niger-Flag.png&amp;precision=low&amp;num_clusters=3&amp;text=1</v>
      </c>
      <c r="IO2" s="48" t="str">
        <f>IF(HP2&lt;&gt;"",CHAR(34)&amp;"black"&amp;CHAR(34),"")</f>
        <v/>
      </c>
      <c r="IP2" s="48" t="str">
        <f>IF(HQ2&lt;&gt;"",CHAR(34)&amp;"blue"&amp;CHAR(34),"")</f>
        <v/>
      </c>
      <c r="IQ2" s="48" t="str">
        <f>IF(HR2&lt;&gt;"",CHAR(34)&amp;"green"&amp;CHAR(34),"")</f>
        <v>"green"</v>
      </c>
      <c r="IR2" s="48" t="str">
        <f>IF(HS2&lt;&gt;"",CHAR(34)&amp;"red"&amp;CHAR(34),"")</f>
        <v/>
      </c>
      <c r="IS2" s="48" t="str">
        <f>IF(HT2&lt;&gt;"",CHAR(34)&amp;"yellow"&amp;CHAR(34),"")</f>
        <v/>
      </c>
      <c r="IT2" s="48" t="str">
        <f>IF(HU2&lt;&gt;"",CHAR(34)&amp;"orange"&amp;CHAR(34),"")</f>
        <v>"orange"</v>
      </c>
      <c r="IU2" s="48" t="str">
        <f>IF(HV2&lt;&gt;"",CHAR(34)&amp;"brown"&amp;CHAR(34),"")</f>
        <v/>
      </c>
      <c r="IV2" s="48" t="str">
        <f>IF(HW2&lt;&gt;"",CHAR(34)&amp;"purple"&amp;CHAR(34),"")</f>
        <v/>
      </c>
      <c r="IW2" s="48" t="str">
        <f>IF(HX2&lt;&gt;"",CHAR(34)&amp;"white"&amp;CHAR(34),"")</f>
        <v>"white"</v>
      </c>
      <c r="IX2" s="48" t="str">
        <f>"{"&amp;CHAR(34)&amp;"url"&amp;CHAR(34)&amp;":"&amp;CHAR(34)&amp;IN2&amp;CHAR(34)&amp;","&amp;CHAR(34)&amp;"name"&amp;CHAR(34)&amp;":"&amp;CHAR(34)&amp;A2&amp;CHAR(34)&amp;"},"</f>
        <v>{"url":"http://mkweb.bcgsc.ca/color-summarizer/?url=https://i.ibb.co/8Dtc0Qq/Niger-Flag.png&amp;precision=low&amp;num_clusters=3&amp;text=1","name":"Niger"},</v>
      </c>
      <c r="IY2" s="48">
        <v>155</v>
      </c>
    </row>
    <row r="3" spans="1:259" ht="38.4" customHeight="1" x14ac:dyDescent="0.3">
      <c r="D3" s="81"/>
      <c r="E3" s="81"/>
      <c r="F3" s="81"/>
    </row>
    <row r="4" spans="1:259" ht="38.4" customHeight="1" x14ac:dyDescent="0.3">
      <c r="D4" s="81"/>
      <c r="E4" s="81"/>
      <c r="F4" s="81"/>
      <c r="K4" s="81"/>
      <c r="L4" s="81"/>
      <c r="M4" s="81"/>
      <c r="N4" s="81"/>
      <c r="O4" s="81"/>
      <c r="P4" s="81"/>
      <c r="Q4" s="81"/>
      <c r="R4" s="81"/>
    </row>
    <row r="5" spans="1:259" ht="38.4" customHeight="1" x14ac:dyDescent="0.3">
      <c r="D5" s="81"/>
      <c r="E5" s="81"/>
      <c r="F5" s="81"/>
      <c r="K5" s="81"/>
      <c r="L5" s="81"/>
      <c r="M5" s="81"/>
      <c r="N5" s="81"/>
      <c r="O5" s="81"/>
      <c r="P5" s="81"/>
      <c r="Q5" s="81"/>
      <c r="R5" s="81"/>
    </row>
    <row r="6" spans="1:259" ht="38.4" customHeight="1" x14ac:dyDescent="0.3">
      <c r="D6" s="81"/>
      <c r="E6" s="81"/>
      <c r="F6" s="81"/>
      <c r="K6" s="81"/>
      <c r="L6" s="81"/>
      <c r="M6" s="81"/>
      <c r="N6" s="81"/>
      <c r="O6" s="81"/>
      <c r="P6" s="81"/>
      <c r="Q6" s="81"/>
      <c r="R6" s="81"/>
    </row>
  </sheetData>
  <autoFilter ref="A1:IY1" xr:uid="{A1051193-A95B-4CFB-A73C-F0184620C81F}">
    <sortState xmlns:xlrd2="http://schemas.microsoft.com/office/spreadsheetml/2017/richdata2" ref="A2:IY5">
      <sortCondition ref="AW1"/>
    </sortState>
  </autoFilter>
  <conditionalFormatting sqref="H1 CW1:GS1 IA1:IB1">
    <cfRule type="cellIs" dxfId="2654" priority="154" operator="greaterThan">
      <formula>0</formula>
    </cfRule>
  </conditionalFormatting>
  <conditionalFormatting sqref="H1 H7:H1048576">
    <cfRule type="cellIs" dxfId="2653" priority="120" stopIfTrue="1" operator="notEqual">
      <formula>""</formula>
    </cfRule>
  </conditionalFormatting>
  <conditionalFormatting sqref="T1:BK1">
    <cfRule type="cellIs" dxfId="2652" priority="157" operator="greaterThan">
      <formula>0</formula>
    </cfRule>
  </conditionalFormatting>
  <conditionalFormatting sqref="BV1:BW1 BV3:BW1048576">
    <cfRule type="cellIs" dxfId="2651" priority="156" operator="equal">
      <formula>"nc"</formula>
    </cfRule>
  </conditionalFormatting>
  <conditionalFormatting sqref="HF1:HG1">
    <cfRule type="cellIs" dxfId="2650" priority="158" operator="greaterThan">
      <formula>0</formula>
    </cfRule>
  </conditionalFormatting>
  <conditionalFormatting sqref="HK1">
    <cfRule type="cellIs" dxfId="2649" priority="155" operator="greaterThan">
      <formula>0</formula>
    </cfRule>
  </conditionalFormatting>
  <conditionalFormatting sqref="HP1:HX1">
    <cfRule type="cellIs" dxfId="2648" priority="132" operator="equal">
      <formula>"PIN"</formula>
    </cfRule>
    <cfRule type="cellIs" dxfId="2647" priority="133" operator="equal">
      <formula>"ORA"</formula>
    </cfRule>
    <cfRule type="cellIs" dxfId="2646" priority="134" operator="equal">
      <formula>"GRA"</formula>
    </cfRule>
    <cfRule type="cellIs" dxfId="2645" priority="135" operator="equal">
      <formula>"PUR"</formula>
    </cfRule>
    <cfRule type="cellIs" dxfId="2644" priority="136" operator="equal">
      <formula>"BRO"</formula>
    </cfRule>
    <cfRule type="cellIs" dxfId="2643" priority="137" operator="equal">
      <formula>"YEL"</formula>
    </cfRule>
    <cfRule type="cellIs" dxfId="2642" priority="138" operator="equal">
      <formula>"BLU"</formula>
    </cfRule>
    <cfRule type="cellIs" dxfId="2641" priority="139" operator="equal">
      <formula>"WHI"</formula>
    </cfRule>
    <cfRule type="cellIs" dxfId="2640" priority="140" operator="equal">
      <formula>"GRE"</formula>
    </cfRule>
    <cfRule type="cellIs" dxfId="2639" priority="141" operator="equal">
      <formula>"RED"</formula>
    </cfRule>
    <cfRule type="cellIs" dxfId="2638" priority="142" operator="equal">
      <formula>"BLA"</formula>
    </cfRule>
  </conditionalFormatting>
  <conditionalFormatting sqref="IC1:IK1">
    <cfRule type="cellIs" dxfId="2637" priority="143" operator="equal">
      <formula>"PIN"</formula>
    </cfRule>
    <cfRule type="cellIs" dxfId="2636" priority="144" operator="equal">
      <formula>"ORA"</formula>
    </cfRule>
    <cfRule type="cellIs" dxfId="2635" priority="145" operator="equal">
      <formula>"GRA"</formula>
    </cfRule>
    <cfRule type="cellIs" dxfId="2634" priority="146" operator="equal">
      <formula>"PUR"</formula>
    </cfRule>
    <cfRule type="cellIs" dxfId="2633" priority="147" operator="equal">
      <formula>"BRO"</formula>
    </cfRule>
    <cfRule type="cellIs" dxfId="2632" priority="148" operator="equal">
      <formula>"YEL"</formula>
    </cfRule>
    <cfRule type="cellIs" dxfId="2631" priority="149" operator="equal">
      <formula>"BLU"</formula>
    </cfRule>
    <cfRule type="cellIs" dxfId="2630" priority="150" operator="equal">
      <formula>"WHI"</formula>
    </cfRule>
    <cfRule type="cellIs" dxfId="2629" priority="151" operator="equal">
      <formula>"GRE"</formula>
    </cfRule>
    <cfRule type="cellIs" dxfId="2628" priority="152" operator="equal">
      <formula>"RED"</formula>
    </cfRule>
    <cfRule type="cellIs" dxfId="2627" priority="153" operator="equal">
      <formula>"BLA"</formula>
    </cfRule>
  </conditionalFormatting>
  <conditionalFormatting sqref="IO1:IW1">
    <cfRule type="cellIs" dxfId="2626" priority="121" operator="equal">
      <formula>"PIN"</formula>
    </cfRule>
    <cfRule type="cellIs" dxfId="2625" priority="122" operator="equal">
      <formula>"ORA"</formula>
    </cfRule>
    <cfRule type="cellIs" dxfId="2624" priority="123" operator="equal">
      <formula>"GRA"</formula>
    </cfRule>
    <cfRule type="cellIs" dxfId="2623" priority="124" operator="equal">
      <formula>"PUR"</formula>
    </cfRule>
    <cfRule type="cellIs" dxfId="2622" priority="125" operator="equal">
      <formula>"BRO"</formula>
    </cfRule>
    <cfRule type="cellIs" dxfId="2621" priority="126" operator="equal">
      <formula>"YEL"</formula>
    </cfRule>
    <cfRule type="cellIs" dxfId="2620" priority="127" operator="equal">
      <formula>"BLU"</formula>
    </cfRule>
    <cfRule type="cellIs" dxfId="2619" priority="128" operator="equal">
      <formula>"WHI"</formula>
    </cfRule>
    <cfRule type="cellIs" dxfId="2618" priority="129" operator="equal">
      <formula>"GRE"</formula>
    </cfRule>
    <cfRule type="cellIs" dxfId="2617" priority="130" operator="equal">
      <formula>"RED"</formula>
    </cfRule>
    <cfRule type="cellIs" dxfId="2616" priority="131" operator="equal">
      <formula>"BLA"</formula>
    </cfRule>
  </conditionalFormatting>
  <conditionalFormatting sqref="H2">
    <cfRule type="cellIs" dxfId="64" priority="30" stopIfTrue="1" operator="notEqual">
      <formula>""</formula>
    </cfRule>
  </conditionalFormatting>
  <conditionalFormatting sqref="R2 CU2">
    <cfRule type="cellIs" dxfId="63" priority="32" operator="greaterThan">
      <formula>0</formula>
    </cfRule>
  </conditionalFormatting>
  <conditionalFormatting sqref="T2:AS2 CH2:CS2">
    <cfRule type="cellIs" dxfId="62" priority="27" stopIfTrue="1" operator="equal">
      <formula>"n"</formula>
    </cfRule>
    <cfRule type="cellIs" dxfId="61" priority="28" stopIfTrue="1" operator="equal">
      <formula>"y"</formula>
    </cfRule>
    <cfRule type="cellIs" dxfId="60" priority="29" operator="greaterThan">
      <formula>0</formula>
    </cfRule>
  </conditionalFormatting>
  <conditionalFormatting sqref="AZ2:BB2">
    <cfRule type="expression" dxfId="59" priority="14">
      <formula>$AT2=0</formula>
    </cfRule>
  </conditionalFormatting>
  <conditionalFormatting sqref="AZ2:BU2">
    <cfRule type="cellIs" dxfId="58" priority="15" operator="equal">
      <formula>"PIN"</formula>
    </cfRule>
    <cfRule type="cellIs" dxfId="57" priority="16" operator="equal">
      <formula>"ORA"</formula>
    </cfRule>
    <cfRule type="cellIs" dxfId="56" priority="17" operator="equal">
      <formula>"GRA"</formula>
    </cfRule>
    <cfRule type="cellIs" dxfId="55" priority="18" operator="equal">
      <formula>"PUR"</formula>
    </cfRule>
    <cfRule type="cellIs" dxfId="54" priority="19" operator="equal">
      <formula>"BRO"</formula>
    </cfRule>
    <cfRule type="cellIs" dxfId="53" priority="20" operator="equal">
      <formula>"YEL"</formula>
    </cfRule>
    <cfRule type="cellIs" dxfId="52" priority="21" operator="equal">
      <formula>"BLU"</formula>
    </cfRule>
    <cfRule type="cellIs" dxfId="51" priority="22" operator="equal">
      <formula>"WHI"</formula>
    </cfRule>
    <cfRule type="cellIs" dxfId="50" priority="23" operator="equal">
      <formula>"GRE"</formula>
    </cfRule>
    <cfRule type="cellIs" dxfId="49" priority="24" operator="equal">
      <formula>"RED"</formula>
    </cfRule>
    <cfRule type="cellIs" dxfId="48" priority="25" operator="equal">
      <formula>"BLA"</formula>
    </cfRule>
  </conditionalFormatting>
  <conditionalFormatting sqref="BV2">
    <cfRule type="cellIs" dxfId="47" priority="31" operator="equal">
      <formula>"nc"</formula>
    </cfRule>
  </conditionalFormatting>
  <conditionalFormatting sqref="CD2:CF2 BZ2:CA2">
    <cfRule type="cellIs" dxfId="46" priority="26" operator="greaterThan">
      <formula>0</formula>
    </cfRule>
  </conditionalFormatting>
  <conditionalFormatting sqref="IC2:IK2">
    <cfRule type="expression" dxfId="45" priority="13">
      <formula>$IL2&gt;0</formula>
    </cfRule>
  </conditionalFormatting>
  <conditionalFormatting sqref="BX2:CA2 CD2:CF2">
    <cfRule type="cellIs" dxfId="44" priority="1" operator="equal">
      <formula>"y"</formula>
    </cfRule>
    <cfRule type="cellIs" dxfId="43" priority="2" operator="equal">
      <formula>"PIN"</formula>
    </cfRule>
    <cfRule type="cellIs" dxfId="42" priority="3" operator="equal">
      <formula>"ORA"</formula>
    </cfRule>
    <cfRule type="cellIs" dxfId="41" priority="4" operator="equal">
      <formula>"GRA"</formula>
    </cfRule>
    <cfRule type="cellIs" dxfId="40" priority="5" operator="equal">
      <formula>"PUR"</formula>
    </cfRule>
    <cfRule type="cellIs" dxfId="39" priority="6" operator="equal">
      <formula>"BRO"</formula>
    </cfRule>
    <cfRule type="cellIs" dxfId="38" priority="7" operator="equal">
      <formula>"YEL"</formula>
    </cfRule>
    <cfRule type="cellIs" dxfId="37" priority="8" operator="equal">
      <formula>"BLU"</formula>
    </cfRule>
    <cfRule type="cellIs" dxfId="36" priority="9" operator="equal">
      <formula>"WHI"</formula>
    </cfRule>
    <cfRule type="cellIs" dxfId="35" priority="10" operator="equal">
      <formula>"GRE"</formula>
    </cfRule>
    <cfRule type="cellIs" dxfId="34" priority="11" operator="equal">
      <formula>"RED"</formula>
    </cfRule>
    <cfRule type="cellIs" dxfId="33" priority="12" operator="equal">
      <formula>"BLA"</formula>
    </cfRule>
  </conditionalFormatting>
  <conditionalFormatting sqref="J2">
    <cfRule type="colorScale" priority="33">
      <colorScale>
        <cfvo type="min"/>
        <cfvo type="percentile" val="50"/>
        <cfvo type="max"/>
        <color rgb="FFF8696B"/>
        <color rgb="FFFFEB84"/>
        <color rgb="FF63BE7B"/>
      </colorScale>
    </cfRule>
  </conditionalFormatting>
  <conditionalFormatting sqref="S2">
    <cfRule type="colorScale" priority="34">
      <colorScale>
        <cfvo type="min"/>
        <cfvo type="max"/>
        <color rgb="FFFCFCFF"/>
        <color rgb="FF754BFB"/>
      </colorScale>
    </cfRule>
  </conditionalFormatting>
  <conditionalFormatting sqref="AT2">
    <cfRule type="colorScale" priority="35">
      <colorScale>
        <cfvo type="min"/>
        <cfvo type="max"/>
        <color rgb="FFFCFCFF"/>
        <color theme="8" tint="0.39997558519241921"/>
      </colorScale>
    </cfRule>
  </conditionalFormatting>
  <conditionalFormatting sqref="CG2">
    <cfRule type="colorScale" priority="36">
      <colorScale>
        <cfvo type="min"/>
        <cfvo type="max"/>
        <color rgb="FFFCFCFF"/>
        <color rgb="FF63BE7B"/>
      </colorScale>
    </cfRule>
  </conditionalFormatting>
  <hyperlinks>
    <hyperlink ref="A2" r:id="rId1" display="https://fbref.com/en/country/NIG/Niger-Football" xr:uid="{A75C4FA8-0BD9-4CB4-8C8E-0676DCBDF1E6}"/>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60417" r:id="rId5"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60418" r:id="rId6"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60419" r:id="rId7"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E13FB9-3A20-4589-9181-E41380E1FC20}">
  <sheetPr codeName="Sheet1">
    <tabColor rgb="FFC00000"/>
  </sheetPr>
  <dimension ref="A1"/>
  <sheetViews>
    <sheetView workbookViewId="0"/>
  </sheetViews>
  <sheetFormatPr defaultRowHeight="14.4" x14ac:dyDescent="0.3"/>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A57838-83CD-4C90-824E-D2746C76000B}">
  <sheetPr codeName="Sheet36"/>
  <dimension ref="A1:IY10"/>
  <sheetViews>
    <sheetView zoomScale="70" zoomScaleNormal="70" workbookViewId="0">
      <pane xSplit="5" ySplit="1" topLeftCell="F2" activePane="bottomRight" state="frozen"/>
      <selection pane="topRight" activeCell="F1" sqref="F1"/>
      <selection pane="bottomLeft" activeCell="A2" sqref="A2"/>
      <selection pane="bottomRight" activeCell="A3" sqref="A3"/>
    </sheetView>
  </sheetViews>
  <sheetFormatPr defaultRowHeight="38.4" customHeight="1" x14ac:dyDescent="0.3"/>
  <cols>
    <col min="1" max="1" width="52.44140625" style="81" bestFit="1" customWidth="1"/>
    <col min="2" max="2" width="10.109375" style="81" customWidth="1"/>
    <col min="3" max="3" width="7.44140625" style="82" customWidth="1"/>
    <col min="4" max="4" width="4.77734375" style="83" customWidth="1"/>
    <col min="5" max="5" width="4.5546875" style="83" customWidth="1"/>
    <col min="6" max="6" width="5.77734375" style="83" customWidth="1"/>
    <col min="7" max="7" width="7.44140625" style="81" customWidth="1"/>
    <col min="8" max="8" width="11.44140625" style="81" customWidth="1"/>
    <col min="9" max="9" width="10" style="81" customWidth="1"/>
    <col min="10" max="10" width="4.21875" style="81" customWidth="1"/>
    <col min="11" max="11" width="5.6640625" style="83" customWidth="1"/>
    <col min="12" max="12" width="2.88671875" style="83" customWidth="1"/>
    <col min="13" max="13" width="6.44140625" style="83" customWidth="1"/>
    <col min="14" max="14" width="4.5546875" style="83" customWidth="1"/>
    <col min="15" max="15" width="10.5546875" style="84" customWidth="1"/>
    <col min="16" max="16" width="6.88671875" style="83" customWidth="1"/>
    <col min="17" max="17" width="4.77734375" style="83" customWidth="1"/>
    <col min="18" max="18" width="13.109375" style="82" customWidth="1"/>
    <col min="19" max="19" width="6.77734375" style="82" customWidth="1"/>
    <col min="20" max="46" width="8.44140625" style="81" customWidth="1"/>
    <col min="47" max="47" width="24.5546875" style="81" customWidth="1"/>
    <col min="48" max="51" width="16.6640625" style="81" customWidth="1"/>
    <col min="52" max="52" width="6.5546875" style="81" customWidth="1"/>
    <col min="53" max="54" width="5.88671875" style="81" customWidth="1"/>
    <col min="55" max="55" width="1.33203125" style="81" customWidth="1"/>
    <col min="56" max="56" width="7.44140625" style="81" customWidth="1"/>
    <col min="57" max="57" width="2.33203125" style="81" customWidth="1"/>
    <col min="58" max="62" width="6.109375" style="81" customWidth="1"/>
    <col min="63" max="63" width="2.33203125" style="81" customWidth="1"/>
    <col min="64" max="64" width="7" style="81" bestFit="1" customWidth="1"/>
    <col min="65" max="65" width="6.44140625" style="81" bestFit="1" customWidth="1"/>
    <col min="66" max="66" width="7.109375" style="81" bestFit="1" customWidth="1"/>
    <col min="67" max="71" width="6.44140625" style="81" bestFit="1" customWidth="1"/>
    <col min="72" max="73" width="6.44140625" style="81" customWidth="1"/>
    <col min="74" max="75" width="13.44140625" style="81" customWidth="1"/>
    <col min="76" max="84" width="14.6640625" style="81" customWidth="1"/>
    <col min="85" max="85" width="6.44140625" style="81" customWidth="1"/>
    <col min="86" max="87" width="11.6640625" style="81" bestFit="1" customWidth="1"/>
    <col min="88" max="88" width="11.6640625" style="81" customWidth="1"/>
    <col min="89" max="89" width="12.77734375" style="81" bestFit="1" customWidth="1"/>
    <col min="90" max="90" width="16.44140625" style="82" bestFit="1" customWidth="1"/>
    <col min="91" max="92" width="14.88671875" style="82" bestFit="1" customWidth="1"/>
    <col min="93" max="93" width="16" style="82" bestFit="1" customWidth="1"/>
    <col min="94" max="97" width="7.77734375" style="81" customWidth="1"/>
    <col min="98" max="98" width="33.21875" style="81" customWidth="1"/>
    <col min="99" max="99" width="18" style="81" customWidth="1"/>
    <col min="100" max="100" width="75.6640625" style="81" customWidth="1"/>
    <col min="101" max="125" width="33" style="81" customWidth="1"/>
    <col min="126" max="126" width="8.88671875" style="81"/>
    <col min="127" max="128" width="9.44140625" style="81" bestFit="1" customWidth="1"/>
    <col min="129" max="129" width="10.77734375" style="81" bestFit="1" customWidth="1"/>
    <col min="130" max="134" width="10.77734375" style="81" customWidth="1"/>
    <col min="135" max="135" width="10.109375" style="81" bestFit="1" customWidth="1"/>
    <col min="136" max="136" width="7.77734375" style="81" bestFit="1" customWidth="1"/>
    <col min="137" max="137" width="7.77734375" style="81" customWidth="1"/>
    <col min="138" max="138" width="9" style="81" bestFit="1" customWidth="1"/>
    <col min="139" max="139" width="11.33203125" style="81" bestFit="1" customWidth="1"/>
    <col min="140" max="140" width="9.109375" style="81" bestFit="1" customWidth="1"/>
    <col min="141" max="141" width="9" style="81" bestFit="1" customWidth="1"/>
    <col min="142" max="142" width="12" style="81" bestFit="1" customWidth="1"/>
    <col min="143" max="166" width="12" style="81" customWidth="1"/>
    <col min="167" max="167" width="17.21875" style="81" customWidth="1"/>
    <col min="168" max="191" width="12" style="81" customWidth="1"/>
    <col min="192" max="192" width="8.5546875" style="81" bestFit="1" customWidth="1"/>
    <col min="193" max="193" width="8.5546875" style="81" customWidth="1"/>
    <col min="194" max="194" width="7.109375" style="81" bestFit="1" customWidth="1"/>
    <col min="195" max="195" width="7.5546875" style="81" bestFit="1" customWidth="1"/>
    <col min="196" max="196" width="8.5546875" style="81" bestFit="1" customWidth="1"/>
    <col min="197" max="200" width="8.5546875" style="81" customWidth="1"/>
    <col min="201" max="201" width="188.88671875" style="81" customWidth="1"/>
    <col min="202" max="202" width="9.5546875" style="81" bestFit="1" customWidth="1"/>
    <col min="203" max="203" width="10.44140625" style="81" bestFit="1" customWidth="1"/>
    <col min="204" max="204" width="11.109375" style="81" bestFit="1" customWidth="1"/>
    <col min="205" max="205" width="10.44140625" style="81" bestFit="1" customWidth="1"/>
    <col min="206" max="210" width="10.44140625" style="81" customWidth="1"/>
    <col min="211" max="211" width="45.44140625" style="81" customWidth="1"/>
    <col min="212" max="212" width="47.5546875" style="81" bestFit="1" customWidth="1"/>
    <col min="213" max="213" width="9.33203125" style="85" customWidth="1"/>
    <col min="214" max="214" width="119.5546875" style="81" customWidth="1"/>
    <col min="215" max="215" width="69.6640625" style="81" customWidth="1"/>
    <col min="216" max="218" width="8.88671875" style="81"/>
    <col min="219" max="219" width="37.109375" style="81" customWidth="1"/>
    <col min="220" max="220" width="16.33203125" style="81" customWidth="1"/>
    <col min="221" max="222" width="8.88671875" style="81"/>
    <col min="223" max="223" width="10.109375" style="81" bestFit="1" customWidth="1"/>
    <col min="224" max="232" width="10.88671875" style="81" customWidth="1"/>
    <col min="233" max="234" width="30.77734375" style="81" customWidth="1"/>
    <col min="235" max="235" width="5.109375" style="81" customWidth="1"/>
    <col min="236" max="236" width="3" style="81" customWidth="1"/>
    <col min="237" max="245" width="6.77734375" style="86" customWidth="1"/>
    <col min="246" max="247" width="8.88671875" style="81"/>
    <col min="248" max="248" width="61.5546875" style="81" customWidth="1"/>
    <col min="249" max="253" width="8.88671875" style="81"/>
    <col min="254" max="254" width="9" style="81" customWidth="1"/>
    <col min="255" max="16384" width="8.88671875" style="8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322</v>
      </c>
      <c r="B2" s="40" t="e" vm="84">
        <v>#VALUE!</v>
      </c>
      <c r="C2" s="41">
        <v>1</v>
      </c>
      <c r="D2" s="42" t="s">
        <v>323</v>
      </c>
      <c r="E2" s="43" t="s">
        <v>324</v>
      </c>
      <c r="F2" s="44" t="s">
        <v>163</v>
      </c>
      <c r="G2" s="45">
        <f>COUNTIF($A$1:$A$8385,A2)</f>
        <v>1</v>
      </c>
      <c r="H2" s="46"/>
      <c r="I2" s="47" t="s">
        <v>319</v>
      </c>
      <c r="J2" s="48" t="str">
        <f>""</f>
        <v/>
      </c>
      <c r="K2" s="49">
        <v>20931000</v>
      </c>
      <c r="L2" s="50">
        <v>290896</v>
      </c>
      <c r="M2" s="50" t="s">
        <v>329</v>
      </c>
      <c r="N2" s="51" t="s">
        <v>180</v>
      </c>
      <c r="O2" s="52" t="s">
        <v>325</v>
      </c>
      <c r="P2" s="53" t="s">
        <v>326</v>
      </c>
      <c r="Q2" s="54">
        <v>1</v>
      </c>
      <c r="R2" s="55" t="s">
        <v>180</v>
      </c>
      <c r="S2" s="56">
        <v>3</v>
      </c>
      <c r="T2" s="57" t="s">
        <v>164</v>
      </c>
      <c r="U2" s="58" t="s">
        <v>164</v>
      </c>
      <c r="V2" s="58" t="s">
        <v>167</v>
      </c>
      <c r="W2" s="58" t="s">
        <v>164</v>
      </c>
      <c r="X2" s="58" t="s">
        <v>164</v>
      </c>
      <c r="Y2" s="58" t="s">
        <v>164</v>
      </c>
      <c r="Z2" s="58" t="s">
        <v>164</v>
      </c>
      <c r="AA2" s="58" t="s">
        <v>164</v>
      </c>
      <c r="AB2" s="58" t="s">
        <v>164</v>
      </c>
      <c r="AC2" s="58" t="s">
        <v>164</v>
      </c>
      <c r="AD2" s="58" t="s">
        <v>167</v>
      </c>
      <c r="AE2" s="58" t="s">
        <v>164</v>
      </c>
      <c r="AF2" s="59" t="s">
        <v>164</v>
      </c>
      <c r="AG2" s="59" t="s">
        <v>164</v>
      </c>
      <c r="AH2" s="59" t="s">
        <v>164</v>
      </c>
      <c r="AI2" s="59" t="s">
        <v>164</v>
      </c>
      <c r="AJ2" s="59" t="s">
        <v>164</v>
      </c>
      <c r="AK2" s="59" t="s">
        <v>164</v>
      </c>
      <c r="AL2" s="59" t="s">
        <v>164</v>
      </c>
      <c r="AM2" s="59" t="s">
        <v>164</v>
      </c>
      <c r="AN2" s="59" t="s">
        <v>164</v>
      </c>
      <c r="AO2" s="59" t="s">
        <v>164</v>
      </c>
      <c r="AP2" s="59" t="s">
        <v>164</v>
      </c>
      <c r="AQ2" s="59" t="s">
        <v>164</v>
      </c>
      <c r="AR2" s="59" t="s">
        <v>164</v>
      </c>
      <c r="AS2" s="59" t="s">
        <v>164</v>
      </c>
      <c r="AT2" s="60">
        <v>0</v>
      </c>
      <c r="AU2" s="59"/>
      <c r="AV2" s="59" t="str">
        <f>IF(LEFT(A2,1)="[",LEFT(A2,5)&amp;AU2&amp;A2,"")</f>
        <v/>
      </c>
      <c r="AW2" s="59" t="str">
        <f t="shared" ref="AW2" si="0">C2&amp;H2&amp;A2</f>
        <v>1Malawi</v>
      </c>
      <c r="AX2" s="61" t="str">
        <f>_xlfn.TEXTJOIN(";",TRUE,AU2:AW2)</f>
        <v>1Malawi</v>
      </c>
      <c r="AY2" s="61"/>
      <c r="AZ2" s="62"/>
      <c r="BA2" s="62"/>
      <c r="BB2" s="62"/>
      <c r="BC2" s="63"/>
      <c r="BD2" s="64" t="s">
        <v>154</v>
      </c>
      <c r="BE2" s="47"/>
      <c r="BF2" s="64" t="s">
        <v>151</v>
      </c>
      <c r="BG2" s="64" t="s">
        <v>154</v>
      </c>
      <c r="BH2" s="64" t="s">
        <v>153</v>
      </c>
      <c r="BI2" s="64"/>
      <c r="BJ2" s="64"/>
      <c r="BK2" s="47"/>
      <c r="BL2" s="64" t="s">
        <v>151</v>
      </c>
      <c r="BM2" s="64" t="s">
        <v>154</v>
      </c>
      <c r="BN2" s="64" t="s">
        <v>153</v>
      </c>
      <c r="BO2" s="64"/>
      <c r="BP2" s="64"/>
      <c r="BQ2" s="64"/>
      <c r="BR2" s="64"/>
      <c r="BS2" s="64"/>
      <c r="BT2" s="64"/>
      <c r="BU2" s="65"/>
      <c r="BV2" s="66" t="s">
        <v>165</v>
      </c>
      <c r="BW2" s="66">
        <v>0</v>
      </c>
      <c r="BX2" s="47"/>
      <c r="BZ2" s="48" t="s">
        <v>167</v>
      </c>
      <c r="CB2" s="6" t="s">
        <v>327</v>
      </c>
      <c r="CC2" s="6"/>
      <c r="CD2" s="67">
        <v>0</v>
      </c>
      <c r="CE2" s="67">
        <v>0</v>
      </c>
      <c r="CF2" s="67" t="e">
        <v>#REF!</v>
      </c>
      <c r="CG2" s="68" cm="1">
        <f t="array" ref="CG2">SUMPRODUCT(--(LEN(TRIM(BL2:BT2))&gt;0))</f>
        <v>3</v>
      </c>
      <c r="CH2" s="59" t="str">
        <f>IF(CG2=2,"y","n")</f>
        <v>n</v>
      </c>
      <c r="CI2" s="59" t="str">
        <f>IF(CG2=3,"y","n")</f>
        <v>y</v>
      </c>
      <c r="CJ2" s="59" t="str">
        <f>IF(CG2=4,"y","n")</f>
        <v>n</v>
      </c>
      <c r="CK2" s="59" t="str">
        <f>IF(CG2&gt;4,"y","n")</f>
        <v>n</v>
      </c>
      <c r="CL2" s="59" t="str">
        <f>IF(S2=0,"y","n")</f>
        <v>n</v>
      </c>
      <c r="CM2" s="59" t="str">
        <f>IF(S2=2,"y","n")</f>
        <v>n</v>
      </c>
      <c r="CN2" s="59" t="str">
        <f>IF(S2=3,"y","n")</f>
        <v>y</v>
      </c>
      <c r="CO2" s="59" t="str">
        <f>IF(S2&gt;=4,"y","n")</f>
        <v>n</v>
      </c>
      <c r="CP2" s="59" t="str">
        <f>IF(AT2=0,"y","n")</f>
        <v>y</v>
      </c>
      <c r="CQ2" s="59" t="str">
        <f>IF(AT2=1,"y","n")</f>
        <v>n</v>
      </c>
      <c r="CR2" s="59" t="str">
        <f>IF(AT2=2,"y","n")</f>
        <v>n</v>
      </c>
      <c r="CS2" s="59" t="str">
        <f>IF(AT2&gt;=3,"y","n")</f>
        <v>n</v>
      </c>
      <c r="CT2" s="69" t="str">
        <f>CHAR(34)&amp;A2&amp;CHAR(34)</f>
        <v>"Malawi"</v>
      </c>
      <c r="CU2" s="70" t="str">
        <f>CHAR(34)&amp;"rgn_"&amp;R2&amp;CHAR(34)</f>
        <v>"rgn_Africa"</v>
      </c>
      <c r="CV2" s="48" t="str">
        <f>CHAR(34)&amp;D2&amp;CHAR(34)</f>
        <v>"https://i.ibb.co/X5bJGgr/Malawi-Flag.png"</v>
      </c>
      <c r="CW2" s="48" t="str">
        <f>IF(CH2="y",CHAR(34)&amp;CH$1&amp;CHAR(34)&amp;",","")</f>
        <v/>
      </c>
      <c r="CX2" s="48" t="str">
        <f>IF(CI2="y",CHAR(34)&amp;CI$1&amp;CHAR(34)&amp;",","")</f>
        <v>"3Color",</v>
      </c>
      <c r="CY2" s="48" t="str">
        <f>IF(CJ2="y",CHAR(34)&amp;CJ$1&amp;CHAR(34)&amp;",","")</f>
        <v/>
      </c>
      <c r="CZ2" s="48" t="str">
        <f>IF(CK2="y",CHAR(34)&amp;CK$1&amp;CHAR(34)&amp;",","")</f>
        <v/>
      </c>
      <c r="DA2" s="48" t="str">
        <f>IF(Q2&gt;1,CHAR(34)&amp;"words2"&amp;CHAR(34)&amp;",","")</f>
        <v/>
      </c>
      <c r="DB2" s="48" t="str">
        <f>IF(Q2&gt;2,CHAR(34)&amp;"words3"&amp;CHAR(34)&amp;",","")</f>
        <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"lets06",</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"startM",</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"with_w",</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"LAREED",</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"year00",</v>
      </c>
      <c r="DQ2" s="6" t="str">
        <f>IF(CC2="y",CHAR(34)&amp;"soviet"&amp;CHAR(34)&amp;",","")</f>
        <v/>
      </c>
      <c r="DR2" s="6" t="str">
        <f>IF(BY2="y",CHAR(34)&amp;"dgband"&amp;CHAR(34)&amp;",","")</f>
        <v/>
      </c>
      <c r="DS2" s="6" t="str">
        <f>IF(W2="y",IF(AND(V2="n",BY2&lt;&gt;"y"),CHAR(34)&amp;"allver"&amp;CHAR(34)&amp;",",""),"")</f>
        <v/>
      </c>
      <c r="DT2" s="6" t="str">
        <f>IF(V2="y",IF(AND(W2="n",BY2&lt;&gt;"y"),CHAR(34)&amp;"allhor"&amp;CHAR(34)&amp;",",""),"")</f>
        <v>"allhor",</v>
      </c>
      <c r="DU2" s="6" t="str">
        <f>IF(BY2="y",IF(AND(W2="n",V2="n"),CHAR(34)&amp;"alldia"&amp;CHAR(34)&amp;",",""),"")</f>
        <v/>
      </c>
      <c r="DV2" s="48" t="str">
        <f>IF(IA2&lt;&gt;"",(IF(IA2="y",CHAR(34)&amp;"largec"&amp;CHAR(34)&amp;",",CHAR(34)&amp;"smallc"&amp;CHAR(34)&amp;",")),"")</f>
        <v/>
      </c>
      <c r="DW2" s="48" t="str">
        <f>IF(CL2="y",CHAR(34)&amp;CL$1&amp;CHAR(34)&amp;",","")</f>
        <v/>
      </c>
      <c r="DX2" s="48" t="str">
        <f>IF(CM2="y",CHAR(34)&amp;CM$1&amp;CHAR(34)&amp;",","")</f>
        <v/>
      </c>
      <c r="DY2" s="48" t="str">
        <f>IF(CN2="y",CHAR(34)&amp;CN$1&amp;CHAR(34)&amp;",","")</f>
        <v>"3Bands",</v>
      </c>
      <c r="DZ2" s="48" t="str">
        <f>IF(CO2="y",CHAR(34)&amp;CO$1&amp;CHAR(34)&amp;",","")</f>
        <v/>
      </c>
      <c r="EA2" s="48" t="str">
        <f>IF(T2="y",CHAR(34)&amp;T$1&amp;CHAR(34)&amp;",","")</f>
        <v/>
      </c>
      <c r="EB2" s="48" t="str">
        <f>IF(U2="y",CHAR(34)&amp;U$1&amp;CHAR(34)&amp;",","")</f>
        <v/>
      </c>
      <c r="EC2" s="48" t="str">
        <f>IF(V2="y",CHAR(34)&amp;V$1&amp;CHAR(34)&amp;",","")</f>
        <v>"Horizo",</v>
      </c>
      <c r="ED2" s="48" t="str">
        <f>IF(W2="y",CHAR(34)&amp;W$1&amp;CHAR(34)&amp;",","")</f>
        <v/>
      </c>
      <c r="EE2" s="48" t="str">
        <f>IF(X2="y",CHAR(34)&amp;X$1&amp;CHAR(34)&amp;",","")</f>
        <v/>
      </c>
      <c r="EF2" s="48" t="str">
        <f>IF(AND(Y2&lt;&gt;"n",Y2&lt;&gt;""),CHAR(34)&amp;Y$1&amp;CHAR(34)&amp;",","")</f>
        <v/>
      </c>
      <c r="EG2" s="48" t="str">
        <f>IF(Z2="y",CHAR(34)&amp;Z$1&amp;CHAR(34)&amp;",","")</f>
        <v/>
      </c>
      <c r="EH2" s="48" t="str">
        <f>IF(AA2="y",CHAR(34)&amp;AA$1&amp;CHAR(34)&amp;",","")</f>
        <v/>
      </c>
      <c r="EI2" s="48" t="str">
        <f>IF(AB2="y",CHAR(34)&amp;AB$1&amp;CHAR(34)&amp;",","")</f>
        <v/>
      </c>
      <c r="EJ2" s="48" t="str">
        <f>IF(AC2="y",CHAR(34)&amp;AC$1&amp;CHAR(34)&amp;",","")</f>
        <v/>
      </c>
      <c r="EK2" s="48" t="str">
        <f>IF(AD2="y",CHAR(34)&amp;AD$1&amp;CHAR(34)&amp;",","")</f>
        <v>"HasSun",</v>
      </c>
      <c r="EL2" s="48" t="str">
        <f>IF(AE2="y",CHAR(34)&amp;AE$1&amp;CHAR(34)&amp;",","")</f>
        <v/>
      </c>
      <c r="EM2" s="48" t="str">
        <f>IF(AF2="y",CHAR(34)&amp;AF$1&amp;CHAR(34)&amp;",","")</f>
        <v/>
      </c>
      <c r="EN2" s="48" t="str">
        <f>IF(AG2="y",CHAR(34)&amp;AG$1&amp;CHAR(34)&amp;",","")</f>
        <v/>
      </c>
      <c r="EO2" s="48" t="str">
        <f>IF(AH2="y",CHAR(34)&amp;AH$1&amp;CHAR(34)&amp;",","")</f>
        <v/>
      </c>
      <c r="EP2" s="48" t="str">
        <f>IF(AI2="y",CHAR(34)&amp;AI$1&amp;CHAR(34)&amp;",","")</f>
        <v/>
      </c>
      <c r="EQ2" s="48" t="str">
        <f>IF(AJ2="y",CHAR(34)&amp;AJ$1&amp;CHAR(34)&amp;",","")</f>
        <v/>
      </c>
      <c r="ER2" s="48" t="str">
        <f>IF(AK2="y",CHAR(34)&amp;AK$1&amp;CHAR(34)&amp;",","")</f>
        <v/>
      </c>
      <c r="ES2" s="48" t="str">
        <f>IF(AL2="y",CHAR(34)&amp;AL$1&amp;CHAR(34)&amp;",","")</f>
        <v/>
      </c>
      <c r="ET2" s="48" t="str">
        <f>IF(AM2="y",CHAR(34)&amp;AM$1&amp;CHAR(34)&amp;",","")</f>
        <v/>
      </c>
      <c r="EU2" s="48" t="str">
        <f>IF(AN2="y",CHAR(34)&amp;AN$1&amp;CHAR(34)&amp;",","")</f>
        <v/>
      </c>
      <c r="EV2" s="48" t="str">
        <f>IF(AO2="y",CHAR(34)&amp;AO$1&amp;CHAR(34)&amp;",","")</f>
        <v/>
      </c>
      <c r="EW2" s="48" t="str">
        <f>IF(AP2="y",CHAR(34)&amp;AP$1&amp;CHAR(34)&amp;",","")</f>
        <v/>
      </c>
      <c r="EX2" s="48" t="str">
        <f>IF(AQ2="y",CHAR(34)&amp;AQ$1&amp;CHAR(34)&amp;",","")</f>
        <v/>
      </c>
      <c r="EY2" s="48" t="str">
        <f>IF(AR2="y",CHAR(34)&amp;AR$1&amp;CHAR(34)&amp;",","")</f>
        <v/>
      </c>
      <c r="EZ2" s="48" t="str">
        <f>IF(AS2="y",CHAR(34)&amp;AS$1&amp;CHAR(34)&amp;",","")</f>
        <v/>
      </c>
      <c r="FA2" s="48" t="str">
        <f>IF(AT2&gt;0,CHAR(34)&amp;"sta"&amp;AZ2&amp;CHAR(34)&amp;",","")</f>
        <v/>
      </c>
      <c r="FB2" s="48" t="str">
        <f>IF(AND(AT2&gt;0,BA2&lt;&gt;""),CHAR(34)&amp;"sta"&amp;BA2&amp;CHAR(34)&amp;",","")</f>
        <v/>
      </c>
      <c r="FC2" s="48" t="str">
        <f>IF(AND(AT2&gt;0,BB2&lt;&gt;""),CHAR(34)&amp;"sta"&amp;BB2&amp;CHAR(34)&amp;",","")</f>
        <v/>
      </c>
      <c r="FD2" s="48" t="str">
        <f>IF(BV2="n",CHAR(34)&amp;"tcWHYE"&amp;CHAR(34)&amp;",",IF(BV2="y",CHAR(34)&amp;FD$1&amp;CHAR(34)&amp;",",""))</f>
        <v/>
      </c>
      <c r="FE2" s="48" t="str">
        <f>IF(COUNTIF(BL2:BT2,"BLU")=0,CHAR(34)&amp;"NO_BLU"&amp;CHAR(34)&amp;",", "")</f>
        <v>"NO_BLU",</v>
      </c>
      <c r="FF2" s="48" t="str">
        <f>IF(COUNTIF(BL2:BT2,"WHI")=0,CHAR(34)&amp;"NO_WHI"&amp;CHAR(34)&amp;",", "")</f>
        <v>"NO_WHI",</v>
      </c>
      <c r="FG2" s="48" t="str">
        <f>IF(COUNTIF(BL2:BT2,"RED")=0,CHAR(34)&amp;"NO_RED"&amp;CHAR(34)&amp;",", "")</f>
        <v/>
      </c>
      <c r="FH2" s="48" t="str">
        <f>IF(COUNTIF(BL2:BS2,"GRE")=0,CHAR(34)&amp;"NO_GRE"&amp;CHAR(34)&amp;",", "")</f>
        <v/>
      </c>
      <c r="FI2" s="48" t="str">
        <f>IF(COUNTIF(BL2:BT2,"YEL")=0,CHAR(34)&amp;"NO_YEL"&amp;CHAR(34)&amp;",", "")</f>
        <v>"NO_YEL",</v>
      </c>
      <c r="FJ2" s="48" t="str">
        <f>IF(COUNTIF(BL2:BT2,"BLA")=0,CHAR(34)&amp;"NO_BLA"&amp;CHAR(34)&amp;",", "")</f>
        <v/>
      </c>
      <c r="FK2" s="48" t="str">
        <f>IF(AND(FH2&lt;&gt;"",FF2&lt;&gt;""),CHAR(34)&amp;"WHGRNO"&amp;CHAR(34)&amp;",","")</f>
        <v/>
      </c>
      <c r="FL2" s="48" t="str">
        <f>IF(AND(FI2&lt;&gt;"",FF2&lt;&gt;""),CHAR(34)&amp;"WHYENO"&amp;CHAR(34)&amp;",","")</f>
        <v>"WHYENO",</v>
      </c>
      <c r="FM2" s="48" t="str">
        <f>IF(AND(FJ2&lt;&gt;"",FF2&lt;&gt;""),CHAR(34)&amp;"BAWHNO"&amp;CHAR(34)&amp;",","")</f>
        <v/>
      </c>
      <c r="FN2" s="48" t="str">
        <f>IF(AND(FE2&lt;&gt;"",FF2&lt;&gt;""),CHAR(34)&amp;"BLWHNO"&amp;CHAR(34)&amp;",","")</f>
        <v>"BLWHNO",</v>
      </c>
      <c r="FO2" s="48" t="str">
        <f>IF(AND(FE2&lt;&gt;"",FG2&lt;&gt;""),CHAR(34)&amp;"BLRENO"&amp;CHAR(34)&amp;",","")</f>
        <v/>
      </c>
      <c r="FP2" s="48" t="str">
        <f>IF(AND(FF2&lt;&gt;"",FF2&lt;&gt;""),CHAR(34)&amp;"WHRENO"&amp;CHAR(34)&amp;",","")</f>
        <v>"WHRENO",</v>
      </c>
      <c r="FQ2" s="48" t="str">
        <f>IF(LEN(BF2)=3,CHAR(34)&amp;"001"&amp;BF2&amp;CHAR(34)&amp;",","")</f>
        <v>"001BLA",</v>
      </c>
      <c r="FR2" s="48" t="str">
        <f>IF(LEN(BG2)=3,CHAR(34)&amp;"002"&amp;BG2&amp;CHAR(34)&amp;",","")</f>
        <v>"002RED",</v>
      </c>
      <c r="FS2" s="48" t="str">
        <f>IF(LEN(BH2)=3,CHAR(34)&amp;"003"&amp;BH2&amp;CHAR(34)&amp;",","")</f>
        <v>"003GRE",</v>
      </c>
      <c r="FT2" s="48" t="str">
        <f>CHAR(34)&amp;"myr"&amp;BD2&amp;CHAR(34)&amp;","</f>
        <v>"myrRED",</v>
      </c>
      <c r="FU2" s="48" t="str">
        <f>IF(AY2="y",CHAR(34)&amp;"island"&amp;CHAR(34)&amp;",","")</f>
        <v/>
      </c>
      <c r="FV2" s="48" t="str">
        <f>IF(BZ2="y",CHAR(34)&amp;"landlo"&amp;CHAR(34)&amp;",","")</f>
        <v>"landlo",</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"englis",</v>
      </c>
      <c r="GA2" s="48" t="str">
        <f>IFERROR(IF(SEARCH("French",CB2)&gt;0,CHAR(34)&amp;"french"&amp;CHAR(34)&amp;",",""),"")</f>
        <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"NoStar",</v>
      </c>
      <c r="GK2" s="48" t="str">
        <f>IF(GJ2="",CHAR(34)&amp;"HasSta"&amp;CHAR(34)&amp;",","")</f>
        <v/>
      </c>
      <c r="GL2" s="48" t="str">
        <f>IF(CQ2="y",CHAR(34)&amp;CQ$1&amp;CHAR(34)&amp;",","")</f>
        <v/>
      </c>
      <c r="GM2" s="48" t="str">
        <f>IF(CR2="y",CHAR(34)&amp;CR$1&amp;CHAR(34)&amp;",","")</f>
        <v/>
      </c>
      <c r="GN2" s="48" t="str">
        <f>IF(CS2="y",CHAR(34)&amp;CS$1&amp;CHAR(34)&amp;",","")</f>
        <v/>
      </c>
      <c r="GP2" s="48" t="str">
        <f>CHAR(34)&amp;AU2&amp;CHAR(34)</f>
        <v>""</v>
      </c>
      <c r="GS2" s="48" t="str">
        <f>SUBSTITUTE("["&amp;_xlfn.CONCAT(CW2:GN2)&amp;"]",",]","]")</f>
        <v>["3Color","lets06","startM","with_w","LAREED","year19","year00","allhor","3Bands","Horizo","HasSun","NO_BLU","NO_WHI","NO_YEL","WHYENO","BLWHNO","WHRENO","001BLA","002RED","003GRE","myrRED","landlo","englis","NoStar"]</v>
      </c>
      <c r="GT2" s="48" t="str">
        <f>IF(BL2&lt;&gt;"",CHAR(34)&amp;"cl_"&amp;BL2&amp;CHAR(34)&amp;",","")</f>
        <v>"cl_BLA",</v>
      </c>
      <c r="GU2" s="48" t="str">
        <f>IF(BM2&lt;&gt;"",CHAR(34)&amp;"cl_"&amp;BM2&amp;CHAR(34)&amp;",","")</f>
        <v>"cl_RED",</v>
      </c>
      <c r="GV2" s="48" t="str">
        <f>IF(BN2&lt;&gt;"",CHAR(34)&amp;"cl_"&amp;BN2&amp;CHAR(34)&amp;",","")</f>
        <v>"cl_GRE",</v>
      </c>
      <c r="GW2" s="48" t="str">
        <f>IF(BO2&lt;&gt;"",CHAR(34)&amp;"cl_"&amp;BO2&amp;CHAR(34)&amp;",","")</f>
        <v/>
      </c>
      <c r="GX2" s="48" t="str">
        <f>IF(BP2&lt;&gt;"",CHAR(34)&amp;"cl_"&amp;BP2&amp;CHAR(34)&amp;",","")</f>
        <v/>
      </c>
      <c r="GY2" s="48" t="str">
        <f>IF(BQ2&lt;&gt;"",CHAR(34)&amp;"cl_"&amp;BQ2&amp;CHAR(34)&amp;",","")</f>
        <v/>
      </c>
      <c r="GZ2" s="48" t="str">
        <f>IF(BR2&lt;&gt;"",CHAR(34)&amp;"cl_"&amp;BR2&amp;CHAR(34)&amp;",","")</f>
        <v/>
      </c>
      <c r="HA2" s="48" t="str">
        <f>IF(BS2&lt;&gt;"",CHAR(34)&amp;"cl_"&amp;BS2&amp;CHAR(34)&amp;",","")</f>
        <v/>
      </c>
      <c r="HB2" s="48" t="str">
        <f>IF(BT2&lt;&gt;"",CHAR(34)&amp;"cl_"&amp;BT2&amp;CHAR(34)&amp;",","")</f>
        <v/>
      </c>
      <c r="HC2" s="48" t="str">
        <f>SUBSTITUTE("["&amp;_xlfn.CONCAT(GT2:HB2)&amp;"]",",]","]")</f>
        <v>["cl_BLA","cl_RED","cl_GRE"]</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{couname:"Malawi",year:"1964, 2012 ",region:"rgn_Africa",Colors:["cl_BLA","cl_RED","cl_GRE"],Items:["3Color","lets06","startM","with_w","LAREED","year19","year00","allhor","3Bands","Horizo","HasSun","NO_BLU","NO_WHI","NO_YEL","WHYENO","BLWHNO","WHRENO","001BLA","002RED","003GRE","myrRED","landlo","englis","NoStar"],Flag:"https://i.ibb.co/X5bJGgr/Malawi-Flag.png",HDFlag:"https://upload.wikimedia.org/wikipedia/commons/thumb/d/d1/Flag_of_Malawi.svg/2560px-Flag_of_Malawi.svg.png",type:"", describe: "\nA rising sun against a black field is also present in the coat of arms of Malawi and in the flag it officially represents the dawn of hope and freedom for the continent of Africa (when the flag was created, more countries in Africa were gaining independence from European rule). The black represents the indigenous people of the continent, the red symbolises the blood of their struggle, and the green represents nature. The flag resembles the Pan-African flag designed by Marcus Garvey's Universal Negro Improvement Association, with the red and black bands reversed and a red sun at the top.\n\nIt also resembles the flag of the now-defunct Republic of Biafra and the national flag of Afghanistan used from 1973 to 1992.", isnew:".", links: "https://en.wikipedia.org/wiki/Flag_of_Malawi"},</v>
      </c>
      <c r="HG2" s="73" t="str">
        <f>"{couname:"&amp;CT2&amp;(IF(HK2&lt;&gt;"",",subtype:"&amp;CHAR(34)&amp;HK2&amp;CHAR(34),""))&amp;",year:"&amp;HJ2&amp;",region:"&amp;CU2&amp;",Colors:"&amp;HC2&amp;",Items:"&amp;GS2&amp;",Flag:"&amp;CV2&amp;",HDFlag:"&amp;CHAR(34)&amp;E2&amp;CHAR(34)&amp;",type:"&amp;GP2&amp;", describe: "&amp;HI2&amp;", links: "&amp;HL2&amp;"},"</f>
        <v>{couname:"Malawi",year:"1964, 2012 ",region:"rgn_Africa",Colors:["cl_BLA","cl_RED","cl_GRE"],Items:["3Color","lets06","startM","with_w","LAREED","year19","year00","allhor","3Bands","Horizo","HasSun","NO_BLU","NO_WHI","NO_YEL","WHYENO","BLWHNO","WHRENO","001BLA","002RED","003GRE","myrRED","landlo","englis","NoStar"],Flag:"https://i.ibb.co/X5bJGgr/Malawi-Flag.png",HDFlag:"https://upload.wikimedia.org/wikipedia/commons/thumb/d/d1/Flag_of_Malawi.svg/2560px-Flag_of_Malawi.svg.png",type:"", describe: "\nA rising sun against a black field is also present in the coat of arms of Malawi and in the flag it officially represents the dawn of hope and freedom for the continent of Africa (when the flag was created, more countries in Africa were gaining independence from European rule). The black represents the indigenous people of the continent, the red symbolises the blood of their struggle, and the green represents nature. The flag resembles the Pan-African flag designed by Marcus Garvey's Universal Negro Improvement Association, with the red and black bands reversed and a red sun at the top.\n\nIt also resembles the flag of the now-defunct Republic of Biafra and the national flag of Afghanistan used from 1973 to 1992.", links: "https://en.wikipedia.org/wiki/Flag_of_Malawi"},</v>
      </c>
      <c r="HH2" s="48" t="str">
        <f>IF(P2&lt;&gt;"",CHAR(34)&amp;"\n"&amp;P2&amp;CHAR(34),CHAR(34)&amp;CHAR(34))</f>
        <v>"\nA rising sun against a black field is also present in the coat of arms of Malawi and in the flag it officially represents the dawn of hope and freedom for the continent of Africa (when the flag was created, more countries in Africa were gaining independence from European rule). The black represents the indigenous people of the continent, the red symbolises the blood of their struggle, and the green represents nature. The flag resembles the Pan-African flag designed by Marcus Garvey's Universal Negro Improvement Association, with the red and black bands reversed and a red sun at the top.\n\nIt also resembles the flag of the now-defunct Republic of Biafra and the national flag of Afghanistan used from 1973 to 1992."</v>
      </c>
      <c r="HI2" s="48" t="str">
        <f>IF(J2=0,CHAR(34)&amp;CHAR(34),HH2)</f>
        <v>"\nA rising sun against a black field is also present in the coat of arms of Malawi and in the flag it officially represents the dawn of hope and freedom for the continent of Africa (when the flag was created, more countries in Africa were gaining independence from European rule). The black represents the indigenous people of the continent, the red symbolises the blood of their struggle, and the green represents nature. The flag resembles the Pan-African flag designed by Marcus Garvey's Universal Negro Improvement Association, with the red and black bands reversed and a red sun at the top.\n\nIt also resembles the flag of the now-defunct Republic of Biafra and the national flag of Afghanistan used from 1973 to 1992."</v>
      </c>
      <c r="HJ2" s="48" t="str">
        <f>CHAR(34)&amp;O2&amp;CHAR(34)</f>
        <v>"1964, 2012 "</v>
      </c>
      <c r="HL2" s="48" t="str">
        <f>CHAR(34)&amp;I2&amp;CHAR(34)</f>
        <v>"https://en.wikipedia.org/wiki/Flag_of_Malawi"</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{"couname":"Malawi","year":"1964, 2012 ","region":"rgn_Africa","Colors":["cl_BLA","cl_RED","cl_GRE"],"Items":["3Color","lets06","startM","with_w","LAREED","year19","year00","allhor","3Bands","Horizo","HasSun","NO_BLU","NO_WHI","NO_YEL","WHYENO","BLWHNO","WHRENO","001BLA","002RED","003GRE","myrRED","landlo","englis","NoStar"],"Flag":"https://i.ibb.co/X5bJGgr/Malawi-Flag.png","HDFlag":"https://upload.wikimedia.org/wikipedia/commons/thumb/d/d1/Flag_of_Malawi.svg/2560px-Flag_of_Malawi.svg.png","type":"", "describe": "\nA rising sun against a black field is also present in the coat of arms of Malawi and in the flag it officially represents the dawn of hope and freedom for the continent of Africa (when the flag was created, more countries in Africa were gaining independence from European rule). The black represents the indigenous people of the continent, the red symbolises the blood of their struggle, and the green represents nature. The flag resembles the Pan-African flag designed by Marcus Garvey's Universal Negro Improvement Association, with the red and black bands reversed and a red sun at the top.\n\nIt also resembles the flag of the now-defunct Republic of Biafra and the national flag of Afghanistan used from 1973 to 1992.", "isnew": ".", "links": "https://en.wikipedia.org/wiki/Flag_of_Malawi"},</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{"couname":"Malawi","year":"1964, 2012 ","region":"rgn_Africa","Colors":["cl_BLA","cl_RED","cl_GRE"],"Items":["3Color","lets06","startM","with_w","LAREED","year19","year00","allhor","3Bands","Horizo","HasSun","NO_BLU","NO_WHI","NO_YEL","WHYENO","BLWHNO","WHRENO","001BLA","002RED","003GRE","myrRED","landlo","englis","NoStar"],"Flag":"https://i.ibb.co/X5bJGgr/Malawi-Flag.png","HDFlag":"https://upload.wikimedia.org/wikipedia/commons/thumb/d/d1/Flag_of_Malawi.svg/2560px-Flag_of_Malawi.svg.png","type":"", "describe": "\nA rising sun against a black field is also present in the coat of arms of Malawi and in the flag it officially represents the dawn of hope and freedom for the continent of Africa (when the flag was created, more countries in Africa were gaining independence from European rule). The black represents the indigenous people of the continent, the red symbolises the blood of their struggle, and the green represents nature. The flag resembles the Pan-African flag designed by Marcus Garvey's Universal Negro Improvement Association, with the red and black bands reversed and a red sun at the top.\n\nIt also resembles the flag of the now-defunct Republic of Biafra and the national flag of Afghanistan used from 1973 to 1992.", "isnew": ".", "links": "https://en.wikipedia.org/wiki/Flag_of_Malawi"},</v>
      </c>
      <c r="HO2" s="75"/>
      <c r="HP2" s="48" t="str" cm="1">
        <f t="array" ref="HP2">IF(_xlfn.TEXTJOIN(", ", TRUE, IF(ISNUMBER(SEARCH("BLA", BL2:BT2)), COLUMN(BL2:BT2) - COLUMN(BL2) + 1, ""))&lt;&gt;"","BLA","")</f>
        <v>BLA</v>
      </c>
      <c r="HQ2" s="48" t="str" cm="1">
        <f t="array" ref="HQ2">IF(_xlfn.TEXTJOIN(", ", TRUE, IF(ISNUMBER(SEARCH("BLU", BL2:BT2)), COLUMN(BL2:BT2) - COLUMN(BL2) + 1, ""))&lt;&gt;"","BLU","")</f>
        <v/>
      </c>
      <c r="HR2" s="48" t="str" cm="1">
        <f t="array" ref="HR2">IF(_xlfn.TEXTJOIN(", ", TRUE, IF(ISNUMBER(SEARCH("GRE", BL2:BT2)), COLUMN(BL2:BT2) - COLUMN(BL2) + 1, ""))&lt;&gt;"","GRE","")</f>
        <v>GRE</v>
      </c>
      <c r="HS2" s="48" t="str" cm="1">
        <f t="array" ref="HS2">IF(_xlfn.TEXTJOIN(", ", TRUE, IF(ISNUMBER(SEARCH("RED", BL2:BT2)), COLUMN(BL2:BT2) - COLUMN(BL2) + 1, ""))&lt;&gt;"","RED","")</f>
        <v>RED</v>
      </c>
      <c r="HT2" s="48" t="str" cm="1">
        <f t="array" ref="HT2">IF(_xlfn.TEXTJOIN(", ", TRUE, IF(ISNUMBER(SEARCH("YEL", BL2:BT2)), COLUMN(BL2:BT2) - COLUMN(BL2) + 1, ""))&lt;&gt;"","YEL","")</f>
        <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
      </c>
      <c r="HY2" s="76"/>
      <c r="HZ2" s="76"/>
      <c r="IA2" s="6"/>
      <c r="IB2" s="6"/>
      <c r="IC2" s="77"/>
      <c r="ID2" s="77"/>
      <c r="IE2" s="77"/>
      <c r="IF2" s="77"/>
      <c r="IG2" s="77"/>
      <c r="IH2" s="77"/>
      <c r="II2" s="77"/>
      <c r="IJ2" s="77"/>
      <c r="IK2" s="77"/>
      <c r="IL2" s="48">
        <f>SUM(IC2:IK2)</f>
        <v>0</v>
      </c>
      <c r="IM2" s="45">
        <f>COUNTIF(IC2:IK2,"&gt;0")-CG2</f>
        <v>-3</v>
      </c>
      <c r="IN2" s="78" t="str">
        <f>"http://mkweb.bcgsc.ca/color-summarizer/?url="&amp;D2&amp;"&amp;precision=low&amp;num_clusters="&amp;CG2&amp;"&amp;text=1"</f>
        <v>http://mkweb.bcgsc.ca/color-summarizer/?url=https://i.ibb.co/X5bJGgr/Malawi-Flag.png&amp;precision=low&amp;num_clusters=3&amp;text=1</v>
      </c>
      <c r="IO2" s="48" t="str">
        <f>IF(HP2&lt;&gt;"",CHAR(34)&amp;"black"&amp;CHAR(34),"")</f>
        <v>"black"</v>
      </c>
      <c r="IP2" s="48" t="str">
        <f>IF(HQ2&lt;&gt;"",CHAR(34)&amp;"blue"&amp;CHAR(34),"")</f>
        <v/>
      </c>
      <c r="IQ2" s="48" t="str">
        <f>IF(HR2&lt;&gt;"",CHAR(34)&amp;"green"&amp;CHAR(34),"")</f>
        <v>"green"</v>
      </c>
      <c r="IR2" s="48" t="str">
        <f>IF(HS2&lt;&gt;"",CHAR(34)&amp;"red"&amp;CHAR(34),"")</f>
        <v>"red"</v>
      </c>
      <c r="IS2" s="48" t="str">
        <f>IF(HT2&lt;&gt;"",CHAR(34)&amp;"yellow"&amp;CHAR(34),"")</f>
        <v/>
      </c>
      <c r="IT2" s="48" t="str">
        <f>IF(HU2&lt;&gt;"",CHAR(34)&amp;"orange"&amp;CHAR(34),"")</f>
        <v/>
      </c>
      <c r="IU2" s="48" t="str">
        <f>IF(HV2&lt;&gt;"",CHAR(34)&amp;"brown"&amp;CHAR(34),"")</f>
        <v/>
      </c>
      <c r="IV2" s="48" t="str">
        <f>IF(HW2&lt;&gt;"",CHAR(34)&amp;"purple"&amp;CHAR(34),"")</f>
        <v/>
      </c>
      <c r="IW2" s="48" t="str">
        <f>IF(HX2&lt;&gt;"",CHAR(34)&amp;"white"&amp;CHAR(34),"")</f>
        <v/>
      </c>
      <c r="IX2" s="48" t="str">
        <f>"{"&amp;CHAR(34)&amp;"url"&amp;CHAR(34)&amp;":"&amp;CHAR(34)&amp;IN2&amp;CHAR(34)&amp;","&amp;CHAR(34)&amp;"name"&amp;CHAR(34)&amp;":"&amp;CHAR(34)&amp;A2&amp;CHAR(34)&amp;"},"</f>
        <v>{"url":"http://mkweb.bcgsc.ca/color-summarizer/?url=https://i.ibb.co/X5bJGgr/Malawi-Flag.png&amp;precision=low&amp;num_clusters=3&amp;text=1","name":"Malawi"},</v>
      </c>
      <c r="IY2" s="48">
        <v>128</v>
      </c>
    </row>
    <row r="3" spans="1:259" s="48" customFormat="1" ht="38.4" customHeight="1" thickBot="1" x14ac:dyDescent="0.35">
      <c r="A3" s="80" t="s">
        <v>316</v>
      </c>
      <c r="B3" s="40" t="e" vm="85">
        <v>#VALUE!</v>
      </c>
      <c r="C3" s="41" t="s">
        <v>173</v>
      </c>
      <c r="D3" s="42" t="s">
        <v>317</v>
      </c>
      <c r="E3" s="43" t="s">
        <v>318</v>
      </c>
      <c r="F3" s="44" t="s">
        <v>163</v>
      </c>
      <c r="G3" s="45">
        <f>COUNTIF($A$1:$A$8405,A3)</f>
        <v>1</v>
      </c>
      <c r="H3" s="46" t="s">
        <v>328</v>
      </c>
      <c r="I3" s="47" t="s">
        <v>319</v>
      </c>
      <c r="J3" s="48" t="str">
        <f>""</f>
        <v/>
      </c>
      <c r="K3" s="49"/>
      <c r="L3" s="50"/>
      <c r="M3" s="50"/>
      <c r="N3" s="51" t="s">
        <v>180</v>
      </c>
      <c r="O3" s="52" t="s">
        <v>320</v>
      </c>
      <c r="P3" s="53" t="s">
        <v>321</v>
      </c>
      <c r="Q3" s="54">
        <v>2</v>
      </c>
      <c r="R3" s="55" t="s">
        <v>180</v>
      </c>
      <c r="S3" s="56">
        <v>3</v>
      </c>
      <c r="T3" s="57" t="s">
        <v>164</v>
      </c>
      <c r="U3" s="58" t="s">
        <v>164</v>
      </c>
      <c r="V3" s="58" t="s">
        <v>167</v>
      </c>
      <c r="W3" s="58" t="s">
        <v>164</v>
      </c>
      <c r="X3" s="58" t="s">
        <v>167</v>
      </c>
      <c r="Y3" s="58" t="s">
        <v>164</v>
      </c>
      <c r="Z3" s="58" t="s">
        <v>164</v>
      </c>
      <c r="AA3" s="58" t="s">
        <v>164</v>
      </c>
      <c r="AB3" s="58" t="s">
        <v>164</v>
      </c>
      <c r="AC3" s="58" t="s">
        <v>164</v>
      </c>
      <c r="AD3" s="58" t="s">
        <v>167</v>
      </c>
      <c r="AE3" s="58" t="s">
        <v>164</v>
      </c>
      <c r="AF3" s="59" t="s">
        <v>164</v>
      </c>
      <c r="AG3" s="59" t="s">
        <v>164</v>
      </c>
      <c r="AH3" s="59" t="s">
        <v>167</v>
      </c>
      <c r="AI3" s="59" t="s">
        <v>164</v>
      </c>
      <c r="AJ3" s="59" t="s">
        <v>164</v>
      </c>
      <c r="AK3" s="59" t="s">
        <v>164</v>
      </c>
      <c r="AL3" s="59" t="s">
        <v>164</v>
      </c>
      <c r="AM3" s="59" t="s">
        <v>164</v>
      </c>
      <c r="AN3" s="59" t="s">
        <v>164</v>
      </c>
      <c r="AO3" s="59" t="s">
        <v>164</v>
      </c>
      <c r="AP3" s="59" t="s">
        <v>164</v>
      </c>
      <c r="AQ3" s="59" t="s">
        <v>164</v>
      </c>
      <c r="AR3" s="59" t="s">
        <v>164</v>
      </c>
      <c r="AS3" s="59" t="s">
        <v>164</v>
      </c>
      <c r="AT3" s="60">
        <v>0</v>
      </c>
      <c r="AU3" s="59" t="s">
        <v>174</v>
      </c>
      <c r="AV3" s="59" t="str">
        <f>IF(LEFT(A3,1)="[",LEFT(A3,5)&amp;AU3&amp;A3,"")</f>
        <v>[MWI]Historical[MWI] Bingu's Flag (2010-2012)</v>
      </c>
      <c r="AW3" s="59" t="str">
        <f t="shared" ref="AW3" si="1">C3&amp;H3&amp;A3</f>
        <v>3b[MWI] Other[MWI] Bingu's Flag (2010-2012)</v>
      </c>
      <c r="AX3" s="61"/>
      <c r="AY3" s="61"/>
      <c r="AZ3" s="62"/>
      <c r="BA3" s="62"/>
      <c r="BB3" s="62"/>
      <c r="BC3" s="63"/>
      <c r="BD3" s="64" t="s">
        <v>169</v>
      </c>
      <c r="BE3" s="47"/>
      <c r="BF3" s="64" t="s">
        <v>154</v>
      </c>
      <c r="BG3" s="64" t="s">
        <v>151</v>
      </c>
      <c r="BH3" s="64" t="s">
        <v>153</v>
      </c>
      <c r="BI3" s="64"/>
      <c r="BJ3" s="64"/>
      <c r="BK3" s="47"/>
      <c r="BL3" s="64" t="s">
        <v>154</v>
      </c>
      <c r="BM3" s="64" t="s">
        <v>151</v>
      </c>
      <c r="BN3" s="64" t="s">
        <v>153</v>
      </c>
      <c r="BO3" s="64" t="s">
        <v>159</v>
      </c>
      <c r="BP3" s="64"/>
      <c r="BQ3" s="64"/>
      <c r="BR3" s="64"/>
      <c r="BS3" s="64"/>
      <c r="BT3" s="64"/>
      <c r="BU3" s="65"/>
      <c r="BV3" s="66"/>
      <c r="BW3" s="66">
        <v>0</v>
      </c>
      <c r="BX3" s="47"/>
      <c r="CB3" s="6"/>
      <c r="CC3" s="6"/>
      <c r="CD3" s="67">
        <v>0</v>
      </c>
      <c r="CE3" s="67">
        <v>0</v>
      </c>
      <c r="CF3" s="67" t="e">
        <v>#REF!</v>
      </c>
      <c r="CG3" s="68" cm="1">
        <f t="array" ref="CG3">SUMPRODUCT(--(LEN(TRIM(BL3:BT3))&gt;0))</f>
        <v>4</v>
      </c>
      <c r="CH3" s="59" t="str">
        <f>IF(CG3=2,"y","n")</f>
        <v>n</v>
      </c>
      <c r="CI3" s="59" t="str">
        <f>IF(CG3=3,"y","n")</f>
        <v>n</v>
      </c>
      <c r="CJ3" s="59" t="str">
        <f>IF(CG3=4,"y","n")</f>
        <v>y</v>
      </c>
      <c r="CK3" s="59" t="str">
        <f>IF(CG3&gt;4,"y","n")</f>
        <v>n</v>
      </c>
      <c r="CL3" s="59" t="str">
        <f>IF(S3=0,"y","n")</f>
        <v>n</v>
      </c>
      <c r="CM3" s="59" t="str">
        <f>IF(S3=2,"y","n")</f>
        <v>n</v>
      </c>
      <c r="CN3" s="59" t="str">
        <f>IF(S3=3,"y","n")</f>
        <v>y</v>
      </c>
      <c r="CO3" s="59" t="str">
        <f>IF(S3&gt;=4,"y","n")</f>
        <v>n</v>
      </c>
      <c r="CP3" s="59" t="str">
        <f>IF(AT3=0,"y","n")</f>
        <v>y</v>
      </c>
      <c r="CQ3" s="59" t="str">
        <f>IF(AT3=1,"y","n")</f>
        <v>n</v>
      </c>
      <c r="CR3" s="59" t="str">
        <f>IF(AT3=2,"y","n")</f>
        <v>n</v>
      </c>
      <c r="CS3" s="59" t="str">
        <f>IF(AT3&gt;=3,"y","n")</f>
        <v>n</v>
      </c>
      <c r="CT3" s="69" t="str">
        <f>CHAR(34)&amp;A3&amp;CHAR(34)</f>
        <v>"[MWI] Bingu's Flag (2010-2012)"</v>
      </c>
      <c r="CU3" s="70" t="str">
        <f>CHAR(34)&amp;"rgn_"&amp;R3&amp;CHAR(34)</f>
        <v>"rgn_Africa"</v>
      </c>
      <c r="CV3" s="48" t="str">
        <f>CHAR(34)&amp;D3&amp;CHAR(34)</f>
        <v>"https://upload.wikimedia.org/wikipedia/commons/thumb/0/08/Flag_of_Malawi_%282010%E2%80%932012%29.svg/640px-Flag_of_Malawi_%282010%E2%80%932012%29.svg.png"</v>
      </c>
      <c r="CW3" s="48" t="str">
        <f>IF(CH3="y",CHAR(34)&amp;CH$1&amp;CHAR(34)&amp;",","")</f>
        <v/>
      </c>
      <c r="CX3" s="48" t="str">
        <f>IF(CI3="y",CHAR(34)&amp;CI$1&amp;CHAR(34)&amp;",","")</f>
        <v/>
      </c>
      <c r="CY3" s="48" t="str">
        <f>IF(CJ3="y",CHAR(34)&amp;CJ$1&amp;CHAR(34)&amp;",","")</f>
        <v>"4Color",</v>
      </c>
      <c r="CZ3" s="48" t="str">
        <f>IF(CK3="y",CHAR(34)&amp;CK$1&amp;CHAR(34)&amp;",","")</f>
        <v/>
      </c>
      <c r="DA3" s="48" t="str">
        <f>IF(Q3&gt;1,CHAR(34)&amp;"words2"&amp;CHAR(34)&amp;",","")</f>
        <v>"words2",</v>
      </c>
      <c r="DB3" s="48" t="str">
        <f>IF(Q3&gt;2,CHAR(34)&amp;"words3"&amp;CHAR(34)&amp;",","")</f>
        <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"lets21",</v>
      </c>
      <c r="DE3" s="48" t="str">
        <f>CHAR(34)&amp;"start"&amp;IFERROR(LEFT(SUBSTITUTE(A3,"["&amp;MID(A3,FIND("[",A3)+1,FIND("]",A3)-FIND("[",A3)-1)&amp;"] ",""),1),LEFT(A3,1))&amp;CHAR(34)&amp;","</f>
        <v>"startB",</v>
      </c>
      <c r="DF3" s="48" t="str">
        <f>IFERROR(IF(SEARCH("tan",A3)&gt;0,CHAR(34)&amp;"withtn"&amp;CHAR(34)&amp;",",""),"")</f>
        <v/>
      </c>
      <c r="DG3" s="48" t="str">
        <f>IFERROR(IF(SEARCH("q",A3)&gt;0,CHAR(34)&amp;"with_q"&amp;CHAR(34)&amp;",",""),"")</f>
        <v/>
      </c>
      <c r="DH3" s="48" t="str">
        <f>IFERROR(IF(SEARCH("v",A3)&gt;0,CHAR(34)&amp;"with_v"&amp;CHAR(34)&amp;",",""),"")</f>
        <v/>
      </c>
      <c r="DI3" s="48" t="str">
        <f>IFERROR(IF(SEARCH("w",A3)&gt;0,CHAR(34)&amp;"with_w"&amp;CHAR(34)&amp;",",""),"")</f>
        <v>"with_w",</v>
      </c>
      <c r="DJ3" s="48" t="str">
        <f>IFERROR(IF(SEARCH("y",A3)&gt;0,CHAR(34)&amp;"with_y"&amp;CHAR(34)&amp;",",""),"")</f>
        <v/>
      </c>
      <c r="DK3" s="48" t="str">
        <f>IFERROR(IF(SEARCH("z",A3)&gt;0,CHAR(34)&amp;"with_z"&amp;CHAR(34)&amp;",",""),"")</f>
        <v/>
      </c>
      <c r="DL3" s="48" t="str">
        <f>IF(CG3=2, CHAR(34) &amp; _xlfn.TEXTJOIN("", TRUE, _xlfn._xlws.SORT(HP3:HX3)) &amp; CHAR(34) &amp; ",", "")</f>
        <v/>
      </c>
      <c r="DM3" s="48" t="str" cm="1">
        <f t="array" ref="DM3">IF(CG3=3,CHAR(34) &amp; _xlfn.TEXTJOIN("", TRUE, RIGHT(HP3:HX3, 2)) &amp; CHAR(34) &amp; ",", "")</f>
        <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
      </c>
      <c r="DP3" s="6" t="str">
        <f>IF(AND(ISNUMBER(SEARCH("20", O3)), ISERROR(SEARCH("1920", O3))), CHAR(34)&amp;"year00"&amp;CHAR(34)&amp;",", "")</f>
        <v>"year00",</v>
      </c>
      <c r="DQ3" s="6" t="str">
        <f>IF(CC3="y",CHAR(34)&amp;"soviet"&amp;CHAR(34)&amp;",","")</f>
        <v/>
      </c>
      <c r="DR3" s="6" t="str">
        <f>IF(BY3="y",CHAR(34)&amp;"dgband"&amp;CHAR(34)&amp;",","")</f>
        <v/>
      </c>
      <c r="DS3" s="6" t="str">
        <f>IF(W3="y",IF(AND(V3="n",BY3&lt;&gt;"y"),CHAR(34)&amp;"allver"&amp;CHAR(34)&amp;",",""),"")</f>
        <v/>
      </c>
      <c r="DT3" s="6" t="str">
        <f>IF(V3="y",IF(AND(W3="n",BY3&lt;&gt;"y"),CHAR(34)&amp;"allhor"&amp;CHAR(34)&amp;",",""),"")</f>
        <v>"allhor",</v>
      </c>
      <c r="DU3" s="6" t="str">
        <f>IF(BY3="y",IF(AND(W3="n",V3="n"),CHAR(34)&amp;"alldia"&amp;CHAR(34)&amp;",",""),"")</f>
        <v/>
      </c>
      <c r="DW3" s="48" t="str">
        <f>IF(CL3="y",CHAR(34)&amp;CL$1&amp;CHAR(34)&amp;",","")</f>
        <v/>
      </c>
      <c r="DX3" s="48" t="str">
        <f>IF(CM3="y",CHAR(34)&amp;CM$1&amp;CHAR(34)&amp;",","")</f>
        <v/>
      </c>
      <c r="DY3" s="48" t="str">
        <f>IF(CN3="y",CHAR(34)&amp;CN$1&amp;CHAR(34)&amp;",","")</f>
        <v>"3Bands",</v>
      </c>
      <c r="DZ3" s="48" t="str">
        <f>IF(CO3="y",CHAR(34)&amp;CO$1&amp;CHAR(34)&amp;",","")</f>
        <v/>
      </c>
      <c r="EA3" s="48" t="str">
        <f>IF(T3="y",CHAR(34)&amp;T$1&amp;CHAR(34)&amp;",","")</f>
        <v/>
      </c>
      <c r="EB3" s="48" t="str">
        <f>IF(U3="y",CHAR(34)&amp;U$1&amp;CHAR(34)&amp;",","")</f>
        <v/>
      </c>
      <c r="EC3" s="48" t="str">
        <f>IF(V3="y",CHAR(34)&amp;V$1&amp;CHAR(34)&amp;",","")</f>
        <v>"Horizo",</v>
      </c>
      <c r="ED3" s="48" t="str">
        <f>IF(W3="y",CHAR(34)&amp;W$1&amp;CHAR(34)&amp;",","")</f>
        <v/>
      </c>
      <c r="EE3" s="48" t="str">
        <f>IF(X3="y",CHAR(34)&amp;X$1&amp;CHAR(34)&amp;",","")</f>
        <v>"Circle",</v>
      </c>
      <c r="EF3" s="48" t="str">
        <f>IF(AND(Y3&lt;&gt;"n",Y3&lt;&gt;""),CHAR(34)&amp;Y$1&amp;CHAR(34)&amp;",","")</f>
        <v/>
      </c>
      <c r="EG3" s="48" t="str">
        <f>IF(Z3="y",CHAR(34)&amp;Z$1&amp;CHAR(34)&amp;",","")</f>
        <v/>
      </c>
      <c r="EH3" s="48" t="str">
        <f>IF(AA3="y",CHAR(34)&amp;AA$1&amp;CHAR(34)&amp;",","")</f>
        <v/>
      </c>
      <c r="EI3" s="48" t="str">
        <f>IF(AB3="y",CHAR(34)&amp;AB$1&amp;CHAR(34)&amp;",","")</f>
        <v/>
      </c>
      <c r="EJ3" s="48" t="str">
        <f>IF(AC3="y",CHAR(34)&amp;AC$1&amp;CHAR(34)&amp;",","")</f>
        <v/>
      </c>
      <c r="EK3" s="48" t="str">
        <f>IF(AD3="y",CHAR(34)&amp;AD$1&amp;CHAR(34)&amp;",","")</f>
        <v>"HasSun",</v>
      </c>
      <c r="EL3" s="48" t="str">
        <f>IF(AE3="y",CHAR(34)&amp;AE$1&amp;CHAR(34)&amp;",","")</f>
        <v/>
      </c>
      <c r="EM3" s="48" t="str">
        <f>IF(AF3="y",CHAR(34)&amp;AF$1&amp;CHAR(34)&amp;",","")</f>
        <v/>
      </c>
      <c r="EN3" s="48" t="str">
        <f>IF(AG3="y",CHAR(34)&amp;AG$1&amp;CHAR(34)&amp;",","")</f>
        <v/>
      </c>
      <c r="EO3" s="48" t="str">
        <f>IF(AH3="y",CHAR(34)&amp;AH$1&amp;CHAR(34)&amp;",","")</f>
        <v>"Center",</v>
      </c>
      <c r="EP3" s="48" t="str">
        <f>IF(AI3="y",CHAR(34)&amp;AI$1&amp;CHAR(34)&amp;",","")</f>
        <v/>
      </c>
      <c r="EQ3" s="48" t="str">
        <f>IF(AJ3="y",CHAR(34)&amp;AJ$1&amp;CHAR(34)&amp;",","")</f>
        <v/>
      </c>
      <c r="ER3" s="48" t="str">
        <f>IF(AK3="y",CHAR(34)&amp;AK$1&amp;CHAR(34)&amp;",","")</f>
        <v/>
      </c>
      <c r="ES3" s="48" t="str">
        <f>IF(AL3="y",CHAR(34)&amp;AL$1&amp;CHAR(34)&amp;",","")</f>
        <v/>
      </c>
      <c r="ET3" s="48" t="str">
        <f>IF(AM3="y",CHAR(34)&amp;AM$1&amp;CHAR(34)&amp;",","")</f>
        <v/>
      </c>
      <c r="EU3" s="48" t="str">
        <f>IF(AN3="y",CHAR(34)&amp;AN$1&amp;CHAR(34)&amp;",","")</f>
        <v/>
      </c>
      <c r="EV3" s="48" t="str">
        <f>IF(AO3="y",CHAR(34)&amp;AO$1&amp;CHAR(34)&amp;",","")</f>
        <v/>
      </c>
      <c r="EW3" s="48" t="str">
        <f>IF(AP3="y",CHAR(34)&amp;AP$1&amp;CHAR(34)&amp;",","")</f>
        <v/>
      </c>
      <c r="EX3" s="48" t="str">
        <f>IF(AQ3="y",CHAR(34)&amp;AQ$1&amp;CHAR(34)&amp;",","")</f>
        <v/>
      </c>
      <c r="EY3" s="48" t="str">
        <f>IF(AR3="y",CHAR(34)&amp;AR$1&amp;CHAR(34)&amp;",","")</f>
        <v/>
      </c>
      <c r="EZ3" s="48" t="str">
        <f>IF(AS3="y",CHAR(34)&amp;AS$1&amp;CHAR(34)&amp;",","")</f>
        <v/>
      </c>
      <c r="FA3" s="48" t="str">
        <f>IF(AT3&gt;0,CHAR(34)&amp;"sta"&amp;AZ3&amp;CHAR(34)&amp;",","")</f>
        <v/>
      </c>
      <c r="FB3" s="48" t="str">
        <f>IF(AND(AT3&gt;0,BA3&lt;&gt;""),CHAR(34)&amp;"sta"&amp;BA3&amp;CHAR(34)&amp;",","")</f>
        <v/>
      </c>
      <c r="FD3" s="48" t="str">
        <f>IF(BV3="n",CHAR(34)&amp;"tcWHYE"&amp;CHAR(34)&amp;",",IF(BV3="y",CHAR(34)&amp;FD$1&amp;CHAR(34)&amp;",",""))</f>
        <v/>
      </c>
      <c r="FE3" s="48" t="str">
        <f>IF(COUNTIF(BL3:BT3,"BLU")=0,CHAR(34)&amp;"NO_BLU"&amp;CHAR(34)&amp;",", "")</f>
        <v>"NO_BLU",</v>
      </c>
      <c r="FF3" s="48" t="str">
        <f>IF(COUNTIF(BL3:BT3,"WHI")=0,CHAR(34)&amp;"NO_WHI"&amp;CHAR(34)&amp;",", "")</f>
        <v/>
      </c>
      <c r="FG3" s="48" t="str">
        <f>IF(COUNTIF(BL3:BT3,"RED")=0,CHAR(34)&amp;"NO_RED"&amp;CHAR(34)&amp;",", "")</f>
        <v/>
      </c>
      <c r="FH3" s="48" t="str">
        <f>IF(COUNTIF(BL3:BS3,"GRE")=0,CHAR(34)&amp;"NO_GRE"&amp;CHAR(34)&amp;",", "")</f>
        <v/>
      </c>
      <c r="FI3" s="48" t="str">
        <f>IF(COUNTIF(BL3:BT3,"YEL")=0,CHAR(34)&amp;"NO_YEL"&amp;CHAR(34)&amp;",", "")</f>
        <v>"NO_YEL",</v>
      </c>
      <c r="FJ3" s="48" t="str">
        <f>IF(COUNTIF(BL3:BT3,"BLA")=0,CHAR(34)&amp;"NO_BLA"&amp;CHAR(34)&amp;",", "")</f>
        <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
      </c>
      <c r="FQ3" s="48" t="str">
        <f>IF(LEN(BF3)=3,CHAR(34)&amp;"001"&amp;BF3&amp;CHAR(34)&amp;",","")</f>
        <v>"001RED",</v>
      </c>
      <c r="FR3" s="48" t="str">
        <f>IF(LEN(BG3)=3,CHAR(34)&amp;"002"&amp;BG3&amp;CHAR(34)&amp;",","")</f>
        <v>"002BLA",</v>
      </c>
      <c r="FS3" s="48" t="str">
        <f>IF(LEN(BH3)=3,CHAR(34)&amp;"003"&amp;BH3&amp;CHAR(34)&amp;",","")</f>
        <v>"003GRE",</v>
      </c>
      <c r="FT3" s="48" t="str">
        <f>CHAR(34)&amp;"myr"&amp;BD3&amp;CHAR(34)&amp;","</f>
        <v>"myrEQ",</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"histor",</v>
      </c>
      <c r="GG3" s="48" t="str">
        <f>IF(BU3="y",CHAR(34)&amp;"unjack"&amp;CHAR(34)&amp;",","")</f>
        <v/>
      </c>
      <c r="GH3" s="48" t="str">
        <f>IF(CD3=1,CHAR(34)&amp;"southc"&amp;CHAR(34)&amp;",","")</f>
        <v/>
      </c>
      <c r="GI3" s="48" t="str">
        <f>IF(CE3=1,CHAR(34)&amp;"hasmap"&amp;CHAR(34)&amp;",","")</f>
        <v/>
      </c>
      <c r="GJ3" s="48" t="str">
        <f>IF(CP3="y",CHAR(34)&amp;CP$1&amp;CHAR(34)&amp;",","")</f>
        <v>"NoStar",</v>
      </c>
      <c r="GK3" s="48" t="str">
        <f>IF(GJ3="",CHAR(34)&amp;"HasSta"&amp;CHAR(34)&amp;",","")</f>
        <v/>
      </c>
      <c r="GL3" s="48" t="str">
        <f>IF(CQ3="y",CHAR(34)&amp;CQ$1&amp;CHAR(34)&amp;",","")</f>
        <v/>
      </c>
      <c r="GM3" s="48" t="str">
        <f>IF(CR3="y",CHAR(34)&amp;CR$1&amp;CHAR(34)&amp;",","")</f>
        <v/>
      </c>
      <c r="GN3" s="48" t="str">
        <f>IF(CS3="y",CHAR(34)&amp;CS$1&amp;CHAR(34)&amp;",","")</f>
        <v/>
      </c>
      <c r="GP3" s="48" t="str">
        <f>CHAR(34)&amp;AU3&amp;CHAR(34)</f>
        <v>"Historical"</v>
      </c>
      <c r="GS3" s="48" t="str">
        <f>SUBSTITUTE("["&amp;_xlfn.CONCAT(CW3:GN3)&amp;"]",",]","]")</f>
        <v>["4Color","words2","lets21","startB","with_w","year00","allhor","3Bands","Horizo","Circle","HasSun","Center","NO_BLU","NO_YEL","001RED","002BLA","003GRE","myrEQ","histor","NoStar"]</v>
      </c>
      <c r="GT3" s="48" t="str">
        <f>IF(BL3&lt;&gt;"",CHAR(34)&amp;"cl_"&amp;BL3&amp;CHAR(34)&amp;",","")</f>
        <v>"cl_RED",</v>
      </c>
      <c r="GU3" s="48" t="str">
        <f>IF(BM3&lt;&gt;"",CHAR(34)&amp;"cl_"&amp;BM3&amp;CHAR(34)&amp;",","")</f>
        <v>"cl_BLA",</v>
      </c>
      <c r="GV3" s="48" t="str">
        <f>IF(BN3&lt;&gt;"",CHAR(34)&amp;"cl_"&amp;BN3&amp;CHAR(34)&amp;",","")</f>
        <v>"cl_GRE",</v>
      </c>
      <c r="GW3" s="48" t="str">
        <f>IF(BO3&lt;&gt;"",CHAR(34)&amp;"cl_"&amp;BO3&amp;CHAR(34)&amp;",","")</f>
        <v>"cl_WHI",</v>
      </c>
      <c r="GX3" s="48" t="str">
        <f>IF(BP3&lt;&gt;"",CHAR(34)&amp;"cl_"&amp;BP3&amp;CHAR(34)&amp;",","")</f>
        <v/>
      </c>
      <c r="GY3" s="48" t="str">
        <f>IF(BQ3&lt;&gt;"",CHAR(34)&amp;"cl_"&amp;BQ3&amp;CHAR(34)&amp;",","")</f>
        <v/>
      </c>
      <c r="GZ3" s="48" t="str">
        <f>IF(BR3&lt;&gt;"",CHAR(34)&amp;"cl_"&amp;BR3&amp;CHAR(34)&amp;",","")</f>
        <v/>
      </c>
      <c r="HA3" s="48" t="str">
        <f>IF(BS3&lt;&gt;"",CHAR(34)&amp;"cl_"&amp;BS3&amp;CHAR(34)&amp;",","")</f>
        <v/>
      </c>
      <c r="HB3" s="48" t="str">
        <f>IF(BT3&lt;&gt;"",CHAR(34)&amp;"cl_"&amp;BT3&amp;CHAR(34)&amp;",","")</f>
        <v/>
      </c>
      <c r="HC3" s="48" t="str">
        <f>SUBSTITUTE("["&amp;_xlfn.CONCAT(GT3:HB3)&amp;"]",",]","]")</f>
        <v>["cl_RED","cl_BLA","cl_GRE","cl_WHI"]</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{couname:"[MWI] Bingu's Flag (2010-2012)",year:"2010",region:"rgn_Africa",Colors:["cl_RED","cl_BLA","cl_GRE","cl_WHI"],Items:["4Color","words2","lets21","startB","with_w","year00","allhor","3Bands","Horizo","Circle","HasSun","Center","NO_BLU","NO_YEL","001RED","002BLA","003GRE","myrEQ","histor","NoStar"],Flag:"https://upload.wikimedia.org/wikipedia/commons/thumb/0/08/Flag_of_Malawi_%282010%E2%80%932012%29.svg/640px-Flag_of_Malawi_%282010%E2%80%932012%29.svg.png",HDFlag:"https://upload.wikimedia.org/wikipedia/commons/thumb/0/08/Flag_of_Malawi_%282010%E2%80%932012%29.svg/2560px-Flag_of_Malawi_%282010%E2%80%932012%29.svg.png",type:"Historical", describe: "\nA new flag of Malawi was adopted on 29 July 2010, as proposed by the Democratic Progressive Party–led government. The stripes were altered from the previous flag to match the original Pan-African Flag layout, with the red stripe at the top, the black stripe in middle, and the green stripe at the bottom. The rising sun at the flag's top was replaced with a full, centred white sun with 45 rays representing the 'economic progress' Malawi has made since becoming independent (it was actually one of the most unsuccessful in the world after 1990). The opposition United Democratic Front announced that it would challenge the legitimacy of flag change in court. The flag was endorsed by the President of Malawi, Bingu wa Mutharika, who approved the flag change on 29 July 2010. There was much public outcry about whether there was a need to change the flag, but the process continued despite being unwelcome to much of the public. The flag was pejoratively nicknamed 'Bingu's flag' by the majority of the nation who saw it as an illegitimate flag. Many objected to the new flag, perceiving its adoption as undemocratic./n/nOn 28 May 2012, under new president Joyce Banda, Parliament voted to revert to the independence flag.[7][8]", isnew:".", links: "https://en.wikipedia.org/wiki/Flag_of_Malawi"},</v>
      </c>
      <c r="HG3" s="73" t="str">
        <f>"{couname:"&amp;CT3&amp;(IF(HK3&lt;&gt;"",",subtype:"&amp;CHAR(34)&amp;HK3&amp;CHAR(34),""))&amp;",year:"&amp;HJ3&amp;",region:"&amp;CU3&amp;",Colors:"&amp;HC3&amp;",Items:"&amp;GS3&amp;",Flag:"&amp;CV3&amp;",HDFlag:"&amp;CHAR(34)&amp;E3&amp;CHAR(34)&amp;",type:"&amp;GP3&amp;", describe: "&amp;HI3&amp;", links: "&amp;HL3&amp;"},"</f>
        <v>{couname:"[MWI] Bingu's Flag (2010-2012)",year:"2010",region:"rgn_Africa",Colors:["cl_RED","cl_BLA","cl_GRE","cl_WHI"],Items:["4Color","words2","lets21","startB","with_w","year00","allhor","3Bands","Horizo","Circle","HasSun","Center","NO_BLU","NO_YEL","001RED","002BLA","003GRE","myrEQ","histor","NoStar"],Flag:"https://upload.wikimedia.org/wikipedia/commons/thumb/0/08/Flag_of_Malawi_%282010%E2%80%932012%29.svg/640px-Flag_of_Malawi_%282010%E2%80%932012%29.svg.png",HDFlag:"https://upload.wikimedia.org/wikipedia/commons/thumb/0/08/Flag_of_Malawi_%282010%E2%80%932012%29.svg/2560px-Flag_of_Malawi_%282010%E2%80%932012%29.svg.png",type:"Historical", describe: "\nA new flag of Malawi was adopted on 29 July 2010, as proposed by the Democratic Progressive Party–led government. The stripes were altered from the previous flag to match the original Pan-African Flag layout, with the red stripe at the top, the black stripe in middle, and the green stripe at the bottom. The rising sun at the flag's top was replaced with a full, centred white sun with 45 rays representing the 'economic progress' Malawi has made since becoming independent (it was actually one of the most unsuccessful in the world after 1990). The opposition United Democratic Front announced that it would challenge the legitimacy of flag change in court. The flag was endorsed by the President of Malawi, Bingu wa Mutharika, who approved the flag change on 29 July 2010. There was much public outcry about whether there was a need to change the flag, but the process continued despite being unwelcome to much of the public. The flag was pejoratively nicknamed 'Bingu's flag' by the majority of the nation who saw it as an illegitimate flag. Many objected to the new flag, perceiving its adoption as undemocratic./n/nOn 28 May 2012, under new president Joyce Banda, Parliament voted to revert to the independence flag.[7][8]", links: "https://en.wikipedia.org/wiki/Flag_of_Malawi"},</v>
      </c>
      <c r="HH3" s="48" t="str">
        <f>IF(P3&lt;&gt;"",CHAR(34)&amp;"\n"&amp;P3&amp;CHAR(34),CHAR(34)&amp;CHAR(34))</f>
        <v>"\nA new flag of Malawi was adopted on 29 July 2010, as proposed by the Democratic Progressive Party–led government. The stripes were altered from the previous flag to match the original Pan-African Flag layout, with the red stripe at the top, the black stripe in middle, and the green stripe at the bottom. The rising sun at the flag's top was replaced with a full, centred white sun with 45 rays representing the 'economic progress' Malawi has made since becoming independent (it was actually one of the most unsuccessful in the world after 1990). The opposition United Democratic Front announced that it would challenge the legitimacy of flag change in court. The flag was endorsed by the President of Malawi, Bingu wa Mutharika, who approved the flag change on 29 July 2010. There was much public outcry about whether there was a need to change the flag, but the process continued despite being unwelcome to much of the public. The flag was pejoratively nicknamed 'Bingu's flag' by the majority of the nation who saw it as an illegitimate flag. Many objected to the new flag, perceiving its adoption as undemocratic./n/nOn 28 May 2012, under new president Joyce Banda, Parliament voted to revert to the independence flag.[7][8]"</v>
      </c>
      <c r="HI3" s="48" t="str">
        <f>IF(J3=0,CHAR(34)&amp;CHAR(34),HH3)</f>
        <v>"\nA new flag of Malawi was adopted on 29 July 2010, as proposed by the Democratic Progressive Party–led government. The stripes were altered from the previous flag to match the original Pan-African Flag layout, with the red stripe at the top, the black stripe in middle, and the green stripe at the bottom. The rising sun at the flag's top was replaced with a full, centred white sun with 45 rays representing the 'economic progress' Malawi has made since becoming independent (it was actually one of the most unsuccessful in the world after 1990). The opposition United Democratic Front announced that it would challenge the legitimacy of flag change in court. The flag was endorsed by the President of Malawi, Bingu wa Mutharika, who approved the flag change on 29 July 2010. There was much public outcry about whether there was a need to change the flag, but the process continued despite being unwelcome to much of the public. The flag was pejoratively nicknamed 'Bingu's flag' by the majority of the nation who saw it as an illegitimate flag. Many objected to the new flag, perceiving its adoption as undemocratic./n/nOn 28 May 2012, under new president Joyce Banda, Parliament voted to revert to the independence flag.[7][8]"</v>
      </c>
      <c r="HJ3" s="48" t="str">
        <f>CHAR(34)&amp;O3&amp;CHAR(34)</f>
        <v>"2010"</v>
      </c>
      <c r="HL3" s="48" t="str">
        <f>CHAR(34)&amp;I3&amp;CHAR(34)</f>
        <v>"https://en.wikipedia.org/wiki/Flag_of_Malawi"</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{"couname":"[MWI] Bingu's Flag (2010-2012)","subtype":"[MWI] Other","year":"2010","region":"rgn_Africa","Colors":["cl_RED","cl_BLA","cl_GRE","cl_WHI"],"Items":["4Color","words2","lets21","startB","with_w","year00","allhor","3Bands","Horizo","Circle","HasSun","Center","NO_BLU","NO_YEL","001RED","002BLA","003GRE","myrEQ","histor","NoStar"],"Flag":"https://upload.wikimedia.org/wikipedia/commons/thumb/0/08/Flag_of_Malawi_%282010%E2%80%932012%29.svg/640px-Flag_of_Malawi_%282010%E2%80%932012%29.svg.png","HDFlag":"https://upload.wikimedia.org/wikipedia/commons/thumb/0/08/Flag_of_Malawi_%282010%E2%80%932012%29.svg/2560px-Flag_of_Malawi_%282010%E2%80%932012%29.svg.png","type":"Historical", "describe": "\nA new flag of Malawi was adopted on 29 July 2010, as proposed by the Democratic Progressive Party–led government. The stripes were altered from the previous flag to match the original Pan-African Flag layout, with the red stripe at the top, the black stripe in middle, and the green stripe at the bottom. The rising sun at the flag's top was replaced with a full, centred white sun with 45 rays representing the 'economic progress' Malawi has made since becoming independent (it was actually one of the most unsuccessful in the world after 1990). The opposition United Democratic Front announced that it would challenge the legitimacy of flag change in court. The flag was endorsed by the President of Malawi, Bingu wa Mutharika, who approved the flag change on 29 July 2010. There was much public outcry about whether there was a need to change the flag, but the process continued despite being unwelcome to much of the public. The flag was pejoratively nicknamed 'Bingu's flag' by the majority of the nation who saw it as an illegitimate flag. Many objected to the new flag, perceiving its adoption as undemocratic./n/nOn 28 May 2012, under new president Joyce Banda, Parliament voted to revert to the independence flag.[7][8]", "isnew": ".", "links": "https://en.wikipedia.org/wiki/Flag_of_Malawi"},</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{"couname":"[MWI] Bingu's Flag (2010-2012)","subtype":"[MWI] Other","year":"2010","region":"rgn_Africa","Colors":["cl_RED","cl_BLA","cl_GRE","cl_WHI"],"Items":["4Color","words2","lets21","startB","with_w","year00","allhor","3Bands","Horizo","Circle","HasSun","Center","NO_BLU","NO_YEL","001RED","002BLA","003GRE","myrEQ","histor","NoStar"],"Flag":"https://upload.wikimedia.org/wikipedia/commons/thumb/0/08/Flag_of_Malawi_%282010%E2%80%932012%29.svg/640px-Flag_of_Malawi_%282010%E2%80%932012%29.svg.png","HDFlag":"https://upload.wikimedia.org/wikipedia/commons/thumb/0/08/Flag_of_Malawi_%282010%E2%80%932012%29.svg/2560px-Flag_of_Malawi_%282010%E2%80%932012%29.svg.png","type":"Historical", "describe": "\nA new flag of Malawi was adopted on 29 July 2010, as proposed by the Democratic Progressive Party–led government. The stripes were altered from the previous flag to match the original Pan-African Flag layout, with the red stripe at the top, the black stripe in middle, and the green stripe at the bottom. The rising sun at the flag's top was replaced with a full, centred white sun with 45 rays representing the 'economic progress' Malawi has made since becoming independent (it was actually one of the most unsuccessful in the world after 1990). The opposition United Democratic Front announced that it would challenge the legitimacy of flag change in court. The flag was endorsed by the President of Malawi, Bingu wa Mutharika, who approved the flag change on 29 July 2010. There was much public outcry about whether there was a need to change the flag, but the process continued despite being unwelcome to much of the public. The flag was pejoratively nicknamed 'Bingu's flag' by the majority of the nation who saw it as an illegitimate flag. Many objected to the new flag, perceiving its adoption as undemocratic./n/nOn 28 May 2012, under new president Joyce Banda, Parliament voted to revert to the independence flag.[7][8]", "isnew": ".", "links": "https://en.wikipedia.org/wiki/Flag_of_Malawi"},</v>
      </c>
      <c r="HO3" s="75">
        <v>45644</v>
      </c>
      <c r="HP3" s="48" t="str" cm="1">
        <f t="array" ref="HP3">IF(_xlfn.TEXTJOIN(", ", TRUE, IF(ISNUMBER(SEARCH("BLA", BL3:BT3)), COLUMN(BL3:BT3) - COLUMN(BL3) + 1, ""))&lt;&gt;"","BLA","")</f>
        <v>BLA</v>
      </c>
      <c r="HQ3" s="48" t="str" cm="1">
        <f t="array" ref="HQ3">IF(_xlfn.TEXTJOIN(", ", TRUE, IF(ISNUMBER(SEARCH("BLU", BL3:BT3)), COLUMN(BL3:BT3) - COLUMN(BL3) + 1, ""))&lt;&gt;"","BLU","")</f>
        <v/>
      </c>
      <c r="HR3" s="48" t="str" cm="1">
        <f t="array" ref="HR3">IF(_xlfn.TEXTJOIN(", ", TRUE, IF(ISNUMBER(SEARCH("GRE", BL3:BT3)), COLUMN(BL3:BT3) - COLUMN(BL3) + 1, ""))&lt;&gt;"","GRE","")</f>
        <v>GRE</v>
      </c>
      <c r="HS3" s="48" t="str" cm="1">
        <f t="array" ref="HS3">IF(_xlfn.TEXTJOIN(", ", TRUE, IF(ISNUMBER(SEARCH("RED", BL3:BT3)), COLUMN(BL3:BT3) - COLUMN(BL3) + 1, ""))&lt;&gt;"","RED","")</f>
        <v>RED</v>
      </c>
      <c r="HT3" s="48" t="str" cm="1">
        <f t="array" ref="HT3">IF(_xlfn.TEXTJOIN(", ", TRUE, IF(ISNUMBER(SEARCH("YEL", BL3:BT3)), COLUMN(BL3:BT3) - COLUMN(BL3) + 1, ""))&lt;&gt;"","YEL","")</f>
        <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M3" s="45">
        <f>COUNTIF(IC3:IK3,"&gt;0")-CG3</f>
        <v>-4</v>
      </c>
      <c r="IN3" s="78" t="str">
        <f>"http://mkweb.bcgsc.ca/color-summarizer/?url="&amp;D3&amp;"&amp;precision=low&amp;num_clusters="&amp;CG3&amp;"&amp;text=1"</f>
        <v>http://mkweb.bcgsc.ca/color-summarizer/?url=https://upload.wikimedia.org/wikipedia/commons/thumb/0/08/Flag_of_Malawi_%282010%E2%80%932012%29.svg/640px-Flag_of_Malawi_%282010%E2%80%932012%29.svg.png&amp;precision=low&amp;num_clusters=4&amp;text=1</v>
      </c>
      <c r="IO3" s="48" t="str">
        <f>IF(HP3&lt;&gt;"",CHAR(34)&amp;"black"&amp;CHAR(34),"")</f>
        <v>"black"</v>
      </c>
      <c r="IP3" s="48" t="str">
        <f>IF(HQ3&lt;&gt;"",CHAR(34)&amp;"blue"&amp;CHAR(34),"")</f>
        <v/>
      </c>
      <c r="IQ3" s="48" t="str">
        <f>IF(HR3&lt;&gt;"",CHAR(34)&amp;"green"&amp;CHAR(34),"")</f>
        <v>"green"</v>
      </c>
      <c r="IR3" s="48" t="str">
        <f>IF(HS3&lt;&gt;"",CHAR(34)&amp;"red"&amp;CHAR(34),"")</f>
        <v>"red"</v>
      </c>
      <c r="IS3" s="48" t="str">
        <f>IF(HT3&lt;&gt;"",CHAR(34)&amp;"yellow"&amp;CHAR(34),"")</f>
        <v/>
      </c>
      <c r="IT3" s="48" t="str">
        <f>IF(HU3&lt;&gt;"",CHAR(34)&amp;"orange"&amp;CHAR(34),"")</f>
        <v/>
      </c>
      <c r="IU3" s="48" t="str">
        <f>IF(HV3&lt;&gt;"",CHAR(34)&amp;"brown"&amp;CHAR(34),"")</f>
        <v/>
      </c>
      <c r="IV3" s="48" t="str">
        <f>IF(HW3&lt;&gt;"",CHAR(34)&amp;"purple"&amp;CHAR(34),"")</f>
        <v/>
      </c>
      <c r="IW3" s="48" t="str">
        <f>IF(HX3&lt;&gt;"",CHAR(34)&amp;"white"&amp;CHAR(34),"")</f>
        <v>"white"</v>
      </c>
      <c r="IX3" s="48" t="str">
        <f>"{"&amp;CHAR(34)&amp;"url"&amp;CHAR(34)&amp;":"&amp;CHAR(34)&amp;IN3&amp;CHAR(34)&amp;","&amp;CHAR(34)&amp;"name"&amp;CHAR(34)&amp;":"&amp;CHAR(34)&amp;A3&amp;CHAR(34)&amp;"},"</f>
        <v>{"url":"http://mkweb.bcgsc.ca/color-summarizer/?url=https://upload.wikimedia.org/wikipedia/commons/thumb/0/08/Flag_of_Malawi_%282010%E2%80%932012%29.svg/640px-Flag_of_Malawi_%282010%E2%80%932012%29.svg.png&amp;precision=low&amp;num_clusters=4&amp;text=1","name":"[MWI] Bingu's Flag (2010-2012)"},</v>
      </c>
      <c r="IY3" s="48">
        <v>1503</v>
      </c>
    </row>
    <row r="4" spans="1:259" ht="38.4" customHeight="1" x14ac:dyDescent="0.3">
      <c r="D4" s="82"/>
      <c r="E4" s="82"/>
      <c r="F4" s="82"/>
      <c r="G4" s="82"/>
      <c r="H4" s="82"/>
      <c r="I4" s="82"/>
      <c r="J4" s="82"/>
      <c r="K4" s="82"/>
    </row>
    <row r="5" spans="1:259" ht="38.4" customHeight="1" x14ac:dyDescent="0.3">
      <c r="D5" s="82"/>
      <c r="E5" s="82"/>
      <c r="F5" s="82"/>
      <c r="G5" s="82"/>
      <c r="H5" s="82"/>
      <c r="I5" s="82"/>
      <c r="J5" s="82"/>
      <c r="K5" s="82"/>
    </row>
    <row r="6" spans="1:259" ht="38.4" customHeight="1" x14ac:dyDescent="0.3">
      <c r="D6" s="82"/>
      <c r="E6" s="82"/>
      <c r="F6" s="82"/>
      <c r="G6" s="82"/>
      <c r="H6" s="82"/>
      <c r="I6" s="82"/>
      <c r="K6" s="81"/>
    </row>
    <row r="7" spans="1:259" ht="38.4" customHeight="1" x14ac:dyDescent="0.3">
      <c r="D7" s="82"/>
      <c r="E7" s="82"/>
      <c r="F7" s="82"/>
      <c r="G7" s="82"/>
      <c r="H7" s="82"/>
      <c r="I7" s="82"/>
      <c r="K7" s="81"/>
    </row>
    <row r="8" spans="1:259" ht="38.4" customHeight="1" x14ac:dyDescent="0.3">
      <c r="D8" s="82"/>
      <c r="E8" s="82"/>
      <c r="F8" s="82"/>
      <c r="G8" s="82"/>
      <c r="H8" s="82"/>
      <c r="I8" s="82"/>
      <c r="K8" s="81"/>
    </row>
    <row r="9" spans="1:259" ht="38.4" customHeight="1" x14ac:dyDescent="0.3">
      <c r="F9" s="81"/>
      <c r="K9" s="81"/>
    </row>
    <row r="10" spans="1:259" ht="38.4" customHeight="1" x14ac:dyDescent="0.3">
      <c r="F10" s="81"/>
      <c r="K10" s="81"/>
    </row>
  </sheetData>
  <autoFilter ref="A1:IY1" xr:uid="{A1051193-A95B-4CFB-A73C-F0184620C81F}">
    <sortState xmlns:xlrd2="http://schemas.microsoft.com/office/spreadsheetml/2017/richdata2" ref="A2:IY5">
      <sortCondition ref="AW1"/>
    </sortState>
  </autoFilter>
  <conditionalFormatting sqref="H1 CW1:GS1 IA1:IB1">
    <cfRule type="cellIs" dxfId="2540" priority="118" operator="greaterThan">
      <formula>0</formula>
    </cfRule>
  </conditionalFormatting>
  <conditionalFormatting sqref="H1 H9:H1048576">
    <cfRule type="cellIs" dxfId="2539" priority="84" stopIfTrue="1" operator="notEqual">
      <formula>""</formula>
    </cfRule>
  </conditionalFormatting>
  <conditionalFormatting sqref="T1:BK1">
    <cfRule type="cellIs" dxfId="2538" priority="121" operator="greaterThan">
      <formula>0</formula>
    </cfRule>
  </conditionalFormatting>
  <conditionalFormatting sqref="BV1:BW1 BV4:BW1048576">
    <cfRule type="cellIs" dxfId="2537" priority="120" operator="equal">
      <formula>"nc"</formula>
    </cfRule>
  </conditionalFormatting>
  <conditionalFormatting sqref="HF1:HG1">
    <cfRule type="cellIs" dxfId="2536" priority="122" operator="greaterThan">
      <formula>0</formula>
    </cfRule>
  </conditionalFormatting>
  <conditionalFormatting sqref="HK1">
    <cfRule type="cellIs" dxfId="2535" priority="119" operator="greaterThan">
      <formula>0</formula>
    </cfRule>
  </conditionalFormatting>
  <conditionalFormatting sqref="HP1:HX1">
    <cfRule type="cellIs" dxfId="2534" priority="96" operator="equal">
      <formula>"PIN"</formula>
    </cfRule>
    <cfRule type="cellIs" dxfId="2533" priority="97" operator="equal">
      <formula>"ORA"</formula>
    </cfRule>
    <cfRule type="cellIs" dxfId="2532" priority="98" operator="equal">
      <formula>"GRA"</formula>
    </cfRule>
    <cfRule type="cellIs" dxfId="2531" priority="99" operator="equal">
      <formula>"PUR"</formula>
    </cfRule>
    <cfRule type="cellIs" dxfId="2530" priority="100" operator="equal">
      <formula>"BRO"</formula>
    </cfRule>
    <cfRule type="cellIs" dxfId="2529" priority="101" operator="equal">
      <formula>"YEL"</formula>
    </cfRule>
    <cfRule type="cellIs" dxfId="2528" priority="102" operator="equal">
      <formula>"BLU"</formula>
    </cfRule>
    <cfRule type="cellIs" dxfId="2527" priority="103" operator="equal">
      <formula>"WHI"</formula>
    </cfRule>
    <cfRule type="cellIs" dxfId="2526" priority="104" operator="equal">
      <formula>"GRE"</formula>
    </cfRule>
    <cfRule type="cellIs" dxfId="2525" priority="105" operator="equal">
      <formula>"RED"</formula>
    </cfRule>
    <cfRule type="cellIs" dxfId="2524" priority="106" operator="equal">
      <formula>"BLA"</formula>
    </cfRule>
  </conditionalFormatting>
  <conditionalFormatting sqref="IC1:IK1">
    <cfRule type="cellIs" dxfId="2523" priority="107" operator="equal">
      <formula>"PIN"</formula>
    </cfRule>
    <cfRule type="cellIs" dxfId="2522" priority="108" operator="equal">
      <formula>"ORA"</formula>
    </cfRule>
    <cfRule type="cellIs" dxfId="2521" priority="109" operator="equal">
      <formula>"GRA"</formula>
    </cfRule>
    <cfRule type="cellIs" dxfId="2520" priority="110" operator="equal">
      <formula>"PUR"</formula>
    </cfRule>
    <cfRule type="cellIs" dxfId="2519" priority="111" operator="equal">
      <formula>"BRO"</formula>
    </cfRule>
    <cfRule type="cellIs" dxfId="2518" priority="112" operator="equal">
      <formula>"YEL"</formula>
    </cfRule>
    <cfRule type="cellIs" dxfId="2517" priority="113" operator="equal">
      <formula>"BLU"</formula>
    </cfRule>
    <cfRule type="cellIs" dxfId="2516" priority="114" operator="equal">
      <formula>"WHI"</formula>
    </cfRule>
    <cfRule type="cellIs" dxfId="2515" priority="115" operator="equal">
      <formula>"GRE"</formula>
    </cfRule>
    <cfRule type="cellIs" dxfId="2514" priority="116" operator="equal">
      <formula>"RED"</formula>
    </cfRule>
    <cfRule type="cellIs" dxfId="2513" priority="117" operator="equal">
      <formula>"BLA"</formula>
    </cfRule>
  </conditionalFormatting>
  <conditionalFormatting sqref="IO1:IW1">
    <cfRule type="cellIs" dxfId="2512" priority="85" operator="equal">
      <formula>"PIN"</formula>
    </cfRule>
    <cfRule type="cellIs" dxfId="2511" priority="86" operator="equal">
      <formula>"ORA"</formula>
    </cfRule>
    <cfRule type="cellIs" dxfId="2510" priority="87" operator="equal">
      <formula>"GRA"</formula>
    </cfRule>
    <cfRule type="cellIs" dxfId="2509" priority="88" operator="equal">
      <formula>"PUR"</formula>
    </cfRule>
    <cfRule type="cellIs" dxfId="2508" priority="89" operator="equal">
      <formula>"BRO"</formula>
    </cfRule>
    <cfRule type="cellIs" dxfId="2507" priority="90" operator="equal">
      <formula>"YEL"</formula>
    </cfRule>
    <cfRule type="cellIs" dxfId="2506" priority="91" operator="equal">
      <formula>"BLU"</formula>
    </cfRule>
    <cfRule type="cellIs" dxfId="2505" priority="92" operator="equal">
      <formula>"WHI"</formula>
    </cfRule>
    <cfRule type="cellIs" dxfId="2504" priority="93" operator="equal">
      <formula>"GRE"</formula>
    </cfRule>
    <cfRule type="cellIs" dxfId="2503" priority="94" operator="equal">
      <formula>"RED"</formula>
    </cfRule>
    <cfRule type="cellIs" dxfId="2502" priority="95" operator="equal">
      <formula>"BLA"</formula>
    </cfRule>
  </conditionalFormatting>
  <conditionalFormatting sqref="H3">
    <cfRule type="cellIs" dxfId="2501" priority="76" stopIfTrue="1" operator="notEqual">
      <formula>""</formula>
    </cfRule>
  </conditionalFormatting>
  <conditionalFormatting sqref="R3 CU3">
    <cfRule type="cellIs" dxfId="2500" priority="79" operator="greaterThan">
      <formula>0</formula>
    </cfRule>
  </conditionalFormatting>
  <conditionalFormatting sqref="T3:AS3 CH3:CS3">
    <cfRule type="cellIs" dxfId="2499" priority="73" stopIfTrue="1" operator="equal">
      <formula>"n"</formula>
    </cfRule>
    <cfRule type="cellIs" dxfId="2498" priority="74" stopIfTrue="1" operator="equal">
      <formula>"y"</formula>
    </cfRule>
    <cfRule type="cellIs" dxfId="2497" priority="75" operator="greaterThan">
      <formula>0</formula>
    </cfRule>
  </conditionalFormatting>
  <conditionalFormatting sqref="AZ3:BB3">
    <cfRule type="expression" dxfId="2496" priority="60">
      <formula>$AT3=0</formula>
    </cfRule>
  </conditionalFormatting>
  <conditionalFormatting sqref="CD3:CF3 BX3:CA3 AZ3:BU3">
    <cfRule type="cellIs" dxfId="2495" priority="61" operator="equal">
      <formula>"PIN"</formula>
    </cfRule>
    <cfRule type="cellIs" dxfId="2494" priority="62" operator="equal">
      <formula>"ORA"</formula>
    </cfRule>
    <cfRule type="cellIs" dxfId="2493" priority="63" operator="equal">
      <formula>"GRA"</formula>
    </cfRule>
    <cfRule type="cellIs" dxfId="2492" priority="64" operator="equal">
      <formula>"PUR"</formula>
    </cfRule>
    <cfRule type="cellIs" dxfId="2491" priority="65" operator="equal">
      <formula>"BRO"</formula>
    </cfRule>
    <cfRule type="cellIs" dxfId="2490" priority="66" operator="equal">
      <formula>"YEL"</formula>
    </cfRule>
    <cfRule type="cellIs" dxfId="2489" priority="67" operator="equal">
      <formula>"BLU"</formula>
    </cfRule>
    <cfRule type="cellIs" dxfId="2488" priority="68" operator="equal">
      <formula>"WHI"</formula>
    </cfRule>
    <cfRule type="cellIs" dxfId="2487" priority="69" operator="equal">
      <formula>"GRE"</formula>
    </cfRule>
    <cfRule type="cellIs" dxfId="2486" priority="70" operator="equal">
      <formula>"RED"</formula>
    </cfRule>
    <cfRule type="cellIs" dxfId="2485" priority="71" operator="equal">
      <formula>"BLA"</formula>
    </cfRule>
  </conditionalFormatting>
  <conditionalFormatting sqref="BV3">
    <cfRule type="cellIs" dxfId="2484" priority="78" operator="equal">
      <formula>"nc"</formula>
    </cfRule>
  </conditionalFormatting>
  <conditionalFormatting sqref="CD3:CF3 BX3:CA3">
    <cfRule type="cellIs" dxfId="2483" priority="77" operator="equal">
      <formula>"y"</formula>
    </cfRule>
  </conditionalFormatting>
  <conditionalFormatting sqref="CD3:CF3 BZ3:CA3">
    <cfRule type="cellIs" dxfId="2482" priority="72" operator="greaterThan">
      <formula>0</formula>
    </cfRule>
  </conditionalFormatting>
  <conditionalFormatting sqref="IC3:IK3">
    <cfRule type="expression" dxfId="2481" priority="59">
      <formula>$IL3&gt;0</formula>
    </cfRule>
  </conditionalFormatting>
  <conditionalFormatting sqref="IC3">
    <cfRule type="cellIs" dxfId="2480" priority="53" stopIfTrue="1" operator="greaterThan">
      <formula>0</formula>
    </cfRule>
  </conditionalFormatting>
  <conditionalFormatting sqref="ID3">
    <cfRule type="cellIs" dxfId="2479" priority="51" stopIfTrue="1" operator="greaterThan">
      <formula>0</formula>
    </cfRule>
  </conditionalFormatting>
  <conditionalFormatting sqref="II3 IE3:IF3">
    <cfRule type="cellIs" dxfId="2478" priority="58" operator="greaterThan">
      <formula>0</formula>
    </cfRule>
  </conditionalFormatting>
  <conditionalFormatting sqref="II3 IF3">
    <cfRule type="cellIs" dxfId="2477" priority="52" stopIfTrue="1" operator="greaterThan">
      <formula>0</formula>
    </cfRule>
  </conditionalFormatting>
  <conditionalFormatting sqref="IG3">
    <cfRule type="cellIs" dxfId="2476" priority="57" operator="greaterThan">
      <formula>0</formula>
    </cfRule>
  </conditionalFormatting>
  <conditionalFormatting sqref="IH3:II3">
    <cfRule type="cellIs" dxfId="2475" priority="56" operator="greaterThan">
      <formula>0</formula>
    </cfRule>
  </conditionalFormatting>
  <conditionalFormatting sqref="IJ3">
    <cfRule type="cellIs" dxfId="2474" priority="55" operator="greaterThan">
      <formula>0</formula>
    </cfRule>
  </conditionalFormatting>
  <conditionalFormatting sqref="IK3">
    <cfRule type="cellIs" dxfId="2473" priority="54" operator="greaterThan">
      <formula>0</formula>
    </cfRule>
  </conditionalFormatting>
  <conditionalFormatting sqref="IF3">
    <cfRule type="cellIs" dxfId="2472" priority="50" stopIfTrue="1" operator="greaterThan">
      <formula>0</formula>
    </cfRule>
  </conditionalFormatting>
  <conditionalFormatting sqref="IM3">
    <cfRule type="cellIs" dxfId="2471" priority="49" operator="equal">
      <formula>0</formula>
    </cfRule>
  </conditionalFormatting>
  <conditionalFormatting sqref="BX3:CA3 CD3:CF3">
    <cfRule type="cellIs" dxfId="2470" priority="37" operator="equal">
      <formula>"y"</formula>
    </cfRule>
    <cfRule type="cellIs" dxfId="2469" priority="38" operator="equal">
      <formula>"PIN"</formula>
    </cfRule>
    <cfRule type="cellIs" dxfId="2468" priority="39" operator="equal">
      <formula>"ORA"</formula>
    </cfRule>
    <cfRule type="cellIs" dxfId="2467" priority="40" operator="equal">
      <formula>"GRA"</formula>
    </cfRule>
    <cfRule type="cellIs" dxfId="2466" priority="41" operator="equal">
      <formula>"PUR"</formula>
    </cfRule>
    <cfRule type="cellIs" dxfId="2465" priority="42" operator="equal">
      <formula>"BRO"</formula>
    </cfRule>
    <cfRule type="cellIs" dxfId="2464" priority="43" operator="equal">
      <formula>"YEL"</formula>
    </cfRule>
    <cfRule type="cellIs" dxfId="2463" priority="44" operator="equal">
      <formula>"BLU"</formula>
    </cfRule>
    <cfRule type="cellIs" dxfId="2462" priority="45" operator="equal">
      <formula>"WHI"</formula>
    </cfRule>
    <cfRule type="cellIs" dxfId="2461" priority="46" operator="equal">
      <formula>"GRE"</formula>
    </cfRule>
    <cfRule type="cellIs" dxfId="2460" priority="47" operator="equal">
      <formula>"RED"</formula>
    </cfRule>
    <cfRule type="cellIs" dxfId="2459" priority="48" operator="equal">
      <formula>"BLA"</formula>
    </cfRule>
  </conditionalFormatting>
  <conditionalFormatting sqref="AT3">
    <cfRule type="colorScale" priority="80">
      <colorScale>
        <cfvo type="min"/>
        <cfvo type="max"/>
        <color rgb="FFFCFCFF"/>
        <color theme="8" tint="0.39997558519241921"/>
      </colorScale>
    </cfRule>
  </conditionalFormatting>
  <conditionalFormatting sqref="S3">
    <cfRule type="colorScale" priority="81">
      <colorScale>
        <cfvo type="min"/>
        <cfvo type="max"/>
        <color rgb="FFFCFCFF"/>
        <color rgb="FF754BFB"/>
      </colorScale>
    </cfRule>
  </conditionalFormatting>
  <conditionalFormatting sqref="J3">
    <cfRule type="colorScale" priority="82">
      <colorScale>
        <cfvo type="min"/>
        <cfvo type="percentile" val="50"/>
        <cfvo type="max"/>
        <color rgb="FFF8696B"/>
        <color rgb="FFFFEB84"/>
        <color rgb="FF63BE7B"/>
      </colorScale>
    </cfRule>
  </conditionalFormatting>
  <conditionalFormatting sqref="CG3">
    <cfRule type="colorScale" priority="83">
      <colorScale>
        <cfvo type="min"/>
        <cfvo type="max"/>
        <color rgb="FFFCFCFF"/>
        <color rgb="FF63BE7B"/>
      </colorScale>
    </cfRule>
  </conditionalFormatting>
  <conditionalFormatting sqref="H2">
    <cfRule type="cellIs" dxfId="2458" priority="30" stopIfTrue="1" operator="notEqual">
      <formula>""</formula>
    </cfRule>
  </conditionalFormatting>
  <conditionalFormatting sqref="R2 CU2">
    <cfRule type="cellIs" dxfId="2457" priority="32" operator="greaterThan">
      <formula>0</formula>
    </cfRule>
  </conditionalFormatting>
  <conditionalFormatting sqref="T2:AS2 CH2:CS2">
    <cfRule type="cellIs" dxfId="2456" priority="27" stopIfTrue="1" operator="equal">
      <formula>"n"</formula>
    </cfRule>
    <cfRule type="cellIs" dxfId="2455" priority="28" stopIfTrue="1" operator="equal">
      <formula>"y"</formula>
    </cfRule>
    <cfRule type="cellIs" dxfId="2454" priority="29" operator="greaterThan">
      <formula>0</formula>
    </cfRule>
  </conditionalFormatting>
  <conditionalFormatting sqref="AZ2:BB2">
    <cfRule type="expression" dxfId="2453" priority="14">
      <formula>$AT2=0</formula>
    </cfRule>
  </conditionalFormatting>
  <conditionalFormatting sqref="AZ2:BU2">
    <cfRule type="cellIs" dxfId="2452" priority="15" operator="equal">
      <formula>"PIN"</formula>
    </cfRule>
    <cfRule type="cellIs" dxfId="2451" priority="16" operator="equal">
      <formula>"ORA"</formula>
    </cfRule>
    <cfRule type="cellIs" dxfId="2450" priority="17" operator="equal">
      <formula>"GRA"</formula>
    </cfRule>
    <cfRule type="cellIs" dxfId="2449" priority="18" operator="equal">
      <formula>"PUR"</formula>
    </cfRule>
    <cfRule type="cellIs" dxfId="2448" priority="19" operator="equal">
      <formula>"BRO"</formula>
    </cfRule>
    <cfRule type="cellIs" dxfId="2447" priority="20" operator="equal">
      <formula>"YEL"</formula>
    </cfRule>
    <cfRule type="cellIs" dxfId="2446" priority="21" operator="equal">
      <formula>"BLU"</formula>
    </cfRule>
    <cfRule type="cellIs" dxfId="2445" priority="22" operator="equal">
      <formula>"WHI"</formula>
    </cfRule>
    <cfRule type="cellIs" dxfId="2444" priority="23" operator="equal">
      <formula>"GRE"</formula>
    </cfRule>
    <cfRule type="cellIs" dxfId="2443" priority="24" operator="equal">
      <formula>"RED"</formula>
    </cfRule>
    <cfRule type="cellIs" dxfId="2442" priority="25" operator="equal">
      <formula>"BLA"</formula>
    </cfRule>
  </conditionalFormatting>
  <conditionalFormatting sqref="BV2">
    <cfRule type="cellIs" dxfId="2441" priority="31" operator="equal">
      <formula>"nc"</formula>
    </cfRule>
  </conditionalFormatting>
  <conditionalFormatting sqref="CD2:CF2 BZ2:CA2">
    <cfRule type="cellIs" dxfId="2440" priority="26" operator="greaterThan">
      <formula>0</formula>
    </cfRule>
  </conditionalFormatting>
  <conditionalFormatting sqref="IC2:IK2">
    <cfRule type="expression" dxfId="2439" priority="13">
      <formula>$IL2&gt;0</formula>
    </cfRule>
  </conditionalFormatting>
  <conditionalFormatting sqref="BX2:CA2 CD2:CF2">
    <cfRule type="cellIs" dxfId="2438" priority="1" operator="equal">
      <formula>"y"</formula>
    </cfRule>
    <cfRule type="cellIs" dxfId="2437" priority="2" operator="equal">
      <formula>"PIN"</formula>
    </cfRule>
    <cfRule type="cellIs" dxfId="2436" priority="3" operator="equal">
      <formula>"ORA"</formula>
    </cfRule>
    <cfRule type="cellIs" dxfId="2435" priority="4" operator="equal">
      <formula>"GRA"</formula>
    </cfRule>
    <cfRule type="cellIs" dxfId="2434" priority="5" operator="equal">
      <formula>"PUR"</formula>
    </cfRule>
    <cfRule type="cellIs" dxfId="2433" priority="6" operator="equal">
      <formula>"BRO"</formula>
    </cfRule>
    <cfRule type="cellIs" dxfId="2432" priority="7" operator="equal">
      <formula>"YEL"</formula>
    </cfRule>
    <cfRule type="cellIs" dxfId="2431" priority="8" operator="equal">
      <formula>"BLU"</formula>
    </cfRule>
    <cfRule type="cellIs" dxfId="2430" priority="9" operator="equal">
      <formula>"WHI"</formula>
    </cfRule>
    <cfRule type="cellIs" dxfId="2429" priority="10" operator="equal">
      <formula>"GRE"</formula>
    </cfRule>
    <cfRule type="cellIs" dxfId="2428" priority="11" operator="equal">
      <formula>"RED"</formula>
    </cfRule>
    <cfRule type="cellIs" dxfId="2427" priority="12" operator="equal">
      <formula>"BLA"</formula>
    </cfRule>
  </conditionalFormatting>
  <conditionalFormatting sqref="J2">
    <cfRule type="colorScale" priority="33">
      <colorScale>
        <cfvo type="min"/>
        <cfvo type="percentile" val="50"/>
        <cfvo type="max"/>
        <color rgb="FFF8696B"/>
        <color rgb="FFFFEB84"/>
        <color rgb="FF63BE7B"/>
      </colorScale>
    </cfRule>
  </conditionalFormatting>
  <conditionalFormatting sqref="S2">
    <cfRule type="colorScale" priority="34">
      <colorScale>
        <cfvo type="min"/>
        <cfvo type="max"/>
        <color rgb="FFFCFCFF"/>
        <color rgb="FF754BFB"/>
      </colorScale>
    </cfRule>
  </conditionalFormatting>
  <conditionalFormatting sqref="AT2">
    <cfRule type="colorScale" priority="35">
      <colorScale>
        <cfvo type="min"/>
        <cfvo type="max"/>
        <color rgb="FFFCFCFF"/>
        <color theme="8" tint="0.39997558519241921"/>
      </colorScale>
    </cfRule>
  </conditionalFormatting>
  <conditionalFormatting sqref="CG2">
    <cfRule type="colorScale" priority="36">
      <colorScale>
        <cfvo type="min"/>
        <cfvo type="max"/>
        <color rgb="FFFCFCFF"/>
        <color rgb="FF63BE7B"/>
      </colorScale>
    </cfRule>
  </conditionalFormatting>
  <hyperlinks>
    <hyperlink ref="A2" r:id="rId1" display="https://fbref.com/en/country/MWI/Malawi-Football" xr:uid="{8BFB7A6D-3EF8-4908-B6C2-3F764DA777BF}"/>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3553" r:id="rId5"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23554" r:id="rId6"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23555" r:id="rId7"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4B03A1-B952-4864-8DD8-EE5FDBE3DC3C}">
  <sheetPr codeName="Sheet38"/>
  <dimension ref="A1:IY9"/>
  <sheetViews>
    <sheetView zoomScale="70" zoomScaleNormal="70" workbookViewId="0">
      <pane xSplit="5" ySplit="1" topLeftCell="F2" activePane="bottomRight" state="frozen"/>
      <selection pane="topRight" activeCell="F1" sqref="F1"/>
      <selection pane="bottomLeft" activeCell="A2" sqref="A2"/>
      <selection pane="bottomRight" activeCell="M3" sqref="M3"/>
    </sheetView>
  </sheetViews>
  <sheetFormatPr defaultRowHeight="38.4" customHeight="1" x14ac:dyDescent="0.3"/>
  <cols>
    <col min="1" max="1" width="52.44140625" style="81" bestFit="1" customWidth="1"/>
    <col min="2" max="2" width="10.109375" style="81" customWidth="1"/>
    <col min="3" max="3" width="7.44140625" style="82" customWidth="1"/>
    <col min="4" max="4" width="4.77734375" style="83" customWidth="1"/>
    <col min="5" max="5" width="4.5546875" style="83" customWidth="1"/>
    <col min="6" max="6" width="5.77734375" style="83" customWidth="1"/>
    <col min="7" max="7" width="7.44140625" style="81" customWidth="1"/>
    <col min="8" max="8" width="11.44140625" style="81" customWidth="1"/>
    <col min="9" max="9" width="10" style="81" customWidth="1"/>
    <col min="10" max="10" width="4.21875" style="81" customWidth="1"/>
    <col min="11" max="11" width="5.6640625" style="83" customWidth="1"/>
    <col min="12" max="12" width="2.88671875" style="83" customWidth="1"/>
    <col min="13" max="13" width="6.44140625" style="83" customWidth="1"/>
    <col min="14" max="14" width="4.5546875" style="83" customWidth="1"/>
    <col min="15" max="15" width="10.5546875" style="84" customWidth="1"/>
    <col min="16" max="16" width="6.88671875" style="83" customWidth="1"/>
    <col min="17" max="17" width="4.77734375" style="83" customWidth="1"/>
    <col min="18" max="18" width="13.109375" style="82" customWidth="1"/>
    <col min="19" max="19" width="6.77734375" style="82" customWidth="1"/>
    <col min="20" max="46" width="8.44140625" style="81" customWidth="1"/>
    <col min="47" max="47" width="24.5546875" style="81" customWidth="1"/>
    <col min="48" max="51" width="16.6640625" style="81" customWidth="1"/>
    <col min="52" max="52" width="6.5546875" style="81" customWidth="1"/>
    <col min="53" max="54" width="5.88671875" style="81" customWidth="1"/>
    <col min="55" max="55" width="1.33203125" style="81" customWidth="1"/>
    <col min="56" max="56" width="7.44140625" style="81" customWidth="1"/>
    <col min="57" max="57" width="2.33203125" style="81" customWidth="1"/>
    <col min="58" max="62" width="6.109375" style="81" customWidth="1"/>
    <col min="63" max="63" width="2.33203125" style="81" customWidth="1"/>
    <col min="64" max="64" width="7" style="81" bestFit="1" customWidth="1"/>
    <col min="65" max="65" width="6.44140625" style="81" bestFit="1" customWidth="1"/>
    <col min="66" max="66" width="7.109375" style="81" bestFit="1" customWidth="1"/>
    <col min="67" max="71" width="6.44140625" style="81" bestFit="1" customWidth="1"/>
    <col min="72" max="73" width="6.44140625" style="81" customWidth="1"/>
    <col min="74" max="75" width="13.44140625" style="81" customWidth="1"/>
    <col min="76" max="84" width="14.6640625" style="81" customWidth="1"/>
    <col min="85" max="85" width="6.44140625" style="81" customWidth="1"/>
    <col min="86" max="87" width="11.6640625" style="81" bestFit="1" customWidth="1"/>
    <col min="88" max="88" width="11.6640625" style="81" customWidth="1"/>
    <col min="89" max="89" width="12.77734375" style="81" bestFit="1" customWidth="1"/>
    <col min="90" max="90" width="16.44140625" style="82" bestFit="1" customWidth="1"/>
    <col min="91" max="92" width="14.88671875" style="82" bestFit="1" customWidth="1"/>
    <col min="93" max="93" width="16" style="82" bestFit="1" customWidth="1"/>
    <col min="94" max="97" width="7.77734375" style="81" customWidth="1"/>
    <col min="98" max="98" width="33.21875" style="81" customWidth="1"/>
    <col min="99" max="99" width="18" style="81" customWidth="1"/>
    <col min="100" max="100" width="75.6640625" style="81" customWidth="1"/>
    <col min="101" max="125" width="33" style="81" customWidth="1"/>
    <col min="126" max="126" width="8.88671875" style="81"/>
    <col min="127" max="128" width="9.44140625" style="81" bestFit="1" customWidth="1"/>
    <col min="129" max="129" width="10.77734375" style="81" bestFit="1" customWidth="1"/>
    <col min="130" max="134" width="10.77734375" style="81" customWidth="1"/>
    <col min="135" max="135" width="10.109375" style="81" bestFit="1" customWidth="1"/>
    <col min="136" max="136" width="7.77734375" style="81" bestFit="1" customWidth="1"/>
    <col min="137" max="137" width="7.77734375" style="81" customWidth="1"/>
    <col min="138" max="138" width="9" style="81" bestFit="1" customWidth="1"/>
    <col min="139" max="139" width="11.33203125" style="81" bestFit="1" customWidth="1"/>
    <col min="140" max="140" width="9.109375" style="81" bestFit="1" customWidth="1"/>
    <col min="141" max="141" width="9" style="81" bestFit="1" customWidth="1"/>
    <col min="142" max="142" width="12" style="81" bestFit="1" customWidth="1"/>
    <col min="143" max="166" width="12" style="81" customWidth="1"/>
    <col min="167" max="167" width="17.21875" style="81" customWidth="1"/>
    <col min="168" max="191" width="12" style="81" customWidth="1"/>
    <col min="192" max="192" width="8.5546875" style="81" bestFit="1" customWidth="1"/>
    <col min="193" max="193" width="8.5546875" style="81" customWidth="1"/>
    <col min="194" max="194" width="7.109375" style="81" bestFit="1" customWidth="1"/>
    <col min="195" max="195" width="7.5546875" style="81" bestFit="1" customWidth="1"/>
    <col min="196" max="196" width="8.5546875" style="81" bestFit="1" customWidth="1"/>
    <col min="197" max="200" width="8.5546875" style="81" customWidth="1"/>
    <col min="201" max="201" width="188.88671875" style="81" customWidth="1"/>
    <col min="202" max="202" width="9.5546875" style="81" bestFit="1" customWidth="1"/>
    <col min="203" max="203" width="10.44140625" style="81" bestFit="1" customWidth="1"/>
    <col min="204" max="204" width="11.109375" style="81" bestFit="1" customWidth="1"/>
    <col min="205" max="205" width="10.44140625" style="81" bestFit="1" customWidth="1"/>
    <col min="206" max="210" width="10.44140625" style="81" customWidth="1"/>
    <col min="211" max="211" width="45.44140625" style="81" customWidth="1"/>
    <col min="212" max="212" width="47.5546875" style="81" bestFit="1" customWidth="1"/>
    <col min="213" max="213" width="9.33203125" style="85" customWidth="1"/>
    <col min="214" max="214" width="119.5546875" style="81" customWidth="1"/>
    <col min="215" max="215" width="69.6640625" style="81" customWidth="1"/>
    <col min="216" max="218" width="8.88671875" style="81"/>
    <col min="219" max="219" width="37.109375" style="81" customWidth="1"/>
    <col min="220" max="220" width="16.33203125" style="81" customWidth="1"/>
    <col min="221" max="222" width="8.88671875" style="81"/>
    <col min="223" max="223" width="10.109375" style="81" bestFit="1" customWidth="1"/>
    <col min="224" max="232" width="10.88671875" style="81" customWidth="1"/>
    <col min="233" max="234" width="30.77734375" style="81" customWidth="1"/>
    <col min="235" max="235" width="5.109375" style="81" customWidth="1"/>
    <col min="236" max="236" width="3" style="81" customWidth="1"/>
    <col min="237" max="245" width="6.77734375" style="86" customWidth="1"/>
    <col min="246" max="247" width="8.88671875" style="81"/>
    <col min="248" max="248" width="61.5546875" style="81" customWidth="1"/>
    <col min="249" max="253" width="8.88671875" style="81"/>
    <col min="254" max="254" width="9" style="81" customWidth="1"/>
    <col min="255" max="16384" width="8.88671875" style="8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522</v>
      </c>
      <c r="B2" s="40" t="e" vm="86">
        <v>#VALUE!</v>
      </c>
      <c r="C2" s="41">
        <v>1</v>
      </c>
      <c r="D2" s="42" t="s">
        <v>523</v>
      </c>
      <c r="E2" s="43" t="s">
        <v>524</v>
      </c>
      <c r="F2" s="44" t="s">
        <v>163</v>
      </c>
      <c r="G2" s="45">
        <f>COUNTIF($A$1:$A$8373,A2)</f>
        <v>1</v>
      </c>
      <c r="H2" s="46"/>
      <c r="I2" s="47" t="s">
        <v>525</v>
      </c>
      <c r="J2" s="48" t="str">
        <f>""</f>
        <v/>
      </c>
      <c r="K2" s="49">
        <v>4800000</v>
      </c>
      <c r="L2" s="50">
        <v>4000</v>
      </c>
      <c r="M2" s="50" t="s">
        <v>534</v>
      </c>
      <c r="N2" s="51" t="s">
        <v>180</v>
      </c>
      <c r="O2" s="52" t="s">
        <v>526</v>
      </c>
      <c r="P2" s="53" t="s">
        <v>527</v>
      </c>
      <c r="Q2" s="54">
        <v>1</v>
      </c>
      <c r="R2" s="55" t="s">
        <v>180</v>
      </c>
      <c r="S2" s="56">
        <v>3</v>
      </c>
      <c r="T2" s="57" t="s">
        <v>164</v>
      </c>
      <c r="U2" s="58" t="s">
        <v>164</v>
      </c>
      <c r="V2" s="58" t="s">
        <v>167</v>
      </c>
      <c r="W2" s="58" t="s">
        <v>164</v>
      </c>
      <c r="X2" s="58" t="s">
        <v>164</v>
      </c>
      <c r="Y2" s="58" t="s">
        <v>164</v>
      </c>
      <c r="Z2" s="58" t="s">
        <v>164</v>
      </c>
      <c r="AA2" s="58" t="s">
        <v>164</v>
      </c>
      <c r="AB2" s="58" t="s">
        <v>164</v>
      </c>
      <c r="AC2" s="58" t="s">
        <v>164</v>
      </c>
      <c r="AD2" s="58" t="s">
        <v>164</v>
      </c>
      <c r="AE2" s="58" t="s">
        <v>167</v>
      </c>
      <c r="AF2" s="59" t="s">
        <v>164</v>
      </c>
      <c r="AG2" s="59" t="s">
        <v>167</v>
      </c>
      <c r="AH2" s="59" t="s">
        <v>167</v>
      </c>
      <c r="AI2" s="59" t="s">
        <v>164</v>
      </c>
      <c r="AJ2" s="59" t="s">
        <v>164</v>
      </c>
      <c r="AK2" s="59" t="s">
        <v>164</v>
      </c>
      <c r="AL2" s="59" t="s">
        <v>164</v>
      </c>
      <c r="AM2" s="59" t="s">
        <v>164</v>
      </c>
      <c r="AN2" s="59" t="s">
        <v>164</v>
      </c>
      <c r="AO2" s="59" t="s">
        <v>164</v>
      </c>
      <c r="AP2" s="59" t="s">
        <v>164</v>
      </c>
      <c r="AQ2" s="59" t="s">
        <v>164</v>
      </c>
      <c r="AR2" s="59" t="s">
        <v>164</v>
      </c>
      <c r="AS2" s="59" t="s">
        <v>164</v>
      </c>
      <c r="AT2" s="60">
        <v>1</v>
      </c>
      <c r="AU2" s="59"/>
      <c r="AV2" s="59" t="str">
        <f>IF(LEFT(A2,1)="[",LEFT(A2,5)&amp;AU2&amp;A2,"")</f>
        <v/>
      </c>
      <c r="AW2" s="59" t="str">
        <f t="shared" ref="AW2:AW3" si="0">C2&amp;H2&amp;A2</f>
        <v>1Mauritania</v>
      </c>
      <c r="AX2" s="61" t="str">
        <f>_xlfn.TEXTJOIN(";",TRUE,AU2:AW2)</f>
        <v>1Mauritania</v>
      </c>
      <c r="AY2" s="61"/>
      <c r="AZ2" s="62" t="s">
        <v>155</v>
      </c>
      <c r="BA2" s="62"/>
      <c r="BB2" s="62"/>
      <c r="BC2" s="63"/>
      <c r="BD2" s="64" t="s">
        <v>153</v>
      </c>
      <c r="BE2" s="47"/>
      <c r="BF2" s="64" t="s">
        <v>154</v>
      </c>
      <c r="BG2" s="64" t="s">
        <v>153</v>
      </c>
      <c r="BH2" s="64" t="s">
        <v>154</v>
      </c>
      <c r="BI2" s="64"/>
      <c r="BJ2" s="64"/>
      <c r="BK2" s="47"/>
      <c r="BL2" s="64" t="s">
        <v>154</v>
      </c>
      <c r="BM2" s="64" t="s">
        <v>153</v>
      </c>
      <c r="BN2" s="64" t="s">
        <v>155</v>
      </c>
      <c r="BO2" s="64"/>
      <c r="BP2" s="64"/>
      <c r="BQ2" s="64"/>
      <c r="BR2" s="64"/>
      <c r="BS2" s="64"/>
      <c r="BT2" s="64"/>
      <c r="BU2" s="65"/>
      <c r="BV2" s="66" t="s">
        <v>165</v>
      </c>
      <c r="BW2" s="66">
        <v>0</v>
      </c>
      <c r="BX2" s="47"/>
      <c r="CB2" s="6" t="s">
        <v>135</v>
      </c>
      <c r="CC2" s="6"/>
      <c r="CD2" s="67">
        <v>0</v>
      </c>
      <c r="CE2" s="67">
        <v>0</v>
      </c>
      <c r="CF2" s="67" t="e">
        <v>#REF!</v>
      </c>
      <c r="CG2" s="68" cm="1">
        <f t="array" ref="CG2">SUMPRODUCT(--(LEN(TRIM(BL2:BT2))&gt;0))</f>
        <v>3</v>
      </c>
      <c r="CH2" s="59" t="str">
        <f>IF(CG2=2,"y","n")</f>
        <v>n</v>
      </c>
      <c r="CI2" s="59" t="str">
        <f>IF(CG2=3,"y","n")</f>
        <v>y</v>
      </c>
      <c r="CJ2" s="59" t="str">
        <f>IF(CG2=4,"y","n")</f>
        <v>n</v>
      </c>
      <c r="CK2" s="59" t="str">
        <f>IF(CG2&gt;4,"y","n")</f>
        <v>n</v>
      </c>
      <c r="CL2" s="59" t="str">
        <f>IF(S2=0,"y","n")</f>
        <v>n</v>
      </c>
      <c r="CM2" s="59" t="str">
        <f>IF(S2=2,"y","n")</f>
        <v>n</v>
      </c>
      <c r="CN2" s="59" t="str">
        <f>IF(S2=3,"y","n")</f>
        <v>y</v>
      </c>
      <c r="CO2" s="59" t="str">
        <f>IF(S2&gt;=4,"y","n")</f>
        <v>n</v>
      </c>
      <c r="CP2" s="59" t="str">
        <f>IF(AT2=0,"y","n")</f>
        <v>n</v>
      </c>
      <c r="CQ2" s="59" t="str">
        <f>IF(AT2=1,"y","n")</f>
        <v>y</v>
      </c>
      <c r="CR2" s="59" t="str">
        <f>IF(AT2=2,"y","n")</f>
        <v>n</v>
      </c>
      <c r="CS2" s="59" t="str">
        <f>IF(AT2&gt;=3,"y","n")</f>
        <v>n</v>
      </c>
      <c r="CT2" s="69" t="str">
        <f>CHAR(34)&amp;A2&amp;CHAR(34)</f>
        <v>"Mauritania"</v>
      </c>
      <c r="CU2" s="70" t="str">
        <f>CHAR(34)&amp;"rgn_"&amp;R2&amp;CHAR(34)</f>
        <v>"rgn_Africa"</v>
      </c>
      <c r="CV2" s="48" t="str">
        <f>CHAR(34)&amp;D2&amp;CHAR(34)</f>
        <v>"https://i.ibb.co/r3r0Q0s/Mauritania-Flag.png"</v>
      </c>
      <c r="CW2" s="48" t="str">
        <f>IF(CH2="y",CHAR(34)&amp;CH$1&amp;CHAR(34)&amp;",","")</f>
        <v/>
      </c>
      <c r="CX2" s="48" t="str">
        <f>IF(CI2="y",CHAR(34)&amp;CI$1&amp;CHAR(34)&amp;",","")</f>
        <v>"3Color",</v>
      </c>
      <c r="CY2" s="48" t="str">
        <f>IF(CJ2="y",CHAR(34)&amp;CJ$1&amp;CHAR(34)&amp;",","")</f>
        <v/>
      </c>
      <c r="CZ2" s="48" t="str">
        <f>IF(CK2="y",CHAR(34)&amp;CK$1&amp;CHAR(34)&amp;",","")</f>
        <v/>
      </c>
      <c r="DA2" s="48" t="str">
        <f>IF(Q2&gt;1,CHAR(34)&amp;"words2"&amp;CHAR(34)&amp;",","")</f>
        <v/>
      </c>
      <c r="DB2" s="48" t="str">
        <f>IF(Q2&gt;2,CHAR(34)&amp;"words3"&amp;CHAR(34)&amp;",","")</f>
        <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"lets10",</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"startM",</v>
      </c>
      <c r="DF2" s="48" t="str">
        <f>IFERROR(IF(SEARCH("tan",A2)&gt;0,CHAR(34)&amp;"withtn"&amp;CHAR(34)&amp;",",""),"")</f>
        <v>"withtn",</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"REEDEL",</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
      </c>
      <c r="DP2" s="6" t="str">
        <f>IF(AND(ISNUMBER(SEARCH("20", O2)), ISERROR(SEARCH("1920", O2))), CHAR(34)&amp;"year00"&amp;CHAR(34)&amp;",", "")</f>
        <v>"year00",</v>
      </c>
      <c r="DQ2" s="6" t="str">
        <f>IF(CC2="y",CHAR(34)&amp;"soviet"&amp;CHAR(34)&amp;",","")</f>
        <v/>
      </c>
      <c r="DR2" s="6" t="str">
        <f>IF(BY2="y",CHAR(34)&amp;"dgband"&amp;CHAR(34)&amp;",","")</f>
        <v/>
      </c>
      <c r="DS2" s="6" t="str">
        <f>IF(W2="y",IF(AND(V2="n",BY2&lt;&gt;"y"),CHAR(34)&amp;"allver"&amp;CHAR(34)&amp;",",""),"")</f>
        <v/>
      </c>
      <c r="DT2" s="6" t="str">
        <f>IF(V2="y",IF(AND(W2="n",BY2&lt;&gt;"y"),CHAR(34)&amp;"allhor"&amp;CHAR(34)&amp;",",""),"")</f>
        <v>"allhor",</v>
      </c>
      <c r="DU2" s="6" t="str">
        <f>IF(BY2="y",IF(AND(W2="n",V2="n"),CHAR(34)&amp;"alldia"&amp;CHAR(34)&amp;",",""),"")</f>
        <v/>
      </c>
      <c r="DV2" s="48" t="str">
        <f>IF(IA2&lt;&gt;"",(IF(IA2="y",CHAR(34)&amp;"largec"&amp;CHAR(34)&amp;",",CHAR(34)&amp;"smallc"&amp;CHAR(34)&amp;",")),"")</f>
        <v/>
      </c>
      <c r="DW2" s="48" t="str">
        <f>IF(CL2="y",CHAR(34)&amp;CL$1&amp;CHAR(34)&amp;",","")</f>
        <v/>
      </c>
      <c r="DX2" s="48" t="str">
        <f>IF(CM2="y",CHAR(34)&amp;CM$1&amp;CHAR(34)&amp;",","")</f>
        <v/>
      </c>
      <c r="DY2" s="48" t="str">
        <f>IF(CN2="y",CHAR(34)&amp;CN$1&amp;CHAR(34)&amp;",","")</f>
        <v>"3Bands",</v>
      </c>
      <c r="DZ2" s="48" t="str">
        <f>IF(CO2="y",CHAR(34)&amp;CO$1&amp;CHAR(34)&amp;",","")</f>
        <v/>
      </c>
      <c r="EA2" s="48" t="str">
        <f>IF(T2="y",CHAR(34)&amp;T$1&amp;CHAR(34)&amp;",","")</f>
        <v/>
      </c>
      <c r="EB2" s="48" t="str">
        <f>IF(U2="y",CHAR(34)&amp;U$1&amp;CHAR(34)&amp;",","")</f>
        <v/>
      </c>
      <c r="EC2" s="48" t="str">
        <f>IF(V2="y",CHAR(34)&amp;V$1&amp;CHAR(34)&amp;",","")</f>
        <v>"Horizo",</v>
      </c>
      <c r="ED2" s="48" t="str">
        <f>IF(W2="y",CHAR(34)&amp;W$1&amp;CHAR(34)&amp;",","")</f>
        <v/>
      </c>
      <c r="EE2" s="48" t="str">
        <f>IF(X2="y",CHAR(34)&amp;X$1&amp;CHAR(34)&amp;",","")</f>
        <v/>
      </c>
      <c r="EF2" s="48" t="str">
        <f>IF(AND(Y2&lt;&gt;"n",Y2&lt;&gt;""),CHAR(34)&amp;Y$1&amp;CHAR(34)&amp;",","")</f>
        <v/>
      </c>
      <c r="EG2" s="48" t="str">
        <f>IF(Z2="y",CHAR(34)&amp;Z$1&amp;CHAR(34)&amp;",","")</f>
        <v/>
      </c>
      <c r="EH2" s="48" t="str">
        <f>IF(AA2="y",CHAR(34)&amp;AA$1&amp;CHAR(34)&amp;",","")</f>
        <v/>
      </c>
      <c r="EI2" s="48" t="str">
        <f>IF(AB2="y",CHAR(34)&amp;AB$1&amp;CHAR(34)&amp;",","")</f>
        <v/>
      </c>
      <c r="EJ2" s="48" t="str">
        <f>IF(AC2="y",CHAR(34)&amp;AC$1&amp;CHAR(34)&amp;",","")</f>
        <v/>
      </c>
      <c r="EK2" s="48" t="str">
        <f>IF(AD2="y",CHAR(34)&amp;AD$1&amp;CHAR(34)&amp;",","")</f>
        <v/>
      </c>
      <c r="EL2" s="48" t="str">
        <f>IF(AE2="y",CHAR(34)&amp;AE$1&amp;CHAR(34)&amp;",","")</f>
        <v>"IsMoon",</v>
      </c>
      <c r="EM2" s="48" t="str">
        <f>IF(AF2="y",CHAR(34)&amp;AF$1&amp;CHAR(34)&amp;",","")</f>
        <v/>
      </c>
      <c r="EN2" s="48" t="str">
        <f>IF(AG2="y",CHAR(34)&amp;AG$1&amp;CHAR(34)&amp;",","")</f>
        <v>"Unequa",</v>
      </c>
      <c r="EO2" s="48" t="str">
        <f>IF(AH2="y",CHAR(34)&amp;AH$1&amp;CHAR(34)&amp;",","")</f>
        <v>"Center",</v>
      </c>
      <c r="EP2" s="48" t="str">
        <f>IF(AI2="y",CHAR(34)&amp;AI$1&amp;CHAR(34)&amp;",","")</f>
        <v/>
      </c>
      <c r="EQ2" s="48" t="str">
        <f>IF(AJ2="y",CHAR(34)&amp;AJ$1&amp;CHAR(34)&amp;",","")</f>
        <v/>
      </c>
      <c r="ER2" s="48" t="str">
        <f>IF(AK2="y",CHAR(34)&amp;AK$1&amp;CHAR(34)&amp;",","")</f>
        <v/>
      </c>
      <c r="ES2" s="48" t="str">
        <f>IF(AL2="y",CHAR(34)&amp;AL$1&amp;CHAR(34)&amp;",","")</f>
        <v/>
      </c>
      <c r="ET2" s="48" t="str">
        <f>IF(AM2="y",CHAR(34)&amp;AM$1&amp;CHAR(34)&amp;",","")</f>
        <v/>
      </c>
      <c r="EU2" s="48" t="str">
        <f>IF(AN2="y",CHAR(34)&amp;AN$1&amp;CHAR(34)&amp;",","")</f>
        <v/>
      </c>
      <c r="EV2" s="48" t="str">
        <f>IF(AO2="y",CHAR(34)&amp;AO$1&amp;CHAR(34)&amp;",","")</f>
        <v/>
      </c>
      <c r="EW2" s="48" t="str">
        <f>IF(AP2="y",CHAR(34)&amp;AP$1&amp;CHAR(34)&amp;",","")</f>
        <v/>
      </c>
      <c r="EX2" s="48" t="str">
        <f>IF(AQ2="y",CHAR(34)&amp;AQ$1&amp;CHAR(34)&amp;",","")</f>
        <v/>
      </c>
      <c r="EY2" s="48" t="str">
        <f>IF(AR2="y",CHAR(34)&amp;AR$1&amp;CHAR(34)&amp;",","")</f>
        <v/>
      </c>
      <c r="EZ2" s="48" t="str">
        <f>IF(AS2="y",CHAR(34)&amp;AS$1&amp;CHAR(34)&amp;",","")</f>
        <v/>
      </c>
      <c r="FA2" s="48" t="str">
        <f>IF(AT2&gt;0,CHAR(34)&amp;"sta"&amp;AZ2&amp;CHAR(34)&amp;",","")</f>
        <v>"staYEL",</v>
      </c>
      <c r="FB2" s="48" t="str">
        <f>IF(AND(AT2&gt;0,BA2&lt;&gt;""),CHAR(34)&amp;"sta"&amp;BA2&amp;CHAR(34)&amp;",","")</f>
        <v/>
      </c>
      <c r="FC2" s="48" t="str">
        <f>IF(AND(AT2&gt;0,BB2&lt;&gt;""),CHAR(34)&amp;"sta"&amp;BB2&amp;CHAR(34)&amp;",","")</f>
        <v/>
      </c>
      <c r="FD2" s="48" t="str">
        <f>IF(BV2="n",CHAR(34)&amp;"tcWHYE"&amp;CHAR(34)&amp;",",IF(BV2="y",CHAR(34)&amp;FD$1&amp;CHAR(34)&amp;",",""))</f>
        <v/>
      </c>
      <c r="FE2" s="48" t="str">
        <f>IF(COUNTIF(BL2:BT2,"BLU")=0,CHAR(34)&amp;"NO_BLU"&amp;CHAR(34)&amp;",", "")</f>
        <v>"NO_BLU",</v>
      </c>
      <c r="FF2" s="48" t="str">
        <f>IF(COUNTIF(BL2:BT2,"WHI")=0,CHAR(34)&amp;"NO_WHI"&amp;CHAR(34)&amp;",", "")</f>
        <v>"NO_WHI",</v>
      </c>
      <c r="FG2" s="48" t="str">
        <f>IF(COUNTIF(BL2:BT2,"RED")=0,CHAR(34)&amp;"NO_RED"&amp;CHAR(34)&amp;",", "")</f>
        <v/>
      </c>
      <c r="FH2" s="48" t="str">
        <f>IF(COUNTIF(BL2:BS2,"GRE")=0,CHAR(34)&amp;"NO_GRE"&amp;CHAR(34)&amp;",", "")</f>
        <v/>
      </c>
      <c r="FI2" s="48" t="str">
        <f>IF(COUNTIF(BL2:BT2,"YEL")=0,CHAR(34)&amp;"NO_YEL"&amp;CHAR(34)&amp;",", "")</f>
        <v/>
      </c>
      <c r="FJ2" s="48" t="str">
        <f>IF(COUNTIF(BL2:BT2,"BLA")=0,CHAR(34)&amp;"NO_BLA"&amp;CHAR(34)&amp;",", "")</f>
        <v>"NO_BLA",</v>
      </c>
      <c r="FK2" s="48" t="str">
        <f>IF(AND(FH2&lt;&gt;"",FF2&lt;&gt;""),CHAR(34)&amp;"WHGRNO"&amp;CHAR(34)&amp;",","")</f>
        <v/>
      </c>
      <c r="FL2" s="48" t="str">
        <f>IF(AND(FI2&lt;&gt;"",FF2&lt;&gt;""),CHAR(34)&amp;"WHYENO"&amp;CHAR(34)&amp;",","")</f>
        <v/>
      </c>
      <c r="FM2" s="48" t="str">
        <f>IF(AND(FJ2&lt;&gt;"",FF2&lt;&gt;""),CHAR(34)&amp;"BAWHNO"&amp;CHAR(34)&amp;",","")</f>
        <v>"BAWHNO",</v>
      </c>
      <c r="FN2" s="48" t="str">
        <f>IF(AND(FE2&lt;&gt;"",FF2&lt;&gt;""),CHAR(34)&amp;"BLWHNO"&amp;CHAR(34)&amp;",","")</f>
        <v>"BLWHNO",</v>
      </c>
      <c r="FO2" s="48" t="str">
        <f>IF(AND(FE2&lt;&gt;"",FG2&lt;&gt;""),CHAR(34)&amp;"BLRENO"&amp;CHAR(34)&amp;",","")</f>
        <v/>
      </c>
      <c r="FP2" s="48" t="str">
        <f>IF(AND(FF2&lt;&gt;"",FF2&lt;&gt;""),CHAR(34)&amp;"WHRENO"&amp;CHAR(34)&amp;",","")</f>
        <v>"WHRENO",</v>
      </c>
      <c r="FQ2" s="48" t="str">
        <f>IF(LEN(BF2)=3,CHAR(34)&amp;"001"&amp;BF2&amp;CHAR(34)&amp;",","")</f>
        <v>"001RED",</v>
      </c>
      <c r="FR2" s="48" t="str">
        <f>IF(LEN(BG2)=3,CHAR(34)&amp;"002"&amp;BG2&amp;CHAR(34)&amp;",","")</f>
        <v>"002GRE",</v>
      </c>
      <c r="FS2" s="48" t="str">
        <f>IF(LEN(BH2)=3,CHAR(34)&amp;"003"&amp;BH2&amp;CHAR(34)&amp;",","")</f>
        <v>"003RED",</v>
      </c>
      <c r="FT2" s="48" t="str">
        <f>CHAR(34)&amp;"myr"&amp;BD2&amp;CHAR(34)&amp;","</f>
        <v>"myrGRE",</v>
      </c>
      <c r="FU2" s="48" t="str">
        <f>IF(AY2="y",CHAR(34)&amp;"island"&amp;CHAR(34)&amp;",","")</f>
        <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"arabic",</v>
      </c>
      <c r="FZ2" s="48" t="str">
        <f>IFERROR(IF(SEARCH("English",CB2)&gt;0,CHAR(34)&amp;"englis"&amp;CHAR(34)&amp;",",""),"")</f>
        <v/>
      </c>
      <c r="GA2" s="48" t="str">
        <f>IFERROR(IF(SEARCH("French",CB2)&gt;0,CHAR(34)&amp;"french"&amp;CHAR(34)&amp;",",""),"")</f>
        <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
      </c>
      <c r="GK2" s="48" t="str">
        <f>IF(GJ2="",CHAR(34)&amp;"HasSta"&amp;CHAR(34)&amp;",","")</f>
        <v>"HasSta",</v>
      </c>
      <c r="GL2" s="48" t="str">
        <f>IF(CQ2="y",CHAR(34)&amp;CQ$1&amp;CHAR(34)&amp;",","")</f>
        <v>"1Stars",</v>
      </c>
      <c r="GM2" s="48" t="str">
        <f>IF(CR2="y",CHAR(34)&amp;CR$1&amp;CHAR(34)&amp;",","")</f>
        <v/>
      </c>
      <c r="GN2" s="48" t="str">
        <f>IF(CS2="y",CHAR(34)&amp;CS$1&amp;CHAR(34)&amp;",","")</f>
        <v/>
      </c>
      <c r="GP2" s="48" t="str">
        <f>CHAR(34)&amp;AU2&amp;CHAR(34)</f>
        <v>""</v>
      </c>
      <c r="GS2" s="48" t="str">
        <f>SUBSTITUTE("["&amp;_xlfn.CONCAT(CW2:GN2)&amp;"]",",]","]")</f>
        <v>["3Color","lets10","startM","withtn","REEDEL","year00","allhor","3Bands","Horizo","IsMoon","Unequa","Center","staYEL","NO_BLU","NO_WHI","NO_BLA","BAWHNO","BLWHNO","WHRENO","001RED","002GRE","003RED","myrGRE","arabic","HasSta","1Stars"]</v>
      </c>
      <c r="GT2" s="48" t="str">
        <f>IF(BL2&lt;&gt;"",CHAR(34)&amp;"cl_"&amp;BL2&amp;CHAR(34)&amp;",","")</f>
        <v>"cl_RED",</v>
      </c>
      <c r="GU2" s="48" t="str">
        <f>IF(BM2&lt;&gt;"",CHAR(34)&amp;"cl_"&amp;BM2&amp;CHAR(34)&amp;",","")</f>
        <v>"cl_GRE",</v>
      </c>
      <c r="GV2" s="48" t="str">
        <f>IF(BN2&lt;&gt;"",CHAR(34)&amp;"cl_"&amp;BN2&amp;CHAR(34)&amp;",","")</f>
        <v>"cl_YEL",</v>
      </c>
      <c r="GW2" s="48" t="str">
        <f>IF(BO2&lt;&gt;"",CHAR(34)&amp;"cl_"&amp;BO2&amp;CHAR(34)&amp;",","")</f>
        <v/>
      </c>
      <c r="GX2" s="48" t="str">
        <f>IF(BP2&lt;&gt;"",CHAR(34)&amp;"cl_"&amp;BP2&amp;CHAR(34)&amp;",","")</f>
        <v/>
      </c>
      <c r="GY2" s="48" t="str">
        <f>IF(BQ2&lt;&gt;"",CHAR(34)&amp;"cl_"&amp;BQ2&amp;CHAR(34)&amp;",","")</f>
        <v/>
      </c>
      <c r="GZ2" s="48" t="str">
        <f>IF(BR2&lt;&gt;"",CHAR(34)&amp;"cl_"&amp;BR2&amp;CHAR(34)&amp;",","")</f>
        <v/>
      </c>
      <c r="HA2" s="48" t="str">
        <f>IF(BS2&lt;&gt;"",CHAR(34)&amp;"cl_"&amp;BS2&amp;CHAR(34)&amp;",","")</f>
        <v/>
      </c>
      <c r="HB2" s="48" t="str">
        <f>IF(BT2&lt;&gt;"",CHAR(34)&amp;"cl_"&amp;BT2&amp;CHAR(34)&amp;",","")</f>
        <v/>
      </c>
      <c r="HC2" s="48" t="str">
        <f>SUBSTITUTE("["&amp;_xlfn.CONCAT(GT2:HB2)&amp;"]",",]","]")</f>
        <v>["cl_RED","cl_GRE","cl_YEL"]</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{couname:"Mauritania",year:"2017 ",region:"rgn_Africa",Colors:["cl_RED","cl_GRE","cl_YEL"],Items:["3Color","lets10","startM","withtn","REEDEL","year00","allhor","3Bands","Horizo","IsMoon","Unequa","Center","staYEL","NO_BLU","NO_WHI","NO_BLA","BAWHNO","BLWHNO","WHRENO","001RED","002GRE","003RED","myrGRE","arabic","HasSta","1Stars"],Flag:"https://i.ibb.co/r3r0Q0s/Mauritania-Flag.png",HDFlag:"https://upload.wikimedia.org/wikipedia/commons/thumb/4/43/Flag_of_Mauritania.svg/2560px-Flag_of_Mauritania.svg.png",type:"", describe: "\nGreen, gold and red are considered Pan-African. Green is also used to symbolise Islam, and the gold is for the sands of the Sahara desert. The red stripes, which were added to the flag in 2017, represent the efforts and sacrifices that the people of Mauritania will keep consenting, to the price of their blood, to defend their territory. The crescent and star are symbols of Islam, which is Mauritania's official and state religion.", isnew:".", links: "https://en.wikipedia.org/wiki/Flag_of_Mauritania"},</v>
      </c>
      <c r="HG2" s="73" t="str">
        <f>"{couname:"&amp;CT2&amp;(IF(HK2&lt;&gt;"",",subtype:"&amp;CHAR(34)&amp;HK2&amp;CHAR(34),""))&amp;",year:"&amp;HJ2&amp;",region:"&amp;CU2&amp;",Colors:"&amp;HC2&amp;",Items:"&amp;GS2&amp;",Flag:"&amp;CV2&amp;",HDFlag:"&amp;CHAR(34)&amp;E2&amp;CHAR(34)&amp;",type:"&amp;GP2&amp;", describe: "&amp;HI2&amp;", links: "&amp;HL2&amp;"},"</f>
        <v>{couname:"Mauritania",year:"2017 ",region:"rgn_Africa",Colors:["cl_RED","cl_GRE","cl_YEL"],Items:["3Color","lets10","startM","withtn","REEDEL","year00","allhor","3Bands","Horizo","IsMoon","Unequa","Center","staYEL","NO_BLU","NO_WHI","NO_BLA","BAWHNO","BLWHNO","WHRENO","001RED","002GRE","003RED","myrGRE","arabic","HasSta","1Stars"],Flag:"https://i.ibb.co/r3r0Q0s/Mauritania-Flag.png",HDFlag:"https://upload.wikimedia.org/wikipedia/commons/thumb/4/43/Flag_of_Mauritania.svg/2560px-Flag_of_Mauritania.svg.png",type:"", describe: "\nGreen, gold and red are considered Pan-African. Green is also used to symbolise Islam, and the gold is for the sands of the Sahara desert. The red stripes, which were added to the flag in 2017, represent the efforts and sacrifices that the people of Mauritania will keep consenting, to the price of their blood, to defend their territory. The crescent and star are symbols of Islam, which is Mauritania's official and state religion.", links: "https://en.wikipedia.org/wiki/Flag_of_Mauritania"},</v>
      </c>
      <c r="HH2" s="48" t="str">
        <f>IF(P2&lt;&gt;"",CHAR(34)&amp;"\n"&amp;P2&amp;CHAR(34),CHAR(34)&amp;CHAR(34))</f>
        <v>"\nGreen, gold and red are considered Pan-African. Green is also used to symbolise Islam, and the gold is for the sands of the Sahara desert. The red stripes, which were added to the flag in 2017, represent the efforts and sacrifices that the people of Mauritania will keep consenting, to the price of their blood, to defend their territory. The crescent and star are symbols of Islam, which is Mauritania's official and state religion."</v>
      </c>
      <c r="HI2" s="48" t="str">
        <f>IF(J2=0,CHAR(34)&amp;CHAR(34),HH2)</f>
        <v>"\nGreen, gold and red are considered Pan-African. Green is also used to symbolise Islam, and the gold is for the sands of the Sahara desert. The red stripes, which were added to the flag in 2017, represent the efforts and sacrifices that the people of Mauritania will keep consenting, to the price of their blood, to defend their territory. The crescent and star are symbols of Islam, which is Mauritania's official and state religion."</v>
      </c>
      <c r="HJ2" s="48" t="str">
        <f>CHAR(34)&amp;O2&amp;CHAR(34)</f>
        <v>"2017 "</v>
      </c>
      <c r="HL2" s="48" t="str">
        <f>CHAR(34)&amp;I2&amp;CHAR(34)</f>
        <v>"https://en.wikipedia.org/wiki/Flag_of_Mauritania"</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{"couname":"Mauritania","year":"2017 ","region":"rgn_Africa","Colors":["cl_RED","cl_GRE","cl_YEL"],"Items":["3Color","lets10","startM","withtn","REEDEL","year00","allhor","3Bands","Horizo","IsMoon","Unequa","Center","staYEL","NO_BLU","NO_WHI","NO_BLA","BAWHNO","BLWHNO","WHRENO","001RED","002GRE","003RED","myrGRE","arabic","HasSta","1Stars"],"Flag":"https://i.ibb.co/r3r0Q0s/Mauritania-Flag.png","HDFlag":"https://upload.wikimedia.org/wikipedia/commons/thumb/4/43/Flag_of_Mauritania.svg/2560px-Flag_of_Mauritania.svg.png","type":"", "describe": "\nGreen, gold and red are considered Pan-African. Green is also used to symbolise Islam, and the gold is for the sands of the Sahara desert. The red stripes, which were added to the flag in 2017, represent the efforts and sacrifices that the people of Mauritania will keep consenting, to the price of their blood, to defend their territory. The crescent and star are symbols of Islam, which is Mauritania's official and state religion.", "isnew": ".", "links": "https://en.wikipedia.org/wiki/Flag_of_Mauritania"},</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{"couname":"Mauritania","year":"2017 ","region":"rgn_Africa","Colors":["cl_RED","cl_GRE","cl_YEL"],"Items":["3Color","lets10","startM","withtn","REEDEL","year00","allhor","3Bands","Horizo","IsMoon","Unequa","Center","staYEL","NO_BLU","NO_WHI","NO_BLA","BAWHNO","BLWHNO","WHRENO","001RED","002GRE","003RED","myrGRE","arabic","HasSta","1Stars"],"Flag":"https://i.ibb.co/r3r0Q0s/Mauritania-Flag.png","HDFlag":"https://upload.wikimedia.org/wikipedia/commons/thumb/4/43/Flag_of_Mauritania.svg/2560px-Flag_of_Mauritania.svg.png","type":"", "describe": "\nGreen, gold and red are considered Pan-African. Green is also used to symbolise Islam, and the gold is for the sands of the Sahara desert. The red stripes, which were added to the flag in 2017, represent the efforts and sacrifices that the people of Mauritania will keep consenting, to the price of their blood, to defend their territory. The crescent and star are symbols of Islam, which is Mauritania's official and state religion.", "isnew": ".", "links": "https://en.wikipedia.org/wiki/Flag_of_Mauritania"},</v>
      </c>
      <c r="HO2" s="75"/>
      <c r="HP2" s="48" t="str" cm="1">
        <f t="array" ref="HP2">IF(_xlfn.TEXTJOIN(", ", TRUE, IF(ISNUMBER(SEARCH("BLA", BL2:BT2)), COLUMN(BL2:BT2) - COLUMN(BL2) + 1, ""))&lt;&gt;"","BLA","")</f>
        <v/>
      </c>
      <c r="HQ2" s="48" t="str" cm="1">
        <f t="array" ref="HQ2">IF(_xlfn.TEXTJOIN(", ", TRUE, IF(ISNUMBER(SEARCH("BLU", BL2:BT2)), COLUMN(BL2:BT2) - COLUMN(BL2) + 1, ""))&lt;&gt;"","BLU","")</f>
        <v/>
      </c>
      <c r="HR2" s="48" t="str" cm="1">
        <f t="array" ref="HR2">IF(_xlfn.TEXTJOIN(", ", TRUE, IF(ISNUMBER(SEARCH("GRE", BL2:BT2)), COLUMN(BL2:BT2) - COLUMN(BL2) + 1, ""))&lt;&gt;"","GRE","")</f>
        <v>GRE</v>
      </c>
      <c r="HS2" s="48" t="str" cm="1">
        <f t="array" ref="HS2">IF(_xlfn.TEXTJOIN(", ", TRUE, IF(ISNUMBER(SEARCH("RED", BL2:BT2)), COLUMN(BL2:BT2) - COLUMN(BL2) + 1, ""))&lt;&gt;"","RED","")</f>
        <v>RED</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
      </c>
      <c r="HY2" s="76"/>
      <c r="HZ2" s="76"/>
      <c r="IA2" s="6"/>
      <c r="IB2" s="6"/>
      <c r="IC2" s="77"/>
      <c r="ID2" s="77"/>
      <c r="IE2" s="77"/>
      <c r="IF2" s="77"/>
      <c r="IG2" s="77"/>
      <c r="IH2" s="77"/>
      <c r="II2" s="77"/>
      <c r="IJ2" s="77"/>
      <c r="IK2" s="77"/>
      <c r="IL2" s="48">
        <f>SUM(IC2:IK2)</f>
        <v>0</v>
      </c>
      <c r="IM2" s="45">
        <f>COUNTIF(IC2:IK2,"&gt;0")-CG2</f>
        <v>-3</v>
      </c>
      <c r="IN2" s="78" t="str">
        <f>"http://mkweb.bcgsc.ca/color-summarizer/?url="&amp;D2&amp;"&amp;precision=low&amp;num_clusters="&amp;CG2&amp;"&amp;text=1"</f>
        <v>http://mkweb.bcgsc.ca/color-summarizer/?url=https://i.ibb.co/r3r0Q0s/Mauritania-Flag.png&amp;precision=low&amp;num_clusters=3&amp;text=1</v>
      </c>
      <c r="IO2" s="48" t="str">
        <f>IF(HP2&lt;&gt;"",CHAR(34)&amp;"black"&amp;CHAR(34),"")</f>
        <v/>
      </c>
      <c r="IP2" s="48" t="str">
        <f>IF(HQ2&lt;&gt;"",CHAR(34)&amp;"blue"&amp;CHAR(34),"")</f>
        <v/>
      </c>
      <c r="IQ2" s="48" t="str">
        <f>IF(HR2&lt;&gt;"",CHAR(34)&amp;"green"&amp;CHAR(34),"")</f>
        <v>"green"</v>
      </c>
      <c r="IR2" s="48" t="str">
        <f>IF(HS2&lt;&gt;"",CHAR(34)&amp;"red"&amp;CHAR(34),"")</f>
        <v>"red"</v>
      </c>
      <c r="IS2" s="48" t="str">
        <f>IF(HT2&lt;&gt;"",CHAR(34)&amp;"yellow"&amp;CHAR(34),"")</f>
        <v>"yellow"</v>
      </c>
      <c r="IT2" s="48" t="str">
        <f>IF(HU2&lt;&gt;"",CHAR(34)&amp;"orange"&amp;CHAR(34),"")</f>
        <v/>
      </c>
      <c r="IU2" s="48" t="str">
        <f>IF(HV2&lt;&gt;"",CHAR(34)&amp;"brown"&amp;CHAR(34),"")</f>
        <v/>
      </c>
      <c r="IV2" s="48" t="str">
        <f>IF(HW2&lt;&gt;"",CHAR(34)&amp;"purple"&amp;CHAR(34),"")</f>
        <v/>
      </c>
      <c r="IW2" s="48" t="str">
        <f>IF(HX2&lt;&gt;"",CHAR(34)&amp;"white"&amp;CHAR(34),"")</f>
        <v/>
      </c>
      <c r="IX2" s="48" t="str">
        <f>"{"&amp;CHAR(34)&amp;"url"&amp;CHAR(34)&amp;":"&amp;CHAR(34)&amp;IN2&amp;CHAR(34)&amp;","&amp;CHAR(34)&amp;"name"&amp;CHAR(34)&amp;":"&amp;CHAR(34)&amp;A2&amp;CHAR(34)&amp;"},"</f>
        <v>{"url":"http://mkweb.bcgsc.ca/color-summarizer/?url=https://i.ibb.co/r3r0Q0s/Mauritania-Flag.png&amp;precision=low&amp;num_clusters=3&amp;text=1","name":"Mauritania"},</v>
      </c>
      <c r="IY2" s="48">
        <v>135</v>
      </c>
    </row>
    <row r="3" spans="1:259" s="48" customFormat="1" ht="38.4" customHeight="1" thickBot="1" x14ac:dyDescent="0.35">
      <c r="A3" s="80" t="s">
        <v>528</v>
      </c>
      <c r="B3" s="40" t="e" vm="87">
        <v>#VALUE!</v>
      </c>
      <c r="C3" s="41" t="s">
        <v>173</v>
      </c>
      <c r="D3" s="42" t="s">
        <v>529</v>
      </c>
      <c r="E3" s="43" t="s">
        <v>530</v>
      </c>
      <c r="F3" s="44" t="s">
        <v>163</v>
      </c>
      <c r="G3" s="45">
        <f>COUNTIF($A$1:$A$8386,A3)</f>
        <v>1</v>
      </c>
      <c r="H3" s="46" t="s">
        <v>533</v>
      </c>
      <c r="I3" s="47" t="s">
        <v>525</v>
      </c>
      <c r="J3" s="48" t="str">
        <f>""</f>
        <v/>
      </c>
      <c r="K3" s="49"/>
      <c r="L3" s="50"/>
      <c r="M3" s="50"/>
      <c r="N3" s="51" t="s">
        <v>180</v>
      </c>
      <c r="O3" s="52" t="s">
        <v>531</v>
      </c>
      <c r="P3" s="53" t="s">
        <v>532</v>
      </c>
      <c r="Q3" s="54">
        <v>1</v>
      </c>
      <c r="R3" s="55" t="s">
        <v>180</v>
      </c>
      <c r="S3" s="56">
        <v>0</v>
      </c>
      <c r="T3" s="57" t="s">
        <v>164</v>
      </c>
      <c r="U3" s="58" t="s">
        <v>164</v>
      </c>
      <c r="V3" s="58" t="s">
        <v>164</v>
      </c>
      <c r="W3" s="58" t="s">
        <v>164</v>
      </c>
      <c r="X3" s="58" t="s">
        <v>164</v>
      </c>
      <c r="Y3" s="58" t="s">
        <v>164</v>
      </c>
      <c r="Z3" s="58" t="s">
        <v>164</v>
      </c>
      <c r="AA3" s="58" t="s">
        <v>164</v>
      </c>
      <c r="AB3" s="58" t="s">
        <v>164</v>
      </c>
      <c r="AC3" s="58" t="s">
        <v>164</v>
      </c>
      <c r="AD3" s="58" t="s">
        <v>164</v>
      </c>
      <c r="AE3" s="58" t="s">
        <v>167</v>
      </c>
      <c r="AF3" s="59" t="s">
        <v>164</v>
      </c>
      <c r="AG3" s="59" t="s">
        <v>164</v>
      </c>
      <c r="AH3" s="59" t="s">
        <v>167</v>
      </c>
      <c r="AI3" s="59" t="s">
        <v>164</v>
      </c>
      <c r="AJ3" s="59" t="s">
        <v>164</v>
      </c>
      <c r="AK3" s="59" t="s">
        <v>164</v>
      </c>
      <c r="AL3" s="59" t="s">
        <v>164</v>
      </c>
      <c r="AM3" s="59" t="s">
        <v>164</v>
      </c>
      <c r="AN3" s="59" t="s">
        <v>164</v>
      </c>
      <c r="AO3" s="59" t="s">
        <v>164</v>
      </c>
      <c r="AP3" s="59" t="s">
        <v>164</v>
      </c>
      <c r="AQ3" s="59" t="s">
        <v>164</v>
      </c>
      <c r="AR3" s="59" t="s">
        <v>164</v>
      </c>
      <c r="AS3" s="59" t="s">
        <v>164</v>
      </c>
      <c r="AT3" s="60">
        <v>1</v>
      </c>
      <c r="AU3" s="59" t="s">
        <v>174</v>
      </c>
      <c r="AV3" s="59" t="str">
        <f>IF(LEFT(A3,1)="[",LEFT(A3,5)&amp;AU3&amp;A3,"")</f>
        <v>[MRT]Historical[MRT] Mauritania (1959-2017)</v>
      </c>
      <c r="AW3" s="59" t="str">
        <f t="shared" si="0"/>
        <v>3b[MRT] Other[MRT] Mauritania (1959-2017)</v>
      </c>
      <c r="AX3" s="61"/>
      <c r="AY3" s="61"/>
      <c r="AZ3" s="62" t="s">
        <v>155</v>
      </c>
      <c r="BA3" s="62"/>
      <c r="BB3" s="62"/>
      <c r="BC3" s="63"/>
      <c r="BD3" s="64" t="s">
        <v>153</v>
      </c>
      <c r="BE3" s="47"/>
      <c r="BF3" s="64"/>
      <c r="BG3" s="64"/>
      <c r="BH3" s="64"/>
      <c r="BI3" s="64"/>
      <c r="BJ3" s="64"/>
      <c r="BK3" s="47"/>
      <c r="BL3" s="64" t="s">
        <v>153</v>
      </c>
      <c r="BM3" s="64" t="s">
        <v>155</v>
      </c>
      <c r="BN3" s="64"/>
      <c r="BO3" s="64"/>
      <c r="BP3" s="64"/>
      <c r="BQ3" s="64"/>
      <c r="BR3" s="64"/>
      <c r="BS3" s="64"/>
      <c r="BT3" s="64"/>
      <c r="BU3" s="65"/>
      <c r="BV3" s="66"/>
      <c r="BW3" s="66">
        <v>0</v>
      </c>
      <c r="BX3" s="47"/>
      <c r="CB3" s="6"/>
      <c r="CC3" s="6"/>
      <c r="CD3" s="67">
        <v>0</v>
      </c>
      <c r="CE3" s="67">
        <v>0</v>
      </c>
      <c r="CF3" s="67" t="e">
        <v>#REF!</v>
      </c>
      <c r="CG3" s="68" cm="1">
        <f t="array" ref="CG3">SUMPRODUCT(--(LEN(TRIM(BL3:BT3))&gt;0))</f>
        <v>2</v>
      </c>
      <c r="CH3" s="59" t="str">
        <f>IF(CG3=2,"y","n")</f>
        <v>y</v>
      </c>
      <c r="CI3" s="59" t="str">
        <f>IF(CG3=3,"y","n")</f>
        <v>n</v>
      </c>
      <c r="CJ3" s="59" t="str">
        <f>IF(CG3=4,"y","n")</f>
        <v>n</v>
      </c>
      <c r="CK3" s="59" t="str">
        <f>IF(CG3&gt;4,"y","n")</f>
        <v>n</v>
      </c>
      <c r="CL3" s="59" t="str">
        <f>IF(S3=0,"y","n")</f>
        <v>y</v>
      </c>
      <c r="CM3" s="59" t="str">
        <f>IF(S3=2,"y","n")</f>
        <v>n</v>
      </c>
      <c r="CN3" s="59" t="str">
        <f>IF(S3=3,"y","n")</f>
        <v>n</v>
      </c>
      <c r="CO3" s="59" t="str">
        <f>IF(S3&gt;=4,"y","n")</f>
        <v>n</v>
      </c>
      <c r="CP3" s="59" t="str">
        <f>IF(AT3=0,"y","n")</f>
        <v>n</v>
      </c>
      <c r="CQ3" s="59" t="str">
        <f>IF(AT3=1,"y","n")</f>
        <v>y</v>
      </c>
      <c r="CR3" s="59" t="str">
        <f>IF(AT3=2,"y","n")</f>
        <v>n</v>
      </c>
      <c r="CS3" s="59" t="str">
        <f>IF(AT3&gt;=3,"y","n")</f>
        <v>n</v>
      </c>
      <c r="CT3" s="69" t="str">
        <f>CHAR(34)&amp;A3&amp;CHAR(34)</f>
        <v>"[MRT] Mauritania (1959-2017)"</v>
      </c>
      <c r="CU3" s="70" t="str">
        <f>CHAR(34)&amp;"rgn_"&amp;R3&amp;CHAR(34)</f>
        <v>"rgn_Africa"</v>
      </c>
      <c r="CV3" s="48" t="str">
        <f>CHAR(34)&amp;D3&amp;CHAR(34)</f>
        <v>"https://upload.wikimedia.org/wikipedia/commons/thumb/8/8f/Flag_of_Mauritania_%281959%E2%80%932017%29.svg/640px-Flag_of_Mauritania_%281959%E2%80%932017%29.svg.png"</v>
      </c>
      <c r="CW3" s="48" t="str">
        <f>IF(CH3="y",CHAR(34)&amp;CH$1&amp;CHAR(34)&amp;",","")</f>
        <v>"2Color",</v>
      </c>
      <c r="CX3" s="48" t="str">
        <f>IF(CI3="y",CHAR(34)&amp;CI$1&amp;CHAR(34)&amp;",","")</f>
        <v/>
      </c>
      <c r="CY3" s="48" t="str">
        <f>IF(CJ3="y",CHAR(34)&amp;CJ$1&amp;CHAR(34)&amp;",","")</f>
        <v/>
      </c>
      <c r="CZ3" s="48" t="str">
        <f>IF(CK3="y",CHAR(34)&amp;CK$1&amp;CHAR(34)&amp;",","")</f>
        <v/>
      </c>
      <c r="DA3" s="48" t="str">
        <f>IF(Q3&gt;1,CHAR(34)&amp;"words2"&amp;CHAR(34)&amp;",","")</f>
        <v/>
      </c>
      <c r="DB3" s="48" t="str">
        <f>IF(Q3&gt;2,CHAR(34)&amp;"words3"&amp;CHAR(34)&amp;",","")</f>
        <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"lets20",</v>
      </c>
      <c r="DE3" s="48" t="str">
        <f>CHAR(34)&amp;"start"&amp;IFERROR(LEFT(SUBSTITUTE(A3,"["&amp;MID(A3,FIND("[",A3)+1,FIND("]",A3)-FIND("[",A3)-1)&amp;"] ",""),1),LEFT(A3,1))&amp;CHAR(34)&amp;","</f>
        <v>"startM",</v>
      </c>
      <c r="DF3" s="48" t="str">
        <f>IFERROR(IF(SEARCH("tan",A3)&gt;0,CHAR(34)&amp;"withtn"&amp;CHAR(34)&amp;",",""),"")</f>
        <v>"withtn",</v>
      </c>
      <c r="DG3" s="48" t="str">
        <f>IFERROR(IF(SEARCH("q",A3)&gt;0,CHAR(34)&amp;"with_q"&amp;CHAR(34)&amp;",",""),"")</f>
        <v/>
      </c>
      <c r="DH3" s="48" t="str">
        <f>IFERROR(IF(SEARCH("v",A3)&gt;0,CHAR(34)&amp;"with_v"&amp;CHAR(34)&amp;",",""),"")</f>
        <v/>
      </c>
      <c r="DI3" s="48" t="str">
        <f>IFERROR(IF(SEARCH("w",A3)&gt;0,CHAR(34)&amp;"with_w"&amp;CHAR(34)&amp;",",""),"")</f>
        <v/>
      </c>
      <c r="DJ3" s="48" t="str">
        <f>IFERROR(IF(SEARCH("y",A3)&gt;0,CHAR(34)&amp;"with_y"&amp;CHAR(34)&amp;",",""),"")</f>
        <v/>
      </c>
      <c r="DK3" s="48" t="str">
        <f>IFERROR(IF(SEARCH("z",A3)&gt;0,CHAR(34)&amp;"with_z"&amp;CHAR(34)&amp;",",""),"")</f>
        <v/>
      </c>
      <c r="DL3" s="48" t="str">
        <f>IF(CG3=2, CHAR(34) &amp; _xlfn.TEXTJOIN("", TRUE, _xlfn._xlws.SORT(HP3:HX3)) &amp; CHAR(34) &amp; ",", "")</f>
        <v>"GREYEL",</v>
      </c>
      <c r="DM3" s="48" t="str" cm="1">
        <f t="array" ref="DM3">IF(CG3=3,CHAR(34) &amp; _xlfn.TEXTJOIN("", TRUE, RIGHT(HP3:HX3, 2)) &amp; CHAR(34) &amp; ",", "")</f>
        <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"year19",</v>
      </c>
      <c r="DP3" s="6" t="str">
        <f>IF(AND(ISNUMBER(SEARCH("20", O3)), ISERROR(SEARCH("1920", O3))), CHAR(34)&amp;"year00"&amp;CHAR(34)&amp;",", "")</f>
        <v/>
      </c>
      <c r="DQ3" s="6" t="str">
        <f>IF(CC3="y",CHAR(34)&amp;"soviet"&amp;CHAR(34)&amp;",","")</f>
        <v/>
      </c>
      <c r="DR3" s="6" t="str">
        <f>IF(BY3="y",CHAR(34)&amp;"dgband"&amp;CHAR(34)&amp;",","")</f>
        <v/>
      </c>
      <c r="DS3" s="6" t="str">
        <f>IF(W3="y",IF(AND(V3="n",BY3&lt;&gt;"y"),CHAR(34)&amp;"allver"&amp;CHAR(34)&amp;",",""),"")</f>
        <v/>
      </c>
      <c r="DT3" s="6" t="str">
        <f>IF(V3="y",IF(AND(W3="n",BY3&lt;&gt;"y"),CHAR(34)&amp;"allhor"&amp;CHAR(34)&amp;",",""),"")</f>
        <v/>
      </c>
      <c r="DU3" s="6" t="str">
        <f>IF(BY3="y",IF(AND(W3="n",V3="n"),CHAR(34)&amp;"alldia"&amp;CHAR(34)&amp;",",""),"")</f>
        <v/>
      </c>
      <c r="DW3" s="48" t="str">
        <f>IF(CL3="y",CHAR(34)&amp;CL$1&amp;CHAR(34)&amp;",","")</f>
        <v>"NoBand",</v>
      </c>
      <c r="DX3" s="48" t="str">
        <f>IF(CM3="y",CHAR(34)&amp;CM$1&amp;CHAR(34)&amp;",","")</f>
        <v/>
      </c>
      <c r="DY3" s="48" t="str">
        <f>IF(CN3="y",CHAR(34)&amp;CN$1&amp;CHAR(34)&amp;",","")</f>
        <v/>
      </c>
      <c r="DZ3" s="48" t="str">
        <f>IF(CO3="y",CHAR(34)&amp;CO$1&amp;CHAR(34)&amp;",","")</f>
        <v/>
      </c>
      <c r="EA3" s="48" t="str">
        <f>IF(T3="y",CHAR(34)&amp;T$1&amp;CHAR(34)&amp;",","")</f>
        <v/>
      </c>
      <c r="EB3" s="48" t="str">
        <f>IF(U3="y",CHAR(34)&amp;U$1&amp;CHAR(34)&amp;",","")</f>
        <v/>
      </c>
      <c r="EC3" s="48" t="str">
        <f>IF(V3="y",CHAR(34)&amp;V$1&amp;CHAR(34)&amp;",","")</f>
        <v/>
      </c>
      <c r="ED3" s="48" t="str">
        <f>IF(W3="y",CHAR(34)&amp;W$1&amp;CHAR(34)&amp;",","")</f>
        <v/>
      </c>
      <c r="EE3" s="48" t="str">
        <f>IF(X3="y",CHAR(34)&amp;X$1&amp;CHAR(34)&amp;",","")</f>
        <v/>
      </c>
      <c r="EF3" s="48" t="str">
        <f>IF(AND(Y3&lt;&gt;"n",Y3&lt;&gt;""),CHAR(34)&amp;Y$1&amp;CHAR(34)&amp;",","")</f>
        <v/>
      </c>
      <c r="EG3" s="48" t="str">
        <f>IF(Z3="y",CHAR(34)&amp;Z$1&amp;CHAR(34)&amp;",","")</f>
        <v/>
      </c>
      <c r="EH3" s="48" t="str">
        <f>IF(AA3="y",CHAR(34)&amp;AA$1&amp;CHAR(34)&amp;",","")</f>
        <v/>
      </c>
      <c r="EI3" s="48" t="str">
        <f>IF(AB3="y",CHAR(34)&amp;AB$1&amp;CHAR(34)&amp;",","")</f>
        <v/>
      </c>
      <c r="EJ3" s="48" t="str">
        <f>IF(AC3="y",CHAR(34)&amp;AC$1&amp;CHAR(34)&amp;",","")</f>
        <v/>
      </c>
      <c r="EK3" s="48" t="str">
        <f>IF(AD3="y",CHAR(34)&amp;AD$1&amp;CHAR(34)&amp;",","")</f>
        <v/>
      </c>
      <c r="EL3" s="48" t="str">
        <f>IF(AE3="y",CHAR(34)&amp;AE$1&amp;CHAR(34)&amp;",","")</f>
        <v>"IsMoon",</v>
      </c>
      <c r="EM3" s="48" t="str">
        <f>IF(AF3="y",CHAR(34)&amp;AF$1&amp;CHAR(34)&amp;",","")</f>
        <v/>
      </c>
      <c r="EN3" s="48" t="str">
        <f>IF(AG3="y",CHAR(34)&amp;AG$1&amp;CHAR(34)&amp;",","")</f>
        <v/>
      </c>
      <c r="EO3" s="48" t="str">
        <f>IF(AH3="y",CHAR(34)&amp;AH$1&amp;CHAR(34)&amp;",","")</f>
        <v>"Center",</v>
      </c>
      <c r="EP3" s="48" t="str">
        <f>IF(AI3="y",CHAR(34)&amp;AI$1&amp;CHAR(34)&amp;",","")</f>
        <v/>
      </c>
      <c r="EQ3" s="48" t="str">
        <f>IF(AJ3="y",CHAR(34)&amp;AJ$1&amp;CHAR(34)&amp;",","")</f>
        <v/>
      </c>
      <c r="ER3" s="48" t="str">
        <f>IF(AK3="y",CHAR(34)&amp;AK$1&amp;CHAR(34)&amp;",","")</f>
        <v/>
      </c>
      <c r="ES3" s="48" t="str">
        <f>IF(AL3="y",CHAR(34)&amp;AL$1&amp;CHAR(34)&amp;",","")</f>
        <v/>
      </c>
      <c r="ET3" s="48" t="str">
        <f>IF(AM3="y",CHAR(34)&amp;AM$1&amp;CHAR(34)&amp;",","")</f>
        <v/>
      </c>
      <c r="EU3" s="48" t="str">
        <f>IF(AN3="y",CHAR(34)&amp;AN$1&amp;CHAR(34)&amp;",","")</f>
        <v/>
      </c>
      <c r="EV3" s="48" t="str">
        <f>IF(AO3="y",CHAR(34)&amp;AO$1&amp;CHAR(34)&amp;",","")</f>
        <v/>
      </c>
      <c r="EW3" s="48" t="str">
        <f>IF(AP3="y",CHAR(34)&amp;AP$1&amp;CHAR(34)&amp;",","")</f>
        <v/>
      </c>
      <c r="EX3" s="48" t="str">
        <f>IF(AQ3="y",CHAR(34)&amp;AQ$1&amp;CHAR(34)&amp;",","")</f>
        <v/>
      </c>
      <c r="EY3" s="48" t="str">
        <f>IF(AR3="y",CHAR(34)&amp;AR$1&amp;CHAR(34)&amp;",","")</f>
        <v/>
      </c>
      <c r="EZ3" s="48" t="str">
        <f>IF(AS3="y",CHAR(34)&amp;AS$1&amp;CHAR(34)&amp;",","")</f>
        <v/>
      </c>
      <c r="FA3" s="48" t="str">
        <f>IF(AT3&gt;0,CHAR(34)&amp;"sta"&amp;AZ3&amp;CHAR(34)&amp;",","")</f>
        <v>"staYEL",</v>
      </c>
      <c r="FB3" s="48" t="str">
        <f>IF(AND(AT3&gt;0,BA3&lt;&gt;""),CHAR(34)&amp;"sta"&amp;BA3&amp;CHAR(34)&amp;",","")</f>
        <v/>
      </c>
      <c r="FD3" s="48" t="str">
        <f>IF(BV3="n",CHAR(34)&amp;"tcWHYE"&amp;CHAR(34)&amp;",",IF(BV3="y",CHAR(34)&amp;FD$1&amp;CHAR(34)&amp;",",""))</f>
        <v/>
      </c>
      <c r="FE3" s="48" t="str">
        <f>IF(COUNTIF(BL3:BT3,"BLU")=0,CHAR(34)&amp;"NO_BLU"&amp;CHAR(34)&amp;",", "")</f>
        <v>"NO_BLU",</v>
      </c>
      <c r="FF3" s="48" t="str">
        <f>IF(COUNTIF(BL3:BT3,"WHI")=0,CHAR(34)&amp;"NO_WHI"&amp;CHAR(34)&amp;",", "")</f>
        <v>"NO_WHI",</v>
      </c>
      <c r="FG3" s="48" t="str">
        <f>IF(COUNTIF(BL3:BT3,"RED")=0,CHAR(34)&amp;"NO_RED"&amp;CHAR(34)&amp;",", "")</f>
        <v>"NO_RED",</v>
      </c>
      <c r="FH3" s="48" t="str">
        <f>IF(COUNTIF(BL3:BS3,"GRE")=0,CHAR(34)&amp;"NO_GRE"&amp;CHAR(34)&amp;",", "")</f>
        <v/>
      </c>
      <c r="FI3" s="48" t="str">
        <f>IF(COUNTIF(BL3:BT3,"YEL")=0,CHAR(34)&amp;"NO_YEL"&amp;CHAR(34)&amp;",", "")</f>
        <v/>
      </c>
      <c r="FJ3" s="48" t="str">
        <f>IF(COUNTIF(BL3:BT3,"BLA")=0,CHAR(34)&amp;"NO_BLA"&amp;CHAR(34)&amp;",", "")</f>
        <v>"NO_BLA",</v>
      </c>
      <c r="FK3" s="48" t="str">
        <f>IF(AND(FH3&lt;&gt;"",FF3&lt;&gt;""),CHAR(34)&amp;"WHGRNO"&amp;CHAR(34)&amp;",","")</f>
        <v/>
      </c>
      <c r="FL3" s="48" t="str">
        <f>IF(AND(FI3&lt;&gt;"",FF3&lt;&gt;""),CHAR(34)&amp;"WHYENO"&amp;CHAR(34)&amp;",","")</f>
        <v/>
      </c>
      <c r="FM3" s="48" t="str">
        <f>IF(AND(FJ3&lt;&gt;"",FF3&lt;&gt;""),CHAR(34)&amp;"BAWHNO"&amp;CHAR(34)&amp;",","")</f>
        <v>"BAWHNO",</v>
      </c>
      <c r="FN3" s="48" t="str">
        <f>IF(AND(FE3&lt;&gt;"",FF3&lt;&gt;""),CHAR(34)&amp;"BLWHNO"&amp;CHAR(34)&amp;",","")</f>
        <v>"BLWHNO",</v>
      </c>
      <c r="FO3" s="48" t="str">
        <f>IF(AND(FE3&lt;&gt;"",FG3&lt;&gt;""),CHAR(34)&amp;"BLRENO"&amp;CHAR(34)&amp;",","")</f>
        <v>"BLRENO",</v>
      </c>
      <c r="FP3" s="48" t="str">
        <f>IF(AND(FF3&lt;&gt;"",FF3&lt;&gt;""),CHAR(34)&amp;"WHRENO"&amp;CHAR(34)&amp;",","")</f>
        <v>"WHRENO",</v>
      </c>
      <c r="FQ3" s="48" t="str">
        <f>IF(LEN(BF3)=3,CHAR(34)&amp;"001"&amp;BF3&amp;CHAR(34)&amp;",","")</f>
        <v/>
      </c>
      <c r="FR3" s="48" t="str">
        <f>IF(LEN(BG3)=3,CHAR(34)&amp;"002"&amp;BG3&amp;CHAR(34)&amp;",","")</f>
        <v/>
      </c>
      <c r="FS3" s="48" t="str">
        <f>IF(LEN(BH3)=3,CHAR(34)&amp;"003"&amp;BH3&amp;CHAR(34)&amp;",","")</f>
        <v/>
      </c>
      <c r="FT3" s="48" t="str">
        <f>CHAR(34)&amp;"myr"&amp;BD3&amp;CHAR(34)&amp;","</f>
        <v>"myrGRE",</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"histor",</v>
      </c>
      <c r="GG3" s="48" t="str">
        <f>IF(BU3="y",CHAR(34)&amp;"unjack"&amp;CHAR(34)&amp;",","")</f>
        <v/>
      </c>
      <c r="GH3" s="48" t="str">
        <f>IF(CD3=1,CHAR(34)&amp;"southc"&amp;CHAR(34)&amp;",","")</f>
        <v/>
      </c>
      <c r="GI3" s="48" t="str">
        <f>IF(CE3=1,CHAR(34)&amp;"hasmap"&amp;CHAR(34)&amp;",","")</f>
        <v/>
      </c>
      <c r="GJ3" s="48" t="str">
        <f>IF(CP3="y",CHAR(34)&amp;CP$1&amp;CHAR(34)&amp;",","")</f>
        <v/>
      </c>
      <c r="GK3" s="48" t="str">
        <f>IF(GJ3="",CHAR(34)&amp;"HasSta"&amp;CHAR(34)&amp;",","")</f>
        <v>"HasSta",</v>
      </c>
      <c r="GL3" s="48" t="str">
        <f>IF(CQ3="y",CHAR(34)&amp;CQ$1&amp;CHAR(34)&amp;",","")</f>
        <v>"1Stars",</v>
      </c>
      <c r="GM3" s="48" t="str">
        <f>IF(CR3="y",CHAR(34)&amp;CR$1&amp;CHAR(34)&amp;",","")</f>
        <v/>
      </c>
      <c r="GN3" s="48" t="str">
        <f>IF(CS3="y",CHAR(34)&amp;CS$1&amp;CHAR(34)&amp;",","")</f>
        <v/>
      </c>
      <c r="GP3" s="48" t="str">
        <f>CHAR(34)&amp;AU3&amp;CHAR(34)</f>
        <v>"Historical"</v>
      </c>
      <c r="GS3" s="48" t="str">
        <f>SUBSTITUTE("["&amp;_xlfn.CONCAT(CW3:GN3)&amp;"]",",]","]")</f>
        <v>["2Color","lets20","startM","withtn","GREYEL","year19","NoBand","IsMoon","Center","staYEL","NO_BLU","NO_WHI","NO_RED","NO_BLA","BAWHNO","BLWHNO","BLRENO","WHRENO","myrGRE","histor","HasSta","1Stars"]</v>
      </c>
      <c r="GT3" s="48" t="str">
        <f>IF(BL3&lt;&gt;"",CHAR(34)&amp;"cl_"&amp;BL3&amp;CHAR(34)&amp;",","")</f>
        <v>"cl_GRE",</v>
      </c>
      <c r="GU3" s="48" t="str">
        <f>IF(BM3&lt;&gt;"",CHAR(34)&amp;"cl_"&amp;BM3&amp;CHAR(34)&amp;",","")</f>
        <v>"cl_YEL",</v>
      </c>
      <c r="GV3" s="48" t="str">
        <f>IF(BN3&lt;&gt;"",CHAR(34)&amp;"cl_"&amp;BN3&amp;CHAR(34)&amp;",","")</f>
        <v/>
      </c>
      <c r="GW3" s="48" t="str">
        <f>IF(BO3&lt;&gt;"",CHAR(34)&amp;"cl_"&amp;BO3&amp;CHAR(34)&amp;",","")</f>
        <v/>
      </c>
      <c r="GX3" s="48" t="str">
        <f>IF(BP3&lt;&gt;"",CHAR(34)&amp;"cl_"&amp;BP3&amp;CHAR(34)&amp;",","")</f>
        <v/>
      </c>
      <c r="GY3" s="48" t="str">
        <f>IF(BQ3&lt;&gt;"",CHAR(34)&amp;"cl_"&amp;BQ3&amp;CHAR(34)&amp;",","")</f>
        <v/>
      </c>
      <c r="GZ3" s="48" t="str">
        <f>IF(BR3&lt;&gt;"",CHAR(34)&amp;"cl_"&amp;BR3&amp;CHAR(34)&amp;",","")</f>
        <v/>
      </c>
      <c r="HA3" s="48" t="str">
        <f>IF(BS3&lt;&gt;"",CHAR(34)&amp;"cl_"&amp;BS3&amp;CHAR(34)&amp;",","")</f>
        <v/>
      </c>
      <c r="HB3" s="48" t="str">
        <f>IF(BT3&lt;&gt;"",CHAR(34)&amp;"cl_"&amp;BT3&amp;CHAR(34)&amp;",","")</f>
        <v/>
      </c>
      <c r="HC3" s="48" t="str">
        <f>SUBSTITUTE("["&amp;_xlfn.CONCAT(GT3:HB3)&amp;"]",",]","]")</f>
        <v>["cl_GRE","cl_YEL"]</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{couname:"[MRT] Mauritania (1959-2017)",year:"1959",region:"rgn_Africa",Colors:["cl_GRE","cl_YEL"],Items:["2Color","lets20","startM","withtn","GREYEL","year19","NoBand","IsMoon","Center","staYEL","NO_BLU","NO_WHI","NO_RED","NO_BLA","BAWHNO","BLWHNO","BLRENO","WHRENO","myrGRE","histor","HasSta","1Stars"],Flag:"https://upload.wikimedia.org/wikipedia/commons/thumb/8/8f/Flag_of_Mauritania_%281959%E2%80%932017%29.svg/640px-Flag_of_Mauritania_%281959%E2%80%932017%29.svg.png",HDFlag:"https://upload.wikimedia.org/wikipedia/commons/thumb/8/8f/Flag_of_Mauritania_%281959%E2%80%932017%29.svg/2560px-Flag_of_Mauritania_%281959%E2%80%932017%29.svg.png",type:"Historical", describe: "\nThe national emblem is a flag with a crescent and a gold star on a green ground. Green is also used to symbolise Islam, and the gold is for the sands of the Sahara desert. ", isnew:".", links: "https://en.wikipedia.org/wiki/Flag_of_Mauritania"},</v>
      </c>
      <c r="HG3" s="73" t="str">
        <f>"{couname:"&amp;CT3&amp;(IF(HK3&lt;&gt;"",",subtype:"&amp;CHAR(34)&amp;HK3&amp;CHAR(34),""))&amp;",year:"&amp;HJ3&amp;",region:"&amp;CU3&amp;",Colors:"&amp;HC3&amp;",Items:"&amp;GS3&amp;",Flag:"&amp;CV3&amp;",HDFlag:"&amp;CHAR(34)&amp;E3&amp;CHAR(34)&amp;",type:"&amp;GP3&amp;", describe: "&amp;HI3&amp;", links: "&amp;HL3&amp;"},"</f>
        <v>{couname:"[MRT] Mauritania (1959-2017)",year:"1959",region:"rgn_Africa",Colors:["cl_GRE","cl_YEL"],Items:["2Color","lets20","startM","withtn","GREYEL","year19","NoBand","IsMoon","Center","staYEL","NO_BLU","NO_WHI","NO_RED","NO_BLA","BAWHNO","BLWHNO","BLRENO","WHRENO","myrGRE","histor","HasSta","1Stars"],Flag:"https://upload.wikimedia.org/wikipedia/commons/thumb/8/8f/Flag_of_Mauritania_%281959%E2%80%932017%29.svg/640px-Flag_of_Mauritania_%281959%E2%80%932017%29.svg.png",HDFlag:"https://upload.wikimedia.org/wikipedia/commons/thumb/8/8f/Flag_of_Mauritania_%281959%E2%80%932017%29.svg/2560px-Flag_of_Mauritania_%281959%E2%80%932017%29.svg.png",type:"Historical", describe: "\nThe national emblem is a flag with a crescent and a gold star on a green ground. Green is also used to symbolise Islam, and the gold is for the sands of the Sahara desert. ", links: "https://en.wikipedia.org/wiki/Flag_of_Mauritania"},</v>
      </c>
      <c r="HH3" s="48" t="str">
        <f>IF(P3&lt;&gt;"",CHAR(34)&amp;"\n"&amp;P3&amp;CHAR(34),CHAR(34)&amp;CHAR(34))</f>
        <v>"\nThe national emblem is a flag with a crescent and a gold star on a green ground. Green is also used to symbolise Islam, and the gold is for the sands of the Sahara desert. "</v>
      </c>
      <c r="HI3" s="48" t="str">
        <f>IF(J3=0,CHAR(34)&amp;CHAR(34),HH3)</f>
        <v>"\nThe national emblem is a flag with a crescent and a gold star on a green ground. Green is also used to symbolise Islam, and the gold is for the sands of the Sahara desert. "</v>
      </c>
      <c r="HJ3" s="48" t="str">
        <f>CHAR(34)&amp;O3&amp;CHAR(34)</f>
        <v>"1959"</v>
      </c>
      <c r="HL3" s="48" t="str">
        <f>CHAR(34)&amp;I3&amp;CHAR(34)</f>
        <v>"https://en.wikipedia.org/wiki/Flag_of_Mauritania"</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{"couname":"[MRT] Mauritania (1959-2017)","subtype":"[MRT] Other","year":"1959","region":"rgn_Africa","Colors":["cl_GRE","cl_YEL"],"Items":["2Color","lets20","startM","withtn","GREYEL","year19","NoBand","IsMoon","Center","staYEL","NO_BLU","NO_WHI","NO_RED","NO_BLA","BAWHNO","BLWHNO","BLRENO","WHRENO","myrGRE","histor","HasSta","1Stars"],"Flag":"https://upload.wikimedia.org/wikipedia/commons/thumb/8/8f/Flag_of_Mauritania_%281959%E2%80%932017%29.svg/640px-Flag_of_Mauritania_%281959%E2%80%932017%29.svg.png","HDFlag":"https://upload.wikimedia.org/wikipedia/commons/thumb/8/8f/Flag_of_Mauritania_%281959%E2%80%932017%29.svg/2560px-Flag_of_Mauritania_%281959%E2%80%932017%29.svg.png","type":"Historical", "describe": "\nThe national emblem is a flag with a crescent and a gold star on a green ground. Green is also used to symbolise Islam, and the gold is for the sands of the Sahara desert. ", "isnew": ".", "links": "https://en.wikipedia.org/wiki/Flag_of_Mauritania"},</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{"couname":"[MRT] Mauritania (1959-2017)","subtype":"[MRT] Other","year":"1959","region":"rgn_Africa","Colors":["cl_GRE","cl_YEL"],"Items":["2Color","lets20","startM","withtn","GREYEL","year19","NoBand","IsMoon","Center","staYEL","NO_BLU","NO_WHI","NO_RED","NO_BLA","BAWHNO","BLWHNO","BLRENO","WHRENO","myrGRE","histor","HasSta","1Stars"],"Flag":"https://upload.wikimedia.org/wikipedia/commons/thumb/8/8f/Flag_of_Mauritania_%281959%E2%80%932017%29.svg/640px-Flag_of_Mauritania_%281959%E2%80%932017%29.svg.png","HDFlag":"https://upload.wikimedia.org/wikipedia/commons/thumb/8/8f/Flag_of_Mauritania_%281959%E2%80%932017%29.svg/2560px-Flag_of_Mauritania_%281959%E2%80%932017%29.svg.png","type":"Historical", "describe": "\nThe national emblem is a flag with a crescent and a gold star on a green ground. Green is also used to symbolise Islam, and the gold is for the sands of the Sahara desert. ", "isnew": ".", "links": "https://en.wikipedia.org/wiki/Flag_of_Mauritania"},</v>
      </c>
      <c r="HO3" s="75">
        <v>45596</v>
      </c>
      <c r="HP3" s="48" t="str" cm="1">
        <f t="array" ref="HP3">IF(_xlfn.TEXTJOIN(", ", TRUE, IF(ISNUMBER(SEARCH("BLA", BL3:BT3)), COLUMN(BL3:BT3) - COLUMN(BL3) + 1, ""))&lt;&gt;"","BLA","")</f>
        <v/>
      </c>
      <c r="HQ3" s="48" t="str" cm="1">
        <f t="array" ref="HQ3">IF(_xlfn.TEXTJOIN(", ", TRUE, IF(ISNUMBER(SEARCH("BLU", BL3:BT3)), COLUMN(BL3:BT3) - COLUMN(BL3) + 1, ""))&lt;&gt;"","BLU","")</f>
        <v/>
      </c>
      <c r="HR3" s="48" t="str" cm="1">
        <f t="array" ref="HR3">IF(_xlfn.TEXTJOIN(", ", TRUE, IF(ISNUMBER(SEARCH("GRE", BL3:BT3)), COLUMN(BL3:BT3) - COLUMN(BL3) + 1, ""))&lt;&gt;"","GRE","")</f>
        <v>GRE</v>
      </c>
      <c r="HS3" s="48" t="str" cm="1">
        <f t="array" ref="HS3">IF(_xlfn.TEXTJOIN(", ", TRUE, IF(ISNUMBER(SEARCH("RED", BL3:BT3)), COLUMN(BL3:BT3) - COLUMN(BL3) + 1, ""))&lt;&gt;"","RED","")</f>
        <v/>
      </c>
      <c r="HT3" s="48" t="str" cm="1">
        <f t="array" ref="HT3">IF(_xlfn.TEXTJOIN(", ", TRUE, IF(ISNUMBER(SEARCH("YEL", BL3:BT3)), COLUMN(BL3:BT3) - COLUMN(BL3) + 1, ""))&lt;&gt;"","YEL","")</f>
        <v>YEL</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
      </c>
      <c r="HY3" s="76"/>
      <c r="HZ3" s="76"/>
      <c r="IA3" s="6"/>
      <c r="IB3" s="6"/>
      <c r="IC3" s="77"/>
      <c r="ID3" s="77"/>
      <c r="IE3" s="77"/>
      <c r="IF3" s="77"/>
      <c r="IG3" s="77"/>
      <c r="IH3" s="77"/>
      <c r="II3" s="77"/>
      <c r="IJ3" s="77"/>
      <c r="IK3" s="77"/>
      <c r="IM3" s="45">
        <f>COUNTIF(IC3:IK3,"&gt;0")-CG3</f>
        <v>-2</v>
      </c>
      <c r="IN3" s="78" t="str">
        <f>"http://mkweb.bcgsc.ca/color-summarizer/?url="&amp;D3&amp;"&amp;precision=low&amp;num_clusters="&amp;CG3&amp;"&amp;text=1"</f>
        <v>http://mkweb.bcgsc.ca/color-summarizer/?url=https://upload.wikimedia.org/wikipedia/commons/thumb/8/8f/Flag_of_Mauritania_%281959%E2%80%932017%29.svg/640px-Flag_of_Mauritania_%281959%E2%80%932017%29.svg.png&amp;precision=low&amp;num_clusters=2&amp;text=1</v>
      </c>
      <c r="IO3" s="48" t="str">
        <f>IF(HP3&lt;&gt;"",CHAR(34)&amp;"black"&amp;CHAR(34),"")</f>
        <v/>
      </c>
      <c r="IP3" s="48" t="str">
        <f>IF(HQ3&lt;&gt;"",CHAR(34)&amp;"blue"&amp;CHAR(34),"")</f>
        <v/>
      </c>
      <c r="IQ3" s="48" t="str">
        <f>IF(HR3&lt;&gt;"",CHAR(34)&amp;"green"&amp;CHAR(34),"")</f>
        <v>"green"</v>
      </c>
      <c r="IR3" s="48" t="str">
        <f>IF(HS3&lt;&gt;"",CHAR(34)&amp;"red"&amp;CHAR(34),"")</f>
        <v/>
      </c>
      <c r="IS3" s="48" t="str">
        <f>IF(HT3&lt;&gt;"",CHAR(34)&amp;"yellow"&amp;CHAR(34),"")</f>
        <v>"yellow"</v>
      </c>
      <c r="IT3" s="48" t="str">
        <f>IF(HU3&lt;&gt;"",CHAR(34)&amp;"orange"&amp;CHAR(34),"")</f>
        <v/>
      </c>
      <c r="IU3" s="48" t="str">
        <f>IF(HV3&lt;&gt;"",CHAR(34)&amp;"brown"&amp;CHAR(34),"")</f>
        <v/>
      </c>
      <c r="IV3" s="48" t="str">
        <f>IF(HW3&lt;&gt;"",CHAR(34)&amp;"purple"&amp;CHAR(34),"")</f>
        <v/>
      </c>
      <c r="IW3" s="48" t="str">
        <f>IF(HX3&lt;&gt;"",CHAR(34)&amp;"white"&amp;CHAR(34),"")</f>
        <v/>
      </c>
      <c r="IX3" s="48" t="str">
        <f>"{"&amp;CHAR(34)&amp;"url"&amp;CHAR(34)&amp;":"&amp;CHAR(34)&amp;IN3&amp;CHAR(34)&amp;","&amp;CHAR(34)&amp;"name"&amp;CHAR(34)&amp;":"&amp;CHAR(34)&amp;A3&amp;CHAR(34)&amp;"},"</f>
        <v>{"url":"http://mkweb.bcgsc.ca/color-summarizer/?url=https://upload.wikimedia.org/wikipedia/commons/thumb/8/8f/Flag_of_Mauritania_%281959%E2%80%932017%29.svg/640px-Flag_of_Mauritania_%281959%E2%80%932017%29.svg.png&amp;precision=low&amp;num_clusters=2&amp;text=1","name":"[MRT] Mauritania (1959-2017)"},</v>
      </c>
      <c r="IY3" s="48">
        <v>1351</v>
      </c>
    </row>
    <row r="4" spans="1:259" ht="38.4" customHeight="1" x14ac:dyDescent="0.3">
      <c r="F4" s="82"/>
      <c r="G4" s="82"/>
      <c r="H4" s="82"/>
      <c r="I4" s="82"/>
      <c r="J4" s="82"/>
      <c r="K4" s="82"/>
    </row>
    <row r="5" spans="1:259" ht="38.4" customHeight="1" x14ac:dyDescent="0.3">
      <c r="F5" s="82"/>
      <c r="G5" s="82"/>
      <c r="H5" s="82"/>
      <c r="I5" s="82"/>
      <c r="J5" s="82"/>
      <c r="K5" s="82"/>
    </row>
    <row r="6" spans="1:259" ht="38.4" customHeight="1" x14ac:dyDescent="0.3">
      <c r="F6" s="81"/>
      <c r="I6" s="82"/>
      <c r="J6" s="82"/>
      <c r="K6" s="82"/>
    </row>
    <row r="7" spans="1:259" ht="38.4" customHeight="1" x14ac:dyDescent="0.3">
      <c r="F7" s="81"/>
    </row>
    <row r="8" spans="1:259" ht="38.4" customHeight="1" x14ac:dyDescent="0.3">
      <c r="F8" s="81"/>
    </row>
    <row r="9" spans="1:259" ht="38.4" customHeight="1" x14ac:dyDescent="0.3">
      <c r="F9" s="81"/>
    </row>
  </sheetData>
  <autoFilter ref="A1:IY1" xr:uid="{A1051193-A95B-4CFB-A73C-F0184620C81F}">
    <sortState xmlns:xlrd2="http://schemas.microsoft.com/office/spreadsheetml/2017/richdata2" ref="A2:IY5">
      <sortCondition ref="AW1"/>
    </sortState>
  </autoFilter>
  <conditionalFormatting sqref="H1 CW1:GS1 IA1:IB1">
    <cfRule type="cellIs" dxfId="2426" priority="118" operator="greaterThan">
      <formula>0</formula>
    </cfRule>
  </conditionalFormatting>
  <conditionalFormatting sqref="H1 H7:H1048576 F6:H9">
    <cfRule type="cellIs" dxfId="2425" priority="84" stopIfTrue="1" operator="notEqual">
      <formula>""</formula>
    </cfRule>
  </conditionalFormatting>
  <conditionalFormatting sqref="T1:BK1">
    <cfRule type="cellIs" dxfId="2424" priority="121" operator="greaterThan">
      <formula>0</formula>
    </cfRule>
  </conditionalFormatting>
  <conditionalFormatting sqref="BV1:BW1 BV4:BW1048576">
    <cfRule type="cellIs" dxfId="2423" priority="120" operator="equal">
      <formula>"nc"</formula>
    </cfRule>
  </conditionalFormatting>
  <conditionalFormatting sqref="HF1:HG1">
    <cfRule type="cellIs" dxfId="2422" priority="122" operator="greaterThan">
      <formula>0</formula>
    </cfRule>
  </conditionalFormatting>
  <conditionalFormatting sqref="HK1">
    <cfRule type="cellIs" dxfId="2421" priority="119" operator="greaterThan">
      <formula>0</formula>
    </cfRule>
  </conditionalFormatting>
  <conditionalFormatting sqref="HP1:HX1">
    <cfRule type="cellIs" dxfId="2420" priority="96" operator="equal">
      <formula>"PIN"</formula>
    </cfRule>
    <cfRule type="cellIs" dxfId="2419" priority="97" operator="equal">
      <formula>"ORA"</formula>
    </cfRule>
    <cfRule type="cellIs" dxfId="2418" priority="98" operator="equal">
      <formula>"GRA"</formula>
    </cfRule>
    <cfRule type="cellIs" dxfId="2417" priority="99" operator="equal">
      <formula>"PUR"</formula>
    </cfRule>
    <cfRule type="cellIs" dxfId="2416" priority="100" operator="equal">
      <formula>"BRO"</formula>
    </cfRule>
    <cfRule type="cellIs" dxfId="2415" priority="101" operator="equal">
      <formula>"YEL"</formula>
    </cfRule>
    <cfRule type="cellIs" dxfId="2414" priority="102" operator="equal">
      <formula>"BLU"</formula>
    </cfRule>
    <cfRule type="cellIs" dxfId="2413" priority="103" operator="equal">
      <formula>"WHI"</formula>
    </cfRule>
    <cfRule type="cellIs" dxfId="2412" priority="104" operator="equal">
      <formula>"GRE"</formula>
    </cfRule>
    <cfRule type="cellIs" dxfId="2411" priority="105" operator="equal">
      <formula>"RED"</formula>
    </cfRule>
    <cfRule type="cellIs" dxfId="2410" priority="106" operator="equal">
      <formula>"BLA"</formula>
    </cfRule>
  </conditionalFormatting>
  <conditionalFormatting sqref="IC1:IK1">
    <cfRule type="cellIs" dxfId="2409" priority="107" operator="equal">
      <formula>"PIN"</formula>
    </cfRule>
    <cfRule type="cellIs" dxfId="2408" priority="108" operator="equal">
      <formula>"ORA"</formula>
    </cfRule>
    <cfRule type="cellIs" dxfId="2407" priority="109" operator="equal">
      <formula>"GRA"</formula>
    </cfRule>
    <cfRule type="cellIs" dxfId="2406" priority="110" operator="equal">
      <formula>"PUR"</formula>
    </cfRule>
    <cfRule type="cellIs" dxfId="2405" priority="111" operator="equal">
      <formula>"BRO"</formula>
    </cfRule>
    <cfRule type="cellIs" dxfId="2404" priority="112" operator="equal">
      <formula>"YEL"</formula>
    </cfRule>
    <cfRule type="cellIs" dxfId="2403" priority="113" operator="equal">
      <formula>"BLU"</formula>
    </cfRule>
    <cfRule type="cellIs" dxfId="2402" priority="114" operator="equal">
      <formula>"WHI"</formula>
    </cfRule>
    <cfRule type="cellIs" dxfId="2401" priority="115" operator="equal">
      <formula>"GRE"</formula>
    </cfRule>
    <cfRule type="cellIs" dxfId="2400" priority="116" operator="equal">
      <formula>"RED"</formula>
    </cfRule>
    <cfRule type="cellIs" dxfId="2399" priority="117" operator="equal">
      <formula>"BLA"</formula>
    </cfRule>
  </conditionalFormatting>
  <conditionalFormatting sqref="IO1:IW1">
    <cfRule type="cellIs" dxfId="2398" priority="85" operator="equal">
      <formula>"PIN"</formula>
    </cfRule>
    <cfRule type="cellIs" dxfId="2397" priority="86" operator="equal">
      <formula>"ORA"</formula>
    </cfRule>
    <cfRule type="cellIs" dxfId="2396" priority="87" operator="equal">
      <formula>"GRA"</formula>
    </cfRule>
    <cfRule type="cellIs" dxfId="2395" priority="88" operator="equal">
      <formula>"PUR"</formula>
    </cfRule>
    <cfRule type="cellIs" dxfId="2394" priority="89" operator="equal">
      <formula>"BRO"</formula>
    </cfRule>
    <cfRule type="cellIs" dxfId="2393" priority="90" operator="equal">
      <formula>"YEL"</formula>
    </cfRule>
    <cfRule type="cellIs" dxfId="2392" priority="91" operator="equal">
      <formula>"BLU"</formula>
    </cfRule>
    <cfRule type="cellIs" dxfId="2391" priority="92" operator="equal">
      <formula>"WHI"</formula>
    </cfRule>
    <cfRule type="cellIs" dxfId="2390" priority="93" operator="equal">
      <formula>"GRE"</formula>
    </cfRule>
    <cfRule type="cellIs" dxfId="2389" priority="94" operator="equal">
      <formula>"RED"</formula>
    </cfRule>
    <cfRule type="cellIs" dxfId="2388" priority="95" operator="equal">
      <formula>"BLA"</formula>
    </cfRule>
  </conditionalFormatting>
  <conditionalFormatting sqref="H2">
    <cfRule type="cellIs" dxfId="2387" priority="77" stopIfTrue="1" operator="notEqual">
      <formula>""</formula>
    </cfRule>
  </conditionalFormatting>
  <conditionalFormatting sqref="R2 CU2">
    <cfRule type="cellIs" dxfId="2386" priority="79" operator="greaterThan">
      <formula>0</formula>
    </cfRule>
  </conditionalFormatting>
  <conditionalFormatting sqref="T2:AS2 CH2:CS2">
    <cfRule type="cellIs" dxfId="2385" priority="74" stopIfTrue="1" operator="equal">
      <formula>"n"</formula>
    </cfRule>
    <cfRule type="cellIs" dxfId="2384" priority="75" stopIfTrue="1" operator="equal">
      <formula>"y"</formula>
    </cfRule>
    <cfRule type="cellIs" dxfId="2383" priority="76" operator="greaterThan">
      <formula>0</formula>
    </cfRule>
  </conditionalFormatting>
  <conditionalFormatting sqref="AZ2:BB2">
    <cfRule type="expression" dxfId="2382" priority="61">
      <formula>$AT2=0</formula>
    </cfRule>
  </conditionalFormatting>
  <conditionalFormatting sqref="AZ2:BU2">
    <cfRule type="cellIs" dxfId="2381" priority="62" operator="equal">
      <formula>"PIN"</formula>
    </cfRule>
    <cfRule type="cellIs" dxfId="2380" priority="63" operator="equal">
      <formula>"ORA"</formula>
    </cfRule>
    <cfRule type="cellIs" dxfId="2379" priority="64" operator="equal">
      <formula>"GRA"</formula>
    </cfRule>
    <cfRule type="cellIs" dxfId="2378" priority="65" operator="equal">
      <formula>"PUR"</formula>
    </cfRule>
    <cfRule type="cellIs" dxfId="2377" priority="66" operator="equal">
      <formula>"BRO"</formula>
    </cfRule>
    <cfRule type="cellIs" dxfId="2376" priority="67" operator="equal">
      <formula>"YEL"</formula>
    </cfRule>
    <cfRule type="cellIs" dxfId="2375" priority="68" operator="equal">
      <formula>"BLU"</formula>
    </cfRule>
    <cfRule type="cellIs" dxfId="2374" priority="69" operator="equal">
      <formula>"WHI"</formula>
    </cfRule>
    <cfRule type="cellIs" dxfId="2373" priority="70" operator="equal">
      <formula>"GRE"</formula>
    </cfRule>
    <cfRule type="cellIs" dxfId="2372" priority="71" operator="equal">
      <formula>"RED"</formula>
    </cfRule>
    <cfRule type="cellIs" dxfId="2371" priority="72" operator="equal">
      <formula>"BLA"</formula>
    </cfRule>
  </conditionalFormatting>
  <conditionalFormatting sqref="BV2">
    <cfRule type="cellIs" dxfId="2370" priority="78" operator="equal">
      <formula>"nc"</formula>
    </cfRule>
  </conditionalFormatting>
  <conditionalFormatting sqref="CD2:CF2 BZ2:CA2">
    <cfRule type="cellIs" dxfId="2369" priority="73" operator="greaterThan">
      <formula>0</formula>
    </cfRule>
  </conditionalFormatting>
  <conditionalFormatting sqref="IC2:IK2">
    <cfRule type="expression" dxfId="2368" priority="60">
      <formula>$IL2&gt;0</formula>
    </cfRule>
  </conditionalFormatting>
  <conditionalFormatting sqref="BX2:CA2 CD2:CF2">
    <cfRule type="cellIs" dxfId="2367" priority="48" operator="equal">
      <formula>"y"</formula>
    </cfRule>
    <cfRule type="cellIs" dxfId="2366" priority="49" operator="equal">
      <formula>"PIN"</formula>
    </cfRule>
    <cfRule type="cellIs" dxfId="2365" priority="50" operator="equal">
      <formula>"ORA"</formula>
    </cfRule>
    <cfRule type="cellIs" dxfId="2364" priority="51" operator="equal">
      <formula>"GRA"</formula>
    </cfRule>
    <cfRule type="cellIs" dxfId="2363" priority="52" operator="equal">
      <formula>"PUR"</formula>
    </cfRule>
    <cfRule type="cellIs" dxfId="2362" priority="53" operator="equal">
      <formula>"BRO"</formula>
    </cfRule>
    <cfRule type="cellIs" dxfId="2361" priority="54" operator="equal">
      <formula>"YEL"</formula>
    </cfRule>
    <cfRule type="cellIs" dxfId="2360" priority="55" operator="equal">
      <formula>"BLU"</formula>
    </cfRule>
    <cfRule type="cellIs" dxfId="2359" priority="56" operator="equal">
      <formula>"WHI"</formula>
    </cfRule>
    <cfRule type="cellIs" dxfId="2358" priority="57" operator="equal">
      <formula>"GRE"</formula>
    </cfRule>
    <cfRule type="cellIs" dxfId="2357" priority="58" operator="equal">
      <formula>"RED"</formula>
    </cfRule>
    <cfRule type="cellIs" dxfId="2356" priority="59" operator="equal">
      <formula>"BLA"</formula>
    </cfRule>
  </conditionalFormatting>
  <conditionalFormatting sqref="J2">
    <cfRule type="colorScale" priority="80">
      <colorScale>
        <cfvo type="min"/>
        <cfvo type="percentile" val="50"/>
        <cfvo type="max"/>
        <color rgb="FFF8696B"/>
        <color rgb="FFFFEB84"/>
        <color rgb="FF63BE7B"/>
      </colorScale>
    </cfRule>
  </conditionalFormatting>
  <conditionalFormatting sqref="S2">
    <cfRule type="colorScale" priority="81">
      <colorScale>
        <cfvo type="min"/>
        <cfvo type="max"/>
        <color rgb="FFFCFCFF"/>
        <color rgb="FF754BFB"/>
      </colorScale>
    </cfRule>
  </conditionalFormatting>
  <conditionalFormatting sqref="AT2">
    <cfRule type="colorScale" priority="82">
      <colorScale>
        <cfvo type="min"/>
        <cfvo type="max"/>
        <color rgb="FFFCFCFF"/>
        <color theme="8" tint="0.39997558519241921"/>
      </colorScale>
    </cfRule>
  </conditionalFormatting>
  <conditionalFormatting sqref="CG2">
    <cfRule type="colorScale" priority="83">
      <colorScale>
        <cfvo type="min"/>
        <cfvo type="max"/>
        <color rgb="FFFCFCFF"/>
        <color rgb="FF63BE7B"/>
      </colorScale>
    </cfRule>
  </conditionalFormatting>
  <conditionalFormatting sqref="H3">
    <cfRule type="cellIs" dxfId="2355" priority="40" stopIfTrue="1" operator="notEqual">
      <formula>""</formula>
    </cfRule>
  </conditionalFormatting>
  <conditionalFormatting sqref="R3 CU3">
    <cfRule type="cellIs" dxfId="2354" priority="43" operator="greaterThan">
      <formula>0</formula>
    </cfRule>
  </conditionalFormatting>
  <conditionalFormatting sqref="T3:AS3 CH3:CS3">
    <cfRule type="cellIs" dxfId="2353" priority="37" stopIfTrue="1" operator="equal">
      <formula>"n"</formula>
    </cfRule>
    <cfRule type="cellIs" dxfId="2352" priority="38" stopIfTrue="1" operator="equal">
      <formula>"y"</formula>
    </cfRule>
    <cfRule type="cellIs" dxfId="2351" priority="39" operator="greaterThan">
      <formula>0</formula>
    </cfRule>
  </conditionalFormatting>
  <conditionalFormatting sqref="AZ3:BB3">
    <cfRule type="expression" dxfId="2350" priority="24">
      <formula>$AT3=0</formula>
    </cfRule>
  </conditionalFormatting>
  <conditionalFormatting sqref="CD3:CF3 BX3:CA3 AZ3:BU3">
    <cfRule type="cellIs" dxfId="2349" priority="25" operator="equal">
      <formula>"PIN"</formula>
    </cfRule>
    <cfRule type="cellIs" dxfId="2348" priority="26" operator="equal">
      <formula>"ORA"</formula>
    </cfRule>
    <cfRule type="cellIs" dxfId="2347" priority="27" operator="equal">
      <formula>"GRA"</formula>
    </cfRule>
    <cfRule type="cellIs" dxfId="2346" priority="28" operator="equal">
      <formula>"PUR"</formula>
    </cfRule>
    <cfRule type="cellIs" dxfId="2345" priority="29" operator="equal">
      <formula>"BRO"</formula>
    </cfRule>
    <cfRule type="cellIs" dxfId="2344" priority="30" operator="equal">
      <formula>"YEL"</formula>
    </cfRule>
    <cfRule type="cellIs" dxfId="2343" priority="31" operator="equal">
      <formula>"BLU"</formula>
    </cfRule>
    <cfRule type="cellIs" dxfId="2342" priority="32" operator="equal">
      <formula>"WHI"</formula>
    </cfRule>
    <cfRule type="cellIs" dxfId="2341" priority="33" operator="equal">
      <formula>"GRE"</formula>
    </cfRule>
    <cfRule type="cellIs" dxfId="2340" priority="34" operator="equal">
      <formula>"RED"</formula>
    </cfRule>
    <cfRule type="cellIs" dxfId="2339" priority="35" operator="equal">
      <formula>"BLA"</formula>
    </cfRule>
  </conditionalFormatting>
  <conditionalFormatting sqref="BV3">
    <cfRule type="cellIs" dxfId="2338" priority="42" operator="equal">
      <formula>"nc"</formula>
    </cfRule>
  </conditionalFormatting>
  <conditionalFormatting sqref="CD3:CF3 BX3:CA3">
    <cfRule type="cellIs" dxfId="2337" priority="41" operator="equal">
      <formula>"y"</formula>
    </cfRule>
  </conditionalFormatting>
  <conditionalFormatting sqref="CD3:CF3 BZ3:CA3">
    <cfRule type="cellIs" dxfId="2336" priority="36" operator="greaterThan">
      <formula>0</formula>
    </cfRule>
  </conditionalFormatting>
  <conditionalFormatting sqref="IC3:IK3">
    <cfRule type="expression" dxfId="2335" priority="23">
      <formula>$IL3&gt;0</formula>
    </cfRule>
  </conditionalFormatting>
  <conditionalFormatting sqref="IC3">
    <cfRule type="cellIs" dxfId="2334" priority="17" stopIfTrue="1" operator="greaterThan">
      <formula>0</formula>
    </cfRule>
  </conditionalFormatting>
  <conditionalFormatting sqref="ID3">
    <cfRule type="cellIs" dxfId="2333" priority="15" stopIfTrue="1" operator="greaterThan">
      <formula>0</formula>
    </cfRule>
  </conditionalFormatting>
  <conditionalFormatting sqref="II3 IE3:IF3">
    <cfRule type="cellIs" dxfId="2332" priority="22" operator="greaterThan">
      <formula>0</formula>
    </cfRule>
  </conditionalFormatting>
  <conditionalFormatting sqref="II3 IF3">
    <cfRule type="cellIs" dxfId="2331" priority="16" stopIfTrue="1" operator="greaterThan">
      <formula>0</formula>
    </cfRule>
  </conditionalFormatting>
  <conditionalFormatting sqref="IG3">
    <cfRule type="cellIs" dxfId="2330" priority="21" operator="greaterThan">
      <formula>0</formula>
    </cfRule>
  </conditionalFormatting>
  <conditionalFormatting sqref="IH3:II3">
    <cfRule type="cellIs" dxfId="2329" priority="20" operator="greaterThan">
      <formula>0</formula>
    </cfRule>
  </conditionalFormatting>
  <conditionalFormatting sqref="IJ3">
    <cfRule type="cellIs" dxfId="2328" priority="19" operator="greaterThan">
      <formula>0</formula>
    </cfRule>
  </conditionalFormatting>
  <conditionalFormatting sqref="IK3">
    <cfRule type="cellIs" dxfId="2327" priority="18" operator="greaterThan">
      <formula>0</formula>
    </cfRule>
  </conditionalFormatting>
  <conditionalFormatting sqref="IF3">
    <cfRule type="cellIs" dxfId="2326" priority="14" stopIfTrue="1" operator="greaterThan">
      <formula>0</formula>
    </cfRule>
  </conditionalFormatting>
  <conditionalFormatting sqref="IM3">
    <cfRule type="cellIs" dxfId="2325" priority="13" operator="equal">
      <formula>0</formula>
    </cfRule>
  </conditionalFormatting>
  <conditionalFormatting sqref="BX3:CA3 CD3:CF3">
    <cfRule type="cellIs" dxfId="2324" priority="1" operator="equal">
      <formula>"y"</formula>
    </cfRule>
    <cfRule type="cellIs" dxfId="2323" priority="2" operator="equal">
      <formula>"PIN"</formula>
    </cfRule>
    <cfRule type="cellIs" dxfId="2322" priority="3" operator="equal">
      <formula>"ORA"</formula>
    </cfRule>
    <cfRule type="cellIs" dxfId="2321" priority="4" operator="equal">
      <formula>"GRA"</formula>
    </cfRule>
    <cfRule type="cellIs" dxfId="2320" priority="5" operator="equal">
      <formula>"PUR"</formula>
    </cfRule>
    <cfRule type="cellIs" dxfId="2319" priority="6" operator="equal">
      <formula>"BRO"</formula>
    </cfRule>
    <cfRule type="cellIs" dxfId="2318" priority="7" operator="equal">
      <formula>"YEL"</formula>
    </cfRule>
    <cfRule type="cellIs" dxfId="2317" priority="8" operator="equal">
      <formula>"BLU"</formula>
    </cfRule>
    <cfRule type="cellIs" dxfId="2316" priority="9" operator="equal">
      <formula>"WHI"</formula>
    </cfRule>
    <cfRule type="cellIs" dxfId="2315" priority="10" operator="equal">
      <formula>"GRE"</formula>
    </cfRule>
    <cfRule type="cellIs" dxfId="2314" priority="11" operator="equal">
      <formula>"RED"</formula>
    </cfRule>
    <cfRule type="cellIs" dxfId="2313" priority="12" operator="equal">
      <formula>"BLA"</formula>
    </cfRule>
  </conditionalFormatting>
  <conditionalFormatting sqref="AT3">
    <cfRule type="colorScale" priority="44">
      <colorScale>
        <cfvo type="min"/>
        <cfvo type="max"/>
        <color rgb="FFFCFCFF"/>
        <color theme="8" tint="0.39997558519241921"/>
      </colorScale>
    </cfRule>
  </conditionalFormatting>
  <conditionalFormatting sqref="S3">
    <cfRule type="colorScale" priority="45">
      <colorScale>
        <cfvo type="min"/>
        <cfvo type="max"/>
        <color rgb="FFFCFCFF"/>
        <color rgb="FF754BFB"/>
      </colorScale>
    </cfRule>
  </conditionalFormatting>
  <conditionalFormatting sqref="J3">
    <cfRule type="colorScale" priority="46">
      <colorScale>
        <cfvo type="min"/>
        <cfvo type="percentile" val="50"/>
        <cfvo type="max"/>
        <color rgb="FFF8696B"/>
        <color rgb="FFFFEB84"/>
        <color rgb="FF63BE7B"/>
      </colorScale>
    </cfRule>
  </conditionalFormatting>
  <conditionalFormatting sqref="CG3">
    <cfRule type="colorScale" priority="47">
      <colorScale>
        <cfvo type="min"/>
        <cfvo type="max"/>
        <color rgb="FFFCFCFF"/>
        <color rgb="FF63BE7B"/>
      </colorScale>
    </cfRule>
  </conditionalFormatting>
  <hyperlinks>
    <hyperlink ref="A2" r:id="rId1" display="https://fbref.com/en/country/MTN/Mauritania-Football" xr:uid="{9059823A-5EF0-4EE3-8A01-093879180227}"/>
    <hyperlink ref="I3" r:id="rId2" xr:uid="{4A720BF5-F72D-4D98-AEBD-10749832A3DC}"/>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25601" r:id="rId6"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25602" r:id="rId7"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25603" r:id="rId8"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20D8B-219F-4BF5-9981-54D76A582D47}">
  <sheetPr codeName="Sheet37"/>
  <dimension ref="A1:IY8"/>
  <sheetViews>
    <sheetView zoomScale="70" zoomScaleNormal="70" workbookViewId="0">
      <pane xSplit="5" ySplit="1" topLeftCell="F3" activePane="bottomRight" state="frozen"/>
      <selection pane="topRight" activeCell="F1" sqref="F1"/>
      <selection pane="bottomLeft" activeCell="A2" sqref="A2"/>
      <selection pane="bottomRight" activeCell="M4" sqref="M4"/>
    </sheetView>
  </sheetViews>
  <sheetFormatPr defaultRowHeight="38.4" customHeight="1" x14ac:dyDescent="0.3"/>
  <cols>
    <col min="1" max="1" width="52.44140625" style="81" bestFit="1" customWidth="1"/>
    <col min="2" max="2" width="10.109375" style="81" customWidth="1"/>
    <col min="3" max="3" width="7.44140625" style="82" customWidth="1"/>
    <col min="4" max="4" width="4.77734375" style="83" customWidth="1"/>
    <col min="5" max="5" width="4.5546875" style="83" customWidth="1"/>
    <col min="6" max="6" width="5.77734375" style="83" customWidth="1"/>
    <col min="7" max="7" width="7.44140625" style="81" customWidth="1"/>
    <col min="8" max="8" width="11.44140625" style="81" customWidth="1"/>
    <col min="9" max="9" width="10" style="81" customWidth="1"/>
    <col min="10" max="10" width="4.21875" style="81" customWidth="1"/>
    <col min="11" max="11" width="5.6640625" style="83" customWidth="1"/>
    <col min="12" max="12" width="2.88671875" style="83" customWidth="1"/>
    <col min="13" max="13" width="6.44140625" style="83" customWidth="1"/>
    <col min="14" max="14" width="4.5546875" style="83" customWidth="1"/>
    <col min="15" max="15" width="10.5546875" style="84" customWidth="1"/>
    <col min="16" max="16" width="6.88671875" style="83" customWidth="1"/>
    <col min="17" max="17" width="4.77734375" style="83" customWidth="1"/>
    <col min="18" max="18" width="13.109375" style="82" customWidth="1"/>
    <col min="19" max="19" width="6.77734375" style="82" customWidth="1"/>
    <col min="20" max="46" width="8.44140625" style="81" customWidth="1"/>
    <col min="47" max="47" width="24.5546875" style="81" customWidth="1"/>
    <col min="48" max="51" width="16.6640625" style="81" customWidth="1"/>
    <col min="52" max="52" width="6.5546875" style="81" customWidth="1"/>
    <col min="53" max="54" width="5.88671875" style="81" customWidth="1"/>
    <col min="55" max="55" width="1.33203125" style="81" customWidth="1"/>
    <col min="56" max="56" width="7.44140625" style="81" customWidth="1"/>
    <col min="57" max="57" width="2.33203125" style="81" customWidth="1"/>
    <col min="58" max="62" width="6.109375" style="81" customWidth="1"/>
    <col min="63" max="63" width="2.33203125" style="81" customWidth="1"/>
    <col min="64" max="64" width="7" style="81" bestFit="1" customWidth="1"/>
    <col min="65" max="65" width="6.44140625" style="81" bestFit="1" customWidth="1"/>
    <col min="66" max="66" width="7.109375" style="81" bestFit="1" customWidth="1"/>
    <col min="67" max="71" width="6.44140625" style="81" bestFit="1" customWidth="1"/>
    <col min="72" max="73" width="6.44140625" style="81" customWidth="1"/>
    <col min="74" max="75" width="13.44140625" style="81" customWidth="1"/>
    <col min="76" max="84" width="14.6640625" style="81" customWidth="1"/>
    <col min="85" max="85" width="6.44140625" style="81" customWidth="1"/>
    <col min="86" max="87" width="11.6640625" style="81" bestFit="1" customWidth="1"/>
    <col min="88" max="88" width="11.6640625" style="81" customWidth="1"/>
    <col min="89" max="89" width="12.77734375" style="81" bestFit="1" customWidth="1"/>
    <col min="90" max="90" width="16.44140625" style="82" bestFit="1" customWidth="1"/>
    <col min="91" max="92" width="14.88671875" style="82" bestFit="1" customWidth="1"/>
    <col min="93" max="93" width="16" style="82" bestFit="1" customWidth="1"/>
    <col min="94" max="97" width="7.77734375" style="81" customWidth="1"/>
    <col min="98" max="98" width="33.21875" style="81" customWidth="1"/>
    <col min="99" max="99" width="18" style="81" customWidth="1"/>
    <col min="100" max="100" width="75.6640625" style="81" customWidth="1"/>
    <col min="101" max="125" width="33" style="81" customWidth="1"/>
    <col min="126" max="126" width="8.88671875" style="81"/>
    <col min="127" max="128" width="9.44140625" style="81" bestFit="1" customWidth="1"/>
    <col min="129" max="129" width="10.77734375" style="81" bestFit="1" customWidth="1"/>
    <col min="130" max="134" width="10.77734375" style="81" customWidth="1"/>
    <col min="135" max="135" width="10.109375" style="81" bestFit="1" customWidth="1"/>
    <col min="136" max="136" width="7.77734375" style="81" bestFit="1" customWidth="1"/>
    <col min="137" max="137" width="7.77734375" style="81" customWidth="1"/>
    <col min="138" max="138" width="9" style="81" bestFit="1" customWidth="1"/>
    <col min="139" max="139" width="11.33203125" style="81" bestFit="1" customWidth="1"/>
    <col min="140" max="140" width="9.109375" style="81" bestFit="1" customWidth="1"/>
    <col min="141" max="141" width="9" style="81" bestFit="1" customWidth="1"/>
    <col min="142" max="142" width="12" style="81" bestFit="1" customWidth="1"/>
    <col min="143" max="166" width="12" style="81" customWidth="1"/>
    <col min="167" max="167" width="17.21875" style="81" customWidth="1"/>
    <col min="168" max="191" width="12" style="81" customWidth="1"/>
    <col min="192" max="192" width="8.5546875" style="81" bestFit="1" customWidth="1"/>
    <col min="193" max="193" width="8.5546875" style="81" customWidth="1"/>
    <col min="194" max="194" width="7.109375" style="81" bestFit="1" customWidth="1"/>
    <col min="195" max="195" width="7.5546875" style="81" bestFit="1" customWidth="1"/>
    <col min="196" max="196" width="8.5546875" style="81" bestFit="1" customWidth="1"/>
    <col min="197" max="200" width="8.5546875" style="81" customWidth="1"/>
    <col min="201" max="201" width="188.88671875" style="81" customWidth="1"/>
    <col min="202" max="202" width="9.5546875" style="81" bestFit="1" customWidth="1"/>
    <col min="203" max="203" width="10.44140625" style="81" bestFit="1" customWidth="1"/>
    <col min="204" max="204" width="11.109375" style="81" bestFit="1" customWidth="1"/>
    <col min="205" max="205" width="10.44140625" style="81" bestFit="1" customWidth="1"/>
    <col min="206" max="210" width="10.44140625" style="81" customWidth="1"/>
    <col min="211" max="211" width="45.44140625" style="81" customWidth="1"/>
    <col min="212" max="212" width="47.5546875" style="81" bestFit="1" customWidth="1"/>
    <col min="213" max="213" width="9.33203125" style="85" customWidth="1"/>
    <col min="214" max="214" width="119.5546875" style="81" customWidth="1"/>
    <col min="215" max="215" width="69.6640625" style="81" customWidth="1"/>
    <col min="216" max="218" width="8.88671875" style="81"/>
    <col min="219" max="219" width="37.109375" style="81" customWidth="1"/>
    <col min="220" max="220" width="16.33203125" style="81" customWidth="1"/>
    <col min="221" max="222" width="8.88671875" style="81"/>
    <col min="223" max="223" width="10.109375" style="81" bestFit="1" customWidth="1"/>
    <col min="224" max="232" width="10.88671875" style="81" customWidth="1"/>
    <col min="233" max="234" width="30.77734375" style="81" customWidth="1"/>
    <col min="235" max="235" width="5.109375" style="81" customWidth="1"/>
    <col min="236" max="236" width="3" style="81" customWidth="1"/>
    <col min="237" max="245" width="6.77734375" style="86" customWidth="1"/>
    <col min="246" max="247" width="8.88671875" style="81"/>
    <col min="248" max="248" width="61.5546875" style="81" customWidth="1"/>
    <col min="249" max="253" width="8.88671875" style="81"/>
    <col min="254" max="254" width="9" style="81" customWidth="1"/>
    <col min="255" max="16384" width="8.88671875" style="8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3" spans="1:259" s="48" customFormat="1" ht="38.4" customHeight="1" thickBot="1" x14ac:dyDescent="0.35">
      <c r="A3" s="39" t="s">
        <v>386</v>
      </c>
      <c r="B3" s="40" t="e" vm="88">
        <v>#VALUE!</v>
      </c>
      <c r="C3" s="41">
        <v>1</v>
      </c>
      <c r="D3" s="42" t="s">
        <v>387</v>
      </c>
      <c r="E3" s="43" t="s">
        <v>388</v>
      </c>
      <c r="F3" s="44" t="s">
        <v>163</v>
      </c>
      <c r="G3" s="45">
        <f>COUNTIF($A$1:$A$8382,A3)</f>
        <v>1</v>
      </c>
      <c r="H3" s="46"/>
      <c r="I3" s="47" t="s">
        <v>389</v>
      </c>
      <c r="J3" s="48" t="str">
        <f>""</f>
        <v/>
      </c>
      <c r="K3" s="49">
        <v>23232000</v>
      </c>
      <c r="L3" s="50">
        <v>217000</v>
      </c>
      <c r="M3" s="50" t="s">
        <v>1115</v>
      </c>
      <c r="N3" s="51" t="s">
        <v>180</v>
      </c>
      <c r="O3" s="52" t="s">
        <v>390</v>
      </c>
      <c r="P3" s="53" t="s">
        <v>391</v>
      </c>
      <c r="Q3" s="54">
        <v>1</v>
      </c>
      <c r="R3" s="55" t="s">
        <v>180</v>
      </c>
      <c r="S3" s="56">
        <v>3</v>
      </c>
      <c r="T3" s="57" t="s">
        <v>164</v>
      </c>
      <c r="U3" s="58" t="s">
        <v>164</v>
      </c>
      <c r="V3" s="58" t="s">
        <v>164</v>
      </c>
      <c r="W3" s="58" t="s">
        <v>167</v>
      </c>
      <c r="X3" s="58" t="s">
        <v>164</v>
      </c>
      <c r="Y3" s="58" t="s">
        <v>164</v>
      </c>
      <c r="Z3" s="58" t="s">
        <v>164</v>
      </c>
      <c r="AA3" s="58" t="s">
        <v>164</v>
      </c>
      <c r="AB3" s="58" t="s">
        <v>164</v>
      </c>
      <c r="AC3" s="58" t="s">
        <v>164</v>
      </c>
      <c r="AD3" s="58" t="s">
        <v>164</v>
      </c>
      <c r="AE3" s="58" t="s">
        <v>164</v>
      </c>
      <c r="AF3" s="59" t="s">
        <v>164</v>
      </c>
      <c r="AG3" s="59" t="s">
        <v>164</v>
      </c>
      <c r="AH3" s="59" t="s">
        <v>164</v>
      </c>
      <c r="AI3" s="59" t="s">
        <v>164</v>
      </c>
      <c r="AJ3" s="59" t="s">
        <v>164</v>
      </c>
      <c r="AK3" s="59" t="s">
        <v>167</v>
      </c>
      <c r="AL3" s="59" t="s">
        <v>164</v>
      </c>
      <c r="AM3" s="59" t="s">
        <v>164</v>
      </c>
      <c r="AN3" s="59" t="s">
        <v>164</v>
      </c>
      <c r="AO3" s="59" t="s">
        <v>164</v>
      </c>
      <c r="AP3" s="59" t="s">
        <v>164</v>
      </c>
      <c r="AQ3" s="59" t="s">
        <v>164</v>
      </c>
      <c r="AR3" s="59" t="s">
        <v>164</v>
      </c>
      <c r="AS3" s="59" t="s">
        <v>164</v>
      </c>
      <c r="AT3" s="60">
        <v>0</v>
      </c>
      <c r="AU3" s="59"/>
      <c r="AV3" s="59" t="str">
        <f>IF(LEFT(A3,1)="[",LEFT(A3,5)&amp;AU3&amp;A3,"")</f>
        <v/>
      </c>
      <c r="AW3" s="59" t="str">
        <f t="shared" ref="AW3:AW4" si="0">C3&amp;H3&amp;A3</f>
        <v>1Mali</v>
      </c>
      <c r="AX3" s="61" t="str">
        <f>_xlfn.TEXTJOIN(";",TRUE,AU3:AW3)</f>
        <v>1Mali</v>
      </c>
      <c r="AY3" s="61"/>
      <c r="AZ3" s="62"/>
      <c r="BA3" s="62"/>
      <c r="BB3" s="62"/>
      <c r="BC3" s="63"/>
      <c r="BD3" s="64" t="s">
        <v>169</v>
      </c>
      <c r="BE3" s="47"/>
      <c r="BF3" s="64" t="s">
        <v>153</v>
      </c>
      <c r="BG3" s="64" t="s">
        <v>155</v>
      </c>
      <c r="BH3" s="64" t="s">
        <v>154</v>
      </c>
      <c r="BI3" s="64"/>
      <c r="BJ3" s="64"/>
      <c r="BK3" s="47"/>
      <c r="BL3" s="64" t="s">
        <v>153</v>
      </c>
      <c r="BM3" s="64" t="s">
        <v>155</v>
      </c>
      <c r="BN3" s="64" t="s">
        <v>154</v>
      </c>
      <c r="BO3" s="64"/>
      <c r="BP3" s="64"/>
      <c r="BQ3" s="64"/>
      <c r="BR3" s="64"/>
      <c r="BS3" s="64"/>
      <c r="BT3" s="64"/>
      <c r="BU3" s="65"/>
      <c r="BV3" s="66" t="s">
        <v>165</v>
      </c>
      <c r="BW3" s="66">
        <v>0</v>
      </c>
      <c r="BX3" s="47"/>
      <c r="BZ3" s="48" t="s">
        <v>167</v>
      </c>
      <c r="CB3" s="6" t="s">
        <v>392</v>
      </c>
      <c r="CC3" s="6"/>
      <c r="CD3" s="67">
        <v>0</v>
      </c>
      <c r="CE3" s="67">
        <v>0</v>
      </c>
      <c r="CF3" s="67" t="e">
        <v>#REF!</v>
      </c>
      <c r="CG3" s="68" cm="1">
        <f t="array" ref="CG3">SUMPRODUCT(--(LEN(TRIM(BL3:BT3))&gt;0))</f>
        <v>3</v>
      </c>
      <c r="CH3" s="59" t="str">
        <f>IF(CG3=2,"y","n")</f>
        <v>n</v>
      </c>
      <c r="CI3" s="59" t="str">
        <f>IF(CG3=3,"y","n")</f>
        <v>y</v>
      </c>
      <c r="CJ3" s="59" t="str">
        <f>IF(CG3=4,"y","n")</f>
        <v>n</v>
      </c>
      <c r="CK3" s="59" t="str">
        <f>IF(CG3&gt;4,"y","n")</f>
        <v>n</v>
      </c>
      <c r="CL3" s="59" t="str">
        <f>IF(S3=0,"y","n")</f>
        <v>n</v>
      </c>
      <c r="CM3" s="59" t="str">
        <f>IF(S3=2,"y","n")</f>
        <v>n</v>
      </c>
      <c r="CN3" s="59" t="str">
        <f>IF(S3=3,"y","n")</f>
        <v>y</v>
      </c>
      <c r="CO3" s="59" t="str">
        <f>IF(S3&gt;=4,"y","n")</f>
        <v>n</v>
      </c>
      <c r="CP3" s="59" t="str">
        <f>IF(AT3=0,"y","n")</f>
        <v>y</v>
      </c>
      <c r="CQ3" s="59" t="str">
        <f>IF(AT3=1,"y","n")</f>
        <v>n</v>
      </c>
      <c r="CR3" s="59" t="str">
        <f>IF(AT3=2,"y","n")</f>
        <v>n</v>
      </c>
      <c r="CS3" s="59" t="str">
        <f>IF(AT3&gt;=3,"y","n")</f>
        <v>n</v>
      </c>
      <c r="CT3" s="69" t="str">
        <f>CHAR(34)&amp;A3&amp;CHAR(34)</f>
        <v>"Mali"</v>
      </c>
      <c r="CU3" s="70" t="str">
        <f>CHAR(34)&amp;"rgn_"&amp;R3&amp;CHAR(34)</f>
        <v>"rgn_Africa"</v>
      </c>
      <c r="CV3" s="48" t="str">
        <f>CHAR(34)&amp;D3&amp;CHAR(34)</f>
        <v>"https://i.ibb.co/0QjM3wg/Mali-Flag.png"</v>
      </c>
      <c r="CW3" s="48" t="str">
        <f>IF(CH3="y",CHAR(34)&amp;CH$1&amp;CHAR(34)&amp;",","")</f>
        <v/>
      </c>
      <c r="CX3" s="48" t="str">
        <f>IF(CI3="y",CHAR(34)&amp;CI$1&amp;CHAR(34)&amp;",","")</f>
        <v>"3Color",</v>
      </c>
      <c r="CY3" s="48" t="str">
        <f>IF(CJ3="y",CHAR(34)&amp;CJ$1&amp;CHAR(34)&amp;",","")</f>
        <v/>
      </c>
      <c r="CZ3" s="48" t="str">
        <f>IF(CK3="y",CHAR(34)&amp;CK$1&amp;CHAR(34)&amp;",","")</f>
        <v/>
      </c>
      <c r="DA3" s="48" t="str">
        <f>IF(Q3&gt;1,CHAR(34)&amp;"words2"&amp;CHAR(34)&amp;",","")</f>
        <v/>
      </c>
      <c r="DB3" s="48" t="str">
        <f>IF(Q3&gt;2,CHAR(34)&amp;"words3"&amp;CHAR(34)&amp;",","")</f>
        <v/>
      </c>
      <c r="DC3" s="48" t="str">
        <f>IF(Q3=2,CHAR(34)&amp;"exact2"&amp;CHAR(34)&amp;",","")</f>
        <v/>
      </c>
      <c r="DD3" s="48" t="str">
        <f>IF(LEN(CHAR(34)&amp;"lets"&amp;LEN(SUBSTITUTE(SUBSTITUTE(IFERROR(TRIM(SUBSTITUTE(SUBSTITUTE(SUBSTITUTE(IFERROR(TRIM(SUBSTITUTE(A3,MID(A3,FIND("(",A3),FIND(")",A3)-FIND("(",A3)+1),"")),A3),"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",""),"-",""))&amp;CHAR(34)&amp;",")=9,CHAR(34)&amp;"lets"&amp;LEN(SUBSTITUTE(SUBSTITUTE(IFERROR(TRIM(SUBSTITUTE(SUBSTITUTE(SUBSTITUTE(IFERROR(TRIM(SUBSTITUTE(A3,MID(A3,FIND("(",A3),FIND(")",A3)-FIND("(",A3)+1),"")),A3),"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",""),"-",""))&amp;CHAR(34)&amp;",",CHAR(34)&amp;"lets0"&amp;LEN(SUBSTITUTE(SUBSTITUTE(IFERROR(TRIM(SUBSTITUTE(SUBSTITUTE(SUBSTITUTE(IFERROR(TRIM(SUBSTITUTE(A3,MID(A3,FIND("(",A3),FIND(")",A3)-FIND("(",A3)+1),"")),A3),"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f>
        <v>"lets04",</v>
      </c>
      <c r="DE3" s="48" t="str">
        <f>IFERROR(CHAR(34)&amp;"start"&amp;LEFT(TRIM(SUBSTITUTE(SUBSTITUTE(TRIM(SUBSTITUTE(SUBSTITUTE(A3, MID(A3, FIND("[", A3), FIND("]", A3) - FIND("[", A3) + 1), ""), "  ", " ")), MID(TRIM(SUBSTITUTE(SUBSTITUTE(A3, MID(A3, FIND("[", A3), FIND("]", A3) - FIND("[", A3) + 1), ""), "  ", " ")), FIND("[", TRIM(SUBSTITUTE(SUBSTITUTE(A3, MID(A3, FIND("[", A3), FIND("]", A3) - FIND("[", A3) + 1), ""), "  ", " "))), FIND("]", TRIM(SUBSTITUTE(SUBSTITUTE(A3, MID(A3, FIND("[", A3), FIND("]", A3) - FIND("[", A3) + 1), ""), "  ", " "))) - FIND("[", TRIM(SUBSTITUTE(SUBSTITUTE(A3, MID(A3, FIND("[", A3), FIND("]", A3) - FIND("[", A3) + 1), ""), "  ", " "))) + 1), ""), "  ", " ")),1)&amp;CHAR(34)&amp;",",CHAR(34)&amp;"start"&amp;IFERROR(LEFT(SUBSTITUTE(A3,"["&amp;MID(A3,FIND("[",A3)+1,FIND("]",A3)-FIND("[",A3)-1)&amp;"] ",""),1),LEFT(A3,1))&amp;CHAR(34)&amp;",")</f>
        <v>"startM",</v>
      </c>
      <c r="DF3" s="48" t="str">
        <f>IFERROR(IF(SEARCH("tan",A3)&gt;0,CHAR(34)&amp;"withtn"&amp;CHAR(34)&amp;",",""),"")</f>
        <v/>
      </c>
      <c r="DG3" s="48" t="str">
        <f>IFERROR(IF(SEARCH("q",A3)&gt;0,CHAR(34)&amp;"with_q"&amp;CHAR(34)&amp;",",""),"")</f>
        <v/>
      </c>
      <c r="DH3" s="48" t="str">
        <f>IFERROR(IF(SEARCH("v",A3)&gt;0,CHAR(34)&amp;"with_v"&amp;CHAR(34)&amp;",",""),"")</f>
        <v/>
      </c>
      <c r="DI3" s="48" t="str">
        <f>IFERROR(IF(SEARCH("w",A3)&gt;0,CHAR(34)&amp;"with_w"&amp;CHAR(34)&amp;",",""),"")</f>
        <v/>
      </c>
      <c r="DJ3" s="48" t="str">
        <f>IFERROR(IF(SEARCH("y",A3)&gt;0,CHAR(34)&amp;"with_y"&amp;CHAR(34)&amp;",",""),"")</f>
        <v/>
      </c>
      <c r="DK3" s="48" t="str">
        <f>IFERROR(IF(SEARCH("z",A3)&gt;0,CHAR(34)&amp;"with_z"&amp;CHAR(34)&amp;",",""),"")</f>
        <v/>
      </c>
      <c r="DL3" s="48" t="str">
        <f>IF(CG3=2, CHAR(34) &amp; _xlfn.TEXTJOIN("", TRUE, _xlfn._xlws.SORT(HP3:HX3)) &amp; CHAR(34) &amp; ",", "")</f>
        <v/>
      </c>
      <c r="DM3" s="48" t="str" cm="1">
        <f t="array" ref="DM3">IF(CG3=3,CHAR(34) &amp; _xlfn.TEXTJOIN("", TRUE, RIGHT(HP3:HX3, 2)) &amp; CHAR(34) &amp; ",", "")</f>
        <v>"REEDEL",</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"year19",</v>
      </c>
      <c r="DP3" s="6" t="str">
        <f>IF(AND(ISNUMBER(SEARCH("20", O3)), ISERROR(SEARCH("1920", O3))), CHAR(34)&amp;"year00"&amp;CHAR(34)&amp;",", "")</f>
        <v/>
      </c>
      <c r="DQ3" s="6" t="str">
        <f>IF(CC3="y",CHAR(34)&amp;"soviet"&amp;CHAR(34)&amp;",","")</f>
        <v/>
      </c>
      <c r="DR3" s="6" t="str">
        <f>IF(BY3="y",CHAR(34)&amp;"dgband"&amp;CHAR(34)&amp;",","")</f>
        <v/>
      </c>
      <c r="DS3" s="6" t="str">
        <f>IF(W3="y",IF(AND(V3="n",BY3&lt;&gt;"y"),CHAR(34)&amp;"allver"&amp;CHAR(34)&amp;",",""),"")</f>
        <v>"allver",</v>
      </c>
      <c r="DT3" s="6" t="str">
        <f>IF(V3="y",IF(AND(W3="n",BY3&lt;&gt;"y"),CHAR(34)&amp;"allhor"&amp;CHAR(34)&amp;",",""),"")</f>
        <v/>
      </c>
      <c r="DU3" s="6" t="str">
        <f>IF(BY3="y",IF(AND(W3="n",V3="n"),CHAR(34)&amp;"alldia"&amp;CHAR(34)&amp;",",""),"")</f>
        <v/>
      </c>
      <c r="DV3" s="48" t="str">
        <f>IF(IA3&lt;&gt;"",(IF(IA3="y",CHAR(34)&amp;"largec"&amp;CHAR(34)&amp;",",CHAR(34)&amp;"smallc"&amp;CHAR(34)&amp;",")),"")</f>
        <v/>
      </c>
      <c r="DW3" s="48" t="str">
        <f>IF(CL3="y",CHAR(34)&amp;CL$1&amp;CHAR(34)&amp;",","")</f>
        <v/>
      </c>
      <c r="DX3" s="48" t="str">
        <f>IF(CM3="y",CHAR(34)&amp;CM$1&amp;CHAR(34)&amp;",","")</f>
        <v/>
      </c>
      <c r="DY3" s="48" t="str">
        <f>IF(CN3="y",CHAR(34)&amp;CN$1&amp;CHAR(34)&amp;",","")</f>
        <v>"3Bands",</v>
      </c>
      <c r="DZ3" s="48" t="str">
        <f>IF(CO3="y",CHAR(34)&amp;CO$1&amp;CHAR(34)&amp;",","")</f>
        <v/>
      </c>
      <c r="EA3" s="48" t="str">
        <f>IF(T3="y",CHAR(34)&amp;T$1&amp;CHAR(34)&amp;",","")</f>
        <v/>
      </c>
      <c r="EB3" s="48" t="str">
        <f>IF(U3="y",CHAR(34)&amp;U$1&amp;CHAR(34)&amp;",","")</f>
        <v/>
      </c>
      <c r="EC3" s="48" t="str">
        <f>IF(V3="y",CHAR(34)&amp;V$1&amp;CHAR(34)&amp;",","")</f>
        <v/>
      </c>
      <c r="ED3" s="48" t="str">
        <f>IF(W3="y",CHAR(34)&amp;W$1&amp;CHAR(34)&amp;",","")</f>
        <v>"Vertic",</v>
      </c>
      <c r="EE3" s="48" t="str">
        <f>IF(X3="y",CHAR(34)&amp;X$1&amp;CHAR(34)&amp;",","")</f>
        <v/>
      </c>
      <c r="EF3" s="48" t="str">
        <f>IF(AND(Y3&lt;&gt;"n",Y3&lt;&gt;""),CHAR(34)&amp;Y$1&amp;CHAR(34)&amp;",","")</f>
        <v/>
      </c>
      <c r="EG3" s="48" t="str">
        <f>IF(Z3="y",CHAR(34)&amp;Z$1&amp;CHAR(34)&amp;",","")</f>
        <v/>
      </c>
      <c r="EH3" s="48" t="str">
        <f>IF(AA3="y",CHAR(34)&amp;AA$1&amp;CHAR(34)&amp;",","")</f>
        <v/>
      </c>
      <c r="EI3" s="48" t="str">
        <f>IF(AB3="y",CHAR(34)&amp;AB$1&amp;CHAR(34)&amp;",","")</f>
        <v/>
      </c>
      <c r="EJ3" s="48" t="str">
        <f>IF(AC3="y",CHAR(34)&amp;AC$1&amp;CHAR(34)&amp;",","")</f>
        <v/>
      </c>
      <c r="EK3" s="48" t="str">
        <f>IF(AD3="y",CHAR(34)&amp;AD$1&amp;CHAR(34)&amp;",","")</f>
        <v/>
      </c>
      <c r="EL3" s="48" t="str">
        <f>IF(AE3="y",CHAR(34)&amp;AE$1&amp;CHAR(34)&amp;",","")</f>
        <v/>
      </c>
      <c r="EM3" s="48" t="str">
        <f>IF(AF3="y",CHAR(34)&amp;AF$1&amp;CHAR(34)&amp;",","")</f>
        <v/>
      </c>
      <c r="EN3" s="48" t="str">
        <f>IF(AG3="y",CHAR(34)&amp;AG$1&amp;CHAR(34)&amp;",","")</f>
        <v/>
      </c>
      <c r="EO3" s="48" t="str">
        <f>IF(AH3="y",CHAR(34)&amp;AH$1&amp;CHAR(34)&amp;",","")</f>
        <v/>
      </c>
      <c r="EP3" s="48" t="str">
        <f>IF(AI3="y",CHAR(34)&amp;AI$1&amp;CHAR(34)&amp;",","")</f>
        <v/>
      </c>
      <c r="EQ3" s="48" t="str">
        <f>IF(AJ3="y",CHAR(34)&amp;AJ$1&amp;CHAR(34)&amp;",","")</f>
        <v/>
      </c>
      <c r="ER3" s="48" t="str">
        <f>IF(AK3="y",CHAR(34)&amp;AK$1&amp;CHAR(34)&amp;",","")</f>
        <v>"OnlyBa",</v>
      </c>
      <c r="ES3" s="48" t="str">
        <f>IF(AL3="y",CHAR(34)&amp;AL$1&amp;CHAR(34)&amp;",","")</f>
        <v/>
      </c>
      <c r="ET3" s="48" t="str">
        <f>IF(AM3="y",CHAR(34)&amp;AM$1&amp;CHAR(34)&amp;",","")</f>
        <v/>
      </c>
      <c r="EU3" s="48" t="str">
        <f>IF(AN3="y",CHAR(34)&amp;AN$1&amp;CHAR(34)&amp;",","")</f>
        <v/>
      </c>
      <c r="EV3" s="48" t="str">
        <f>IF(AO3="y",CHAR(34)&amp;AO$1&amp;CHAR(34)&amp;",","")</f>
        <v/>
      </c>
      <c r="EW3" s="48" t="str">
        <f>IF(AP3="y",CHAR(34)&amp;AP$1&amp;CHAR(34)&amp;",","")</f>
        <v/>
      </c>
      <c r="EX3" s="48" t="str">
        <f>IF(AQ3="y",CHAR(34)&amp;AQ$1&amp;CHAR(34)&amp;",","")</f>
        <v/>
      </c>
      <c r="EY3" s="48" t="str">
        <f>IF(AR3="y",CHAR(34)&amp;AR$1&amp;CHAR(34)&amp;",","")</f>
        <v/>
      </c>
      <c r="EZ3" s="48" t="str">
        <f>IF(AS3="y",CHAR(34)&amp;AS$1&amp;CHAR(34)&amp;",","")</f>
        <v/>
      </c>
      <c r="FA3" s="48" t="str">
        <f>IF(AT3&gt;0,CHAR(34)&amp;"sta"&amp;AZ3&amp;CHAR(34)&amp;",","")</f>
        <v/>
      </c>
      <c r="FB3" s="48" t="str">
        <f>IF(AND(AT3&gt;0,BA3&lt;&gt;""),CHAR(34)&amp;"sta"&amp;BA3&amp;CHAR(34)&amp;",","")</f>
        <v/>
      </c>
      <c r="FC3" s="48" t="str">
        <f>IF(AND(AT3&gt;0,BB3&lt;&gt;""),CHAR(34)&amp;"sta"&amp;BB3&amp;CHAR(34)&amp;",","")</f>
        <v/>
      </c>
      <c r="FD3" s="48" t="str">
        <f>IF(BV3="n",CHAR(34)&amp;"tcWHYE"&amp;CHAR(34)&amp;",",IF(BV3="y",CHAR(34)&amp;FD$1&amp;CHAR(34)&amp;",",""))</f>
        <v/>
      </c>
      <c r="FE3" s="48" t="str">
        <f>IF(COUNTIF(BL3:BT3,"BLU")=0,CHAR(34)&amp;"NO_BLU"&amp;CHAR(34)&amp;",", "")</f>
        <v>"NO_BLU",</v>
      </c>
      <c r="FF3" s="48" t="str">
        <f>IF(COUNTIF(BL3:BT3,"WHI")=0,CHAR(34)&amp;"NO_WHI"&amp;CHAR(34)&amp;",", "")</f>
        <v>"NO_WHI",</v>
      </c>
      <c r="FG3" s="48" t="str">
        <f>IF(COUNTIF(BL3:BT3,"RED")=0,CHAR(34)&amp;"NO_RED"&amp;CHAR(34)&amp;",", "")</f>
        <v/>
      </c>
      <c r="FH3" s="48" t="str">
        <f>IF(COUNTIF(BL3:BS3,"GRE")=0,CHAR(34)&amp;"NO_GRE"&amp;CHAR(34)&amp;",", "")</f>
        <v/>
      </c>
      <c r="FI3" s="48" t="str">
        <f>IF(COUNTIF(BL3:BT3,"YEL")=0,CHAR(34)&amp;"NO_YEL"&amp;CHAR(34)&amp;",", "")</f>
        <v/>
      </c>
      <c r="FJ3" s="48" t="str">
        <f>IF(COUNTIF(BL3:BT3,"BLA")=0,CHAR(34)&amp;"NO_BLA"&amp;CHAR(34)&amp;",", "")</f>
        <v>"NO_BLA",</v>
      </c>
      <c r="FK3" s="48" t="str">
        <f>IF(AND(FH3&lt;&gt;"",FF3&lt;&gt;""),CHAR(34)&amp;"WHGRNO"&amp;CHAR(34)&amp;",","")</f>
        <v/>
      </c>
      <c r="FL3" s="48" t="str">
        <f>IF(AND(FI3&lt;&gt;"",FF3&lt;&gt;""),CHAR(34)&amp;"WHYENO"&amp;CHAR(34)&amp;",","")</f>
        <v/>
      </c>
      <c r="FM3" s="48" t="str">
        <f>IF(AND(FJ3&lt;&gt;"",FF3&lt;&gt;""),CHAR(34)&amp;"BAWHNO"&amp;CHAR(34)&amp;",","")</f>
        <v>"BAWHNO",</v>
      </c>
      <c r="FN3" s="48" t="str">
        <f>IF(AND(FE3&lt;&gt;"",FF3&lt;&gt;""),CHAR(34)&amp;"BLWHNO"&amp;CHAR(34)&amp;",","")</f>
        <v>"BLWHNO",</v>
      </c>
      <c r="FO3" s="48" t="str">
        <f>IF(AND(FE3&lt;&gt;"",FG3&lt;&gt;""),CHAR(34)&amp;"BLRENO"&amp;CHAR(34)&amp;",","")</f>
        <v/>
      </c>
      <c r="FP3" s="48" t="str">
        <f>IF(AND(FF3&lt;&gt;"",FF3&lt;&gt;""),CHAR(34)&amp;"WHRENO"&amp;CHAR(34)&amp;",","")</f>
        <v>"WHRENO",</v>
      </c>
      <c r="FQ3" s="48" t="str">
        <f>IF(LEN(BF3)=3,CHAR(34)&amp;"001"&amp;BF3&amp;CHAR(34)&amp;",","")</f>
        <v>"001GRE",</v>
      </c>
      <c r="FR3" s="48" t="str">
        <f>IF(LEN(BG3)=3,CHAR(34)&amp;"002"&amp;BG3&amp;CHAR(34)&amp;",","")</f>
        <v>"002YEL",</v>
      </c>
      <c r="FS3" s="48" t="str">
        <f>IF(LEN(BH3)=3,CHAR(34)&amp;"003"&amp;BH3&amp;CHAR(34)&amp;",","")</f>
        <v>"003RED",</v>
      </c>
      <c r="FT3" s="48" t="str">
        <f>CHAR(34)&amp;"myr"&amp;BD3&amp;CHAR(34)&amp;","</f>
        <v>"myrEQ",</v>
      </c>
      <c r="FU3" s="48" t="str">
        <f>IF(AY3="y",CHAR(34)&amp;"island"&amp;CHAR(34)&amp;",","")</f>
        <v/>
      </c>
      <c r="FV3" s="48" t="str">
        <f>IF(BZ3="y",CHAR(34)&amp;"landlo"&amp;CHAR(34)&amp;",","")</f>
        <v>"landlo",</v>
      </c>
      <c r="FW3" s="48" t="str">
        <f>IF(CA3="y",CHAR(34)&amp;"eunion"&amp;CHAR(34)&amp;",","")</f>
        <v/>
      </c>
      <c r="FX3" s="48" t="str">
        <f>SUBSTITUTE(IFERROR(SEARCH("[",A3),IFERROR(IF(AND(CA3&lt;&gt;"y",SEARCH("Europe",R3)&gt;0),CHAR(34)&amp;"noeuni"&amp;CHAR(34)&amp;",",""),"")),"1","")</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C3" s="48" t="str">
        <f>IFERROR(IF(SEARCH("Portuguese",CB3)&gt;0,CHAR(34)&amp;"portug"&amp;CHAR(34)&amp;",",""),"")</f>
        <v/>
      </c>
      <c r="GD3" s="48" t="str">
        <f>IFERROR(IF(SEARCH("German",CB3)&gt;0,CHAR(34)&amp;"german"&amp;CHAR(34)&amp;",",""),"")</f>
        <v/>
      </c>
      <c r="GE3" s="48" t="str">
        <f>IFERROR(IF(SEARCH("Dutch",CB3)&gt;0,CHAR(34)&amp;"dutchs"&amp;CHAR(34)&amp;",",""),"")</f>
        <v/>
      </c>
      <c r="GF3" s="48" t="str">
        <f>IFERROR(IF(SEARCH("Histor",AU3)&gt;0,CHAR(34)&amp;"histor"&amp;CHAR(34)&amp;",",""),"")</f>
        <v/>
      </c>
      <c r="GG3" s="48" t="str">
        <f>IF(BU3="y",CHAR(34)&amp;"unjack"&amp;CHAR(34)&amp;",","")</f>
        <v/>
      </c>
      <c r="GH3" s="48" t="str">
        <f>IF(CD3=1,CHAR(34)&amp;"southc"&amp;CHAR(34)&amp;",","")</f>
        <v/>
      </c>
      <c r="GI3" s="48" t="str">
        <f>IF(CE3=1,CHAR(34)&amp;"hasmap"&amp;CHAR(34)&amp;",","")</f>
        <v/>
      </c>
      <c r="GJ3" s="48" t="str">
        <f>IF(CP3="y",CHAR(34)&amp;CP$1&amp;CHAR(34)&amp;",","")</f>
        <v>"NoStar",</v>
      </c>
      <c r="GK3" s="48" t="str">
        <f>IF(GJ3="",CHAR(34)&amp;"HasSta"&amp;CHAR(34)&amp;",","")</f>
        <v/>
      </c>
      <c r="GL3" s="48" t="str">
        <f>IF(CQ3="y",CHAR(34)&amp;CQ$1&amp;CHAR(34)&amp;",","")</f>
        <v/>
      </c>
      <c r="GM3" s="48" t="str">
        <f>IF(CR3="y",CHAR(34)&amp;CR$1&amp;CHAR(34)&amp;",","")</f>
        <v/>
      </c>
      <c r="GN3" s="48" t="str">
        <f>IF(CS3="y",CHAR(34)&amp;CS$1&amp;CHAR(34)&amp;",","")</f>
        <v/>
      </c>
      <c r="GP3" s="48" t="str">
        <f>CHAR(34)&amp;AU3&amp;CHAR(34)</f>
        <v>""</v>
      </c>
      <c r="GS3" s="48" t="str">
        <f>SUBSTITUTE("["&amp;_xlfn.CONCAT(CW3:GN3)&amp;"]",",]","]")</f>
        <v>["3Color","lets04","startM","REEDEL","year19","allver","3Bands","Vertic","OnlyBa","NO_BLU","NO_WHI","NO_BLA","BAWHNO","BLWHNO","WHRENO","001GRE","002YEL","003RED","myrEQ","landlo","NoStar"]</v>
      </c>
      <c r="GT3" s="48" t="str">
        <f>IF(BL3&lt;&gt;"",CHAR(34)&amp;"cl_"&amp;BL3&amp;CHAR(34)&amp;",","")</f>
        <v>"cl_GRE",</v>
      </c>
      <c r="GU3" s="48" t="str">
        <f>IF(BM3&lt;&gt;"",CHAR(34)&amp;"cl_"&amp;BM3&amp;CHAR(34)&amp;",","")</f>
        <v>"cl_YEL",</v>
      </c>
      <c r="GV3" s="48" t="str">
        <f>IF(BN3&lt;&gt;"",CHAR(34)&amp;"cl_"&amp;BN3&amp;CHAR(34)&amp;",","")</f>
        <v>"cl_RED",</v>
      </c>
      <c r="GW3" s="48" t="str">
        <f>IF(BO3&lt;&gt;"",CHAR(34)&amp;"cl_"&amp;BO3&amp;CHAR(34)&amp;",","")</f>
        <v/>
      </c>
      <c r="GX3" s="48" t="str">
        <f>IF(BP3&lt;&gt;"",CHAR(34)&amp;"cl_"&amp;BP3&amp;CHAR(34)&amp;",","")</f>
        <v/>
      </c>
      <c r="GY3" s="48" t="str">
        <f>IF(BQ3&lt;&gt;"",CHAR(34)&amp;"cl_"&amp;BQ3&amp;CHAR(34)&amp;",","")</f>
        <v/>
      </c>
      <c r="GZ3" s="48" t="str">
        <f>IF(BR3&lt;&gt;"",CHAR(34)&amp;"cl_"&amp;BR3&amp;CHAR(34)&amp;",","")</f>
        <v/>
      </c>
      <c r="HA3" s="48" t="str">
        <f>IF(BS3&lt;&gt;"",CHAR(34)&amp;"cl_"&amp;BS3&amp;CHAR(34)&amp;",","")</f>
        <v/>
      </c>
      <c r="HB3" s="48" t="str">
        <f>IF(BT3&lt;&gt;"",CHAR(34)&amp;"cl_"&amp;BT3&amp;CHAR(34)&amp;",","")</f>
        <v/>
      </c>
      <c r="HC3" s="48" t="str">
        <f>SUBSTITUTE("["&amp;_xlfn.CONCAT(GT3:HB3)&amp;"]",",]","]")</f>
        <v>["cl_GRE","cl_YEL","cl_RED"]</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{couname:"Mali",year:"1959 ",region:"rgn_Africa",Colors:["cl_GRE","cl_YEL","cl_RED"],Items:["3Color","lets04","startM","REEDEL","year19","allver","3Bands","Vertic","OnlyBa","NO_BLU","NO_WHI","NO_BLA","BAWHNO","BLWHNO","WHRENO","001GRE","002YEL","003RED","myrEQ","landlo","NoStar"],Flag:"https://i.ibb.co/0QjM3wg/Mali-Flag.png",HDFlag:"https://upload.wikimedia.org/wikipedia/commons/thumb/9/92/Flag_of_Mali.svg/2560px-Flag_of_Mali.svg.png",type:"", describe: "\nThe green stands for fertility of the land, gold stands for purity and mineral wealth, and the red symbolizes the blood shed for independence from the French.", isnew:".", links: "https://en.wikipedia.org/wiki/Flag_of_Mali"},</v>
      </c>
      <c r="HG3" s="73" t="str">
        <f>"{couname:"&amp;CT3&amp;(IF(HK3&lt;&gt;"",",subtype:"&amp;CHAR(34)&amp;HK3&amp;CHAR(34),""))&amp;",year:"&amp;HJ3&amp;",region:"&amp;CU3&amp;",Colors:"&amp;HC3&amp;",Items:"&amp;GS3&amp;",Flag:"&amp;CV3&amp;",HDFlag:"&amp;CHAR(34)&amp;E3&amp;CHAR(34)&amp;",type:"&amp;GP3&amp;", describe: "&amp;HI3&amp;", links: "&amp;HL3&amp;"},"</f>
        <v>{couname:"Mali",year:"1959 ",region:"rgn_Africa",Colors:["cl_GRE","cl_YEL","cl_RED"],Items:["3Color","lets04","startM","REEDEL","year19","allver","3Bands","Vertic","OnlyBa","NO_BLU","NO_WHI","NO_BLA","BAWHNO","BLWHNO","WHRENO","001GRE","002YEL","003RED","myrEQ","landlo","NoStar"],Flag:"https://i.ibb.co/0QjM3wg/Mali-Flag.png",HDFlag:"https://upload.wikimedia.org/wikipedia/commons/thumb/9/92/Flag_of_Mali.svg/2560px-Flag_of_Mali.svg.png",type:"", describe: "\nThe green stands for fertility of the land, gold stands for purity and mineral wealth, and the red symbolizes the blood shed for independence from the French.", links: "https://en.wikipedia.org/wiki/Flag_of_Mali"},</v>
      </c>
      <c r="HH3" s="48" t="str">
        <f>IF(P3&lt;&gt;"",CHAR(34)&amp;"\n"&amp;P3&amp;CHAR(34),CHAR(34)&amp;CHAR(34))</f>
        <v>"\nThe green stands for fertility of the land, gold stands for purity and mineral wealth, and the red symbolizes the blood shed for independence from the French."</v>
      </c>
      <c r="HI3" s="48" t="str">
        <f>IF(J3=0,CHAR(34)&amp;CHAR(34),HH3)</f>
        <v>"\nThe green stands for fertility of the land, gold stands for purity and mineral wealth, and the red symbolizes the blood shed for independence from the French."</v>
      </c>
      <c r="HJ3" s="48" t="str">
        <f>CHAR(34)&amp;O3&amp;CHAR(34)</f>
        <v>"1959 "</v>
      </c>
      <c r="HL3" s="48" t="str">
        <f>CHAR(34)&amp;I3&amp;CHAR(34)</f>
        <v>"https://en.wikipedia.org/wiki/Flag_of_Mali"</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{"couname":"Mali","year":"1959 ","region":"rgn_Africa","Colors":["cl_GRE","cl_YEL","cl_RED"],"Items":["3Color","lets04","startM","REEDEL","year19","allver","3Bands","Vertic","OnlyBa","NO_BLU","NO_WHI","NO_BLA","BAWHNO","BLWHNO","WHRENO","001GRE","002YEL","003RED","myrEQ","landlo","NoStar"],"Flag":"https://i.ibb.co/0QjM3wg/Mali-Flag.png","HDFlag":"https://upload.wikimedia.org/wikipedia/commons/thumb/9/92/Flag_of_Mali.svg/2560px-Flag_of_Mali.svg.png","type":"", "describe": "\nThe green stands for fertility of the land, gold stands for purity and mineral wealth, and the red symbolizes the blood shed for independence from the French.", "isnew": ".", "links": "https://en.wikipedia.org/wiki/Flag_of_Mali"},</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{"couname":"Mali","year":"1959 ","region":"rgn_Africa","Colors":["cl_GRE","cl_YEL","cl_RED"],"Items":["3Color","lets04","startM","REEDEL","year19","allver","3Bands","Vertic","OnlyBa","NO_BLU","NO_WHI","NO_BLA","BAWHNO","BLWHNO","WHRENO","001GRE","002YEL","003RED","myrEQ","landlo","NoStar"],"Flag":"https://i.ibb.co/0QjM3wg/Mali-Flag.png","HDFlag":"https://upload.wikimedia.org/wikipedia/commons/thumb/9/92/Flag_of_Mali.svg/2560px-Flag_of_Mali.svg.png","type":"", "describe": "\nThe green stands for fertility of the land, gold stands for purity and mineral wealth, and the red symbolizes the blood shed for independence from the French.", "isnew": ".", "links": "https://en.wikipedia.org/wiki/Flag_of_Mali"},</v>
      </c>
      <c r="HO3" s="75"/>
      <c r="HP3" s="48" t="str" cm="1">
        <f t="array" ref="HP3">IF(_xlfn.TEXTJOIN(", ", TRUE, IF(ISNUMBER(SEARCH("BLA", BL3:BT3)), COLUMN(BL3:BT3) - COLUMN(BL3) + 1, ""))&lt;&gt;"","BLA","")</f>
        <v/>
      </c>
      <c r="HQ3" s="48" t="str" cm="1">
        <f t="array" ref="HQ3">IF(_xlfn.TEXTJOIN(", ", TRUE, IF(ISNUMBER(SEARCH("BLU", BL3:BT3)), COLUMN(BL3:BT3) - COLUMN(BL3) + 1, ""))&lt;&gt;"","BLU","")</f>
        <v/>
      </c>
      <c r="HR3" s="48" t="str" cm="1">
        <f t="array" ref="HR3">IF(_xlfn.TEXTJOIN(", ", TRUE, IF(ISNUMBER(SEARCH("GRE", BL3:BT3)), COLUMN(BL3:BT3) - COLUMN(BL3) + 1, ""))&lt;&gt;"","GRE","")</f>
        <v>GRE</v>
      </c>
      <c r="HS3" s="48" t="str" cm="1">
        <f t="array" ref="HS3">IF(_xlfn.TEXTJOIN(", ", TRUE, IF(ISNUMBER(SEARCH("RED", BL3:BT3)), COLUMN(BL3:BT3) - COLUMN(BL3) + 1, ""))&lt;&gt;"","RED","")</f>
        <v>RED</v>
      </c>
      <c r="HT3" s="48" t="str" cm="1">
        <f t="array" ref="HT3">IF(_xlfn.TEXTJOIN(", ", TRUE, IF(ISNUMBER(SEARCH("YEL", BL3:BT3)), COLUMN(BL3:BT3) - COLUMN(BL3) + 1, ""))&lt;&gt;"","YEL","")</f>
        <v>YEL</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
      </c>
      <c r="HY3" s="76"/>
      <c r="HZ3" s="76"/>
      <c r="IA3" s="6"/>
      <c r="IB3" s="6"/>
      <c r="IC3" s="77"/>
      <c r="ID3" s="77"/>
      <c r="IE3" s="77"/>
      <c r="IF3" s="77"/>
      <c r="IG3" s="77"/>
      <c r="IH3" s="77"/>
      <c r="II3" s="77"/>
      <c r="IJ3" s="77"/>
      <c r="IK3" s="77"/>
      <c r="IL3" s="48">
        <f>SUM(IC3:IK3)</f>
        <v>0</v>
      </c>
      <c r="IM3" s="45">
        <f>COUNTIF(IC3:IK3,"&gt;0")-CG3</f>
        <v>-3</v>
      </c>
      <c r="IN3" s="78" t="str">
        <f>"http://mkweb.bcgsc.ca/color-summarizer/?url="&amp;D3&amp;"&amp;precision=low&amp;num_clusters="&amp;CG3&amp;"&amp;text=1"</f>
        <v>http://mkweb.bcgsc.ca/color-summarizer/?url=https://i.ibb.co/0QjM3wg/Mali-Flag.png&amp;precision=low&amp;num_clusters=3&amp;text=1</v>
      </c>
      <c r="IO3" s="48" t="str">
        <f>IF(HP3&lt;&gt;"",CHAR(34)&amp;"black"&amp;CHAR(34),"")</f>
        <v/>
      </c>
      <c r="IP3" s="48" t="str">
        <f>IF(HQ3&lt;&gt;"",CHAR(34)&amp;"blue"&amp;CHAR(34),"")</f>
        <v/>
      </c>
      <c r="IQ3" s="48" t="str">
        <f>IF(HR3&lt;&gt;"",CHAR(34)&amp;"green"&amp;CHAR(34),"")</f>
        <v>"green"</v>
      </c>
      <c r="IR3" s="48" t="str">
        <f>IF(HS3&lt;&gt;"",CHAR(34)&amp;"red"&amp;CHAR(34),"")</f>
        <v>"red"</v>
      </c>
      <c r="IS3" s="48" t="str">
        <f>IF(HT3&lt;&gt;"",CHAR(34)&amp;"yellow"&amp;CHAR(34),"")</f>
        <v>"yellow"</v>
      </c>
      <c r="IT3" s="48" t="str">
        <f>IF(HU3&lt;&gt;"",CHAR(34)&amp;"orange"&amp;CHAR(34),"")</f>
        <v/>
      </c>
      <c r="IU3" s="48" t="str">
        <f>IF(HV3&lt;&gt;"",CHAR(34)&amp;"brown"&amp;CHAR(34),"")</f>
        <v/>
      </c>
      <c r="IV3" s="48" t="str">
        <f>IF(HW3&lt;&gt;"",CHAR(34)&amp;"purple"&amp;CHAR(34),"")</f>
        <v/>
      </c>
      <c r="IW3" s="48" t="str">
        <f>IF(HX3&lt;&gt;"",CHAR(34)&amp;"white"&amp;CHAR(34),"")</f>
        <v/>
      </c>
      <c r="IX3" s="48" t="str">
        <f>"{"&amp;CHAR(34)&amp;"url"&amp;CHAR(34)&amp;":"&amp;CHAR(34)&amp;IN3&amp;CHAR(34)&amp;","&amp;CHAR(34)&amp;"name"&amp;CHAR(34)&amp;":"&amp;CHAR(34)&amp;A3&amp;CHAR(34)&amp;"},"</f>
        <v>{"url":"http://mkweb.bcgsc.ca/color-summarizer/?url=https://i.ibb.co/0QjM3wg/Mali-Flag.png&amp;precision=low&amp;num_clusters=3&amp;text=1","name":"Mali"},</v>
      </c>
      <c r="IY3" s="48">
        <v>131</v>
      </c>
    </row>
    <row r="4" spans="1:259" s="48" customFormat="1" ht="38.4" customHeight="1" thickBot="1" x14ac:dyDescent="0.35">
      <c r="A4" s="80" t="s">
        <v>393</v>
      </c>
      <c r="B4" s="40" t="e" vm="89">
        <v>#VALUE!</v>
      </c>
      <c r="C4" s="41" t="s">
        <v>173</v>
      </c>
      <c r="D4" s="42" t="s">
        <v>394</v>
      </c>
      <c r="E4" s="43" t="s">
        <v>395</v>
      </c>
      <c r="F4" s="44" t="s">
        <v>163</v>
      </c>
      <c r="G4" s="45">
        <f>COUNTIF($A$1:$A$8398,A4)</f>
        <v>1</v>
      </c>
      <c r="H4" s="46" t="s">
        <v>400</v>
      </c>
      <c r="I4" s="47" t="s">
        <v>396</v>
      </c>
      <c r="J4" s="48" t="str">
        <f>""</f>
        <v/>
      </c>
      <c r="K4" s="49"/>
      <c r="L4" s="50"/>
      <c r="M4" s="50"/>
      <c r="N4" s="51" t="s">
        <v>180</v>
      </c>
      <c r="O4" s="52" t="s">
        <v>397</v>
      </c>
      <c r="P4" s="53" t="s">
        <v>398</v>
      </c>
      <c r="Q4" s="54">
        <v>1</v>
      </c>
      <c r="R4" s="55" t="s">
        <v>180</v>
      </c>
      <c r="S4" s="56">
        <v>3</v>
      </c>
      <c r="T4" s="57" t="s">
        <v>167</v>
      </c>
      <c r="U4" s="58" t="s">
        <v>164</v>
      </c>
      <c r="V4" s="58" t="s">
        <v>167</v>
      </c>
      <c r="W4" s="58" t="s">
        <v>164</v>
      </c>
      <c r="X4" s="58" t="s">
        <v>164</v>
      </c>
      <c r="Y4" s="58" t="s">
        <v>164</v>
      </c>
      <c r="Z4" s="58" t="s">
        <v>164</v>
      </c>
      <c r="AA4" s="58" t="s">
        <v>164</v>
      </c>
      <c r="AB4" s="58" t="s">
        <v>164</v>
      </c>
      <c r="AC4" s="58" t="s">
        <v>164</v>
      </c>
      <c r="AD4" s="58" t="s">
        <v>164</v>
      </c>
      <c r="AE4" s="58" t="s">
        <v>164</v>
      </c>
      <c r="AF4" s="59" t="s">
        <v>167</v>
      </c>
      <c r="AG4" s="59" t="s">
        <v>164</v>
      </c>
      <c r="AH4" s="59" t="s">
        <v>164</v>
      </c>
      <c r="AI4" s="59" t="s">
        <v>164</v>
      </c>
      <c r="AJ4" s="59" t="s">
        <v>164</v>
      </c>
      <c r="AK4" s="59" t="s">
        <v>164</v>
      </c>
      <c r="AL4" s="59" t="s">
        <v>164</v>
      </c>
      <c r="AM4" s="59" t="s">
        <v>164</v>
      </c>
      <c r="AN4" s="59" t="s">
        <v>164</v>
      </c>
      <c r="AO4" s="59" t="s">
        <v>164</v>
      </c>
      <c r="AP4" s="59" t="s">
        <v>164</v>
      </c>
      <c r="AQ4" s="59" t="s">
        <v>164</v>
      </c>
      <c r="AR4" s="59" t="s">
        <v>164</v>
      </c>
      <c r="AS4" s="59" t="s">
        <v>164</v>
      </c>
      <c r="AT4" s="60">
        <v>0</v>
      </c>
      <c r="AU4" s="59" t="s">
        <v>399</v>
      </c>
      <c r="AV4" s="59" t="str">
        <f>IF(LEFT(A4,1)="[",LEFT(A4,5)&amp;AU4&amp;A4,"")</f>
        <v>[MLI]Political[MLI] State of Azawad</v>
      </c>
      <c r="AW4" s="59" t="str">
        <f t="shared" si="0"/>
        <v>3b[MLI] Other[MLI] State of Azawad</v>
      </c>
      <c r="AX4" s="61"/>
      <c r="AY4" s="61"/>
      <c r="AZ4" s="62"/>
      <c r="BA4" s="62"/>
      <c r="BB4" s="62"/>
      <c r="BC4" s="63"/>
      <c r="BD4" s="64" t="s">
        <v>169</v>
      </c>
      <c r="BE4" s="47"/>
      <c r="BF4" s="64" t="s">
        <v>153</v>
      </c>
      <c r="BG4" s="64" t="s">
        <v>154</v>
      </c>
      <c r="BH4" s="64" t="s">
        <v>151</v>
      </c>
      <c r="BI4" s="64"/>
      <c r="BJ4" s="64"/>
      <c r="BK4" s="47"/>
      <c r="BL4" s="64" t="s">
        <v>153</v>
      </c>
      <c r="BM4" s="64" t="s">
        <v>154</v>
      </c>
      <c r="BN4" s="64" t="s">
        <v>151</v>
      </c>
      <c r="BO4" s="64" t="s">
        <v>155</v>
      </c>
      <c r="BP4" s="64"/>
      <c r="BQ4" s="64"/>
      <c r="BR4" s="64"/>
      <c r="BS4" s="64"/>
      <c r="BT4" s="64"/>
      <c r="BU4" s="65"/>
      <c r="BV4" s="66"/>
      <c r="BW4" s="66">
        <v>0</v>
      </c>
      <c r="BX4" s="47"/>
      <c r="BY4" s="48" t="s">
        <v>164</v>
      </c>
      <c r="CB4" s="6"/>
      <c r="CC4" s="6"/>
      <c r="CD4" s="67">
        <v>0</v>
      </c>
      <c r="CE4" s="67">
        <v>0</v>
      </c>
      <c r="CF4" s="67" t="e">
        <v>#REF!</v>
      </c>
      <c r="CG4" s="68" cm="1">
        <f t="array" ref="CG4">SUMPRODUCT(--(LEN(TRIM(BL4:BT4))&gt;0))</f>
        <v>4</v>
      </c>
      <c r="CH4" s="59" t="str">
        <f>IF(CG4=2,"y","n")</f>
        <v>n</v>
      </c>
      <c r="CI4" s="59" t="str">
        <f>IF(CG4=3,"y","n")</f>
        <v>n</v>
      </c>
      <c r="CJ4" s="59" t="str">
        <f>IF(CG4=4,"y","n")</f>
        <v>y</v>
      </c>
      <c r="CK4" s="59" t="str">
        <f>IF(CG4&gt;4,"y","n")</f>
        <v>n</v>
      </c>
      <c r="CL4" s="59" t="str">
        <f>IF(S4=0,"y","n")</f>
        <v>n</v>
      </c>
      <c r="CM4" s="59" t="str">
        <f>IF(S4=2,"y","n")</f>
        <v>n</v>
      </c>
      <c r="CN4" s="59" t="str">
        <f>IF(S4=3,"y","n")</f>
        <v>y</v>
      </c>
      <c r="CO4" s="59" t="str">
        <f>IF(S4&gt;=4,"y","n")</f>
        <v>n</v>
      </c>
      <c r="CP4" s="59" t="str">
        <f>IF(AT4=0,"y","n")</f>
        <v>y</v>
      </c>
      <c r="CQ4" s="59" t="str">
        <f>IF(AT4=1,"y","n")</f>
        <v>n</v>
      </c>
      <c r="CR4" s="59" t="str">
        <f>IF(AT4=2,"y","n")</f>
        <v>n</v>
      </c>
      <c r="CS4" s="59" t="str">
        <f>IF(AT4&gt;=3,"y","n")</f>
        <v>n</v>
      </c>
      <c r="CT4" s="69" t="str">
        <f>CHAR(34)&amp;A4&amp;CHAR(34)</f>
        <v>"[MLI] State of Azawad"</v>
      </c>
      <c r="CU4" s="70" t="str">
        <f>CHAR(34)&amp;"rgn_"&amp;R4&amp;CHAR(34)</f>
        <v>"rgn_Africa"</v>
      </c>
      <c r="CV4" s="48" t="str">
        <f>CHAR(34)&amp;D4&amp;CHAR(34)</f>
        <v>"https://upload.wikimedia.org/wikipedia/commons/thumb/5/50/MNLA_flag.svg/1024px-MNLA_flag.svg.png"</v>
      </c>
      <c r="CW4" s="48" t="str">
        <f>IF(CH4="y",CHAR(34)&amp;CH$1&amp;CHAR(34)&amp;",","")</f>
        <v/>
      </c>
      <c r="CX4" s="48" t="str">
        <f>IF(CI4="y",CHAR(34)&amp;CI$1&amp;CHAR(34)&amp;",","")</f>
        <v/>
      </c>
      <c r="CY4" s="48" t="str">
        <f>IF(CJ4="y",CHAR(34)&amp;CJ$1&amp;CHAR(34)&amp;",","")</f>
        <v>"4Color",</v>
      </c>
      <c r="CZ4" s="48" t="str">
        <f>IF(CK4="y",CHAR(34)&amp;CK$1&amp;CHAR(34)&amp;",","")</f>
        <v/>
      </c>
      <c r="DA4" s="48" t="str">
        <f>IF(Q4&gt;1,CHAR(34)&amp;"words2"&amp;CHAR(34)&amp;",","")</f>
        <v/>
      </c>
      <c r="DB4" s="48" t="str">
        <f>IF(Q4&gt;2,CHAR(34)&amp;"words3"&amp;CHAR(34)&amp;",","")</f>
        <v/>
      </c>
      <c r="DD4" s="48" t="str">
        <f>IF(LEN(CHAR(34)&amp;"lets"&amp;LEN(SUBSTITUTE(SUBSTITUTE(IFERROR(TRIM(SUBSTITUTE(A4,MID(A4,FIND("[",A4),FIND("]",A4)-FIND("[",A4)+1),"")),A4)," ",""),"-",""))&amp;CHAR(34)&amp;",")=9,CHAR(34)&amp;"lets"&amp;LEN(SUBSTITUTE(SUBSTITUTE(IFERROR(TRIM(SUBSTITUTE(A4,MID(A4,FIND("[",A4),FIND("]",A4)-FIND("[",A4)+1),"")),A4)," ",""),"-",""))&amp;CHAR(34)&amp;",",CHAR(34)&amp;"lets0"&amp;LEN(SUBSTITUTE(SUBSTITUTE(IFERROR(TRIM(SUBSTITUTE(A4,MID(A4,FIND("[",A4),FIND("]",A4)-FIND("[",A4)+1),"")),A4)," ",""),"-",""))&amp;CHAR(34)&amp;",")</f>
        <v>"lets13",</v>
      </c>
      <c r="DE4" s="48" t="str">
        <f>CHAR(34)&amp;"start"&amp;IFERROR(LEFT(SUBSTITUTE(A4,"["&amp;MID(A4,FIND("[",A4)+1,FIND("]",A4)-FIND("[",A4)-1)&amp;"] ",""),1),LEFT(A4,1))&amp;CHAR(34)&amp;","</f>
        <v>"startS",</v>
      </c>
      <c r="DF4" s="48" t="str">
        <f>IFERROR(IF(SEARCH("tan",A4)&gt;0,CHAR(34)&amp;"withtn"&amp;CHAR(34)&amp;",",""),"")</f>
        <v/>
      </c>
      <c r="DG4" s="48" t="str">
        <f>IFERROR(IF(SEARCH("q",A4)&gt;0,CHAR(34)&amp;"with_q"&amp;CHAR(34)&amp;",",""),"")</f>
        <v/>
      </c>
      <c r="DH4" s="48" t="str">
        <f>IFERROR(IF(SEARCH("v",A4)&gt;0,CHAR(34)&amp;"with_v"&amp;CHAR(34)&amp;",",""),"")</f>
        <v/>
      </c>
      <c r="DI4" s="48" t="str">
        <f>IFERROR(IF(SEARCH("w",A4)&gt;0,CHAR(34)&amp;"with_w"&amp;CHAR(34)&amp;",",""),"")</f>
        <v>"with_w",</v>
      </c>
      <c r="DJ4" s="48" t="str">
        <f>IFERROR(IF(SEARCH("y",A4)&gt;0,CHAR(34)&amp;"with_y"&amp;CHAR(34)&amp;",",""),"")</f>
        <v/>
      </c>
      <c r="DK4" s="48" t="str">
        <f>IFERROR(IF(SEARCH("z",A4)&gt;0,CHAR(34)&amp;"with_z"&amp;CHAR(34)&amp;",",""),"")</f>
        <v>"with_z",</v>
      </c>
      <c r="DL4" s="48" t="str">
        <f>IF(CG4=2, CHAR(34) &amp; _xlfn.TEXTJOIN("", TRUE, _xlfn._xlws.SORT(HP4:HX4)) &amp; CHAR(34) &amp; ",", "")</f>
        <v/>
      </c>
      <c r="DM4" s="48" t="str" cm="1">
        <f t="array" ref="DM4">IF(CG4=3,CHAR(34) &amp; _xlfn.TEXTJOIN("", TRUE, RIGHT(HP4:HX4, 2)) &amp; CHAR(34) &amp; ",", "")</f>
        <v/>
      </c>
      <c r="DN4" s="48" t="str">
        <f>IF(AND(ISNUMBER(SEARCH("18", O4)), ISERROR(SEARCH("1918", O4)), ISERROR(SEARCH("2018", O4))), CHAR(34) &amp; "year18" &amp; CHAR(34) &amp; ",", "")</f>
        <v/>
      </c>
      <c r="DO4" s="48" t="str">
        <f>IF(AND(ISNUMBER(SEARCH("19", O4)), ISERROR(SEARCH("1819", O4)),  ISERROR(SEARCH("1219", O4)),ISERROR(SEARCH("1119", O4)),ISERROR(SEARCH("1190", O4)),ISERROR(SEARCH("2019", O4))), CHAR(34) &amp; "year19" &amp; CHAR(34) &amp; ",", "")</f>
        <v/>
      </c>
      <c r="DP4" s="6" t="str">
        <f>IF(AND(ISNUMBER(SEARCH("20", O4)), ISERROR(SEARCH("1920", O4))), CHAR(34)&amp;"year00"&amp;CHAR(34)&amp;",", "")</f>
        <v>"year00",</v>
      </c>
      <c r="DQ4" s="6" t="str">
        <f>IF(CC4="y",CHAR(34)&amp;"soviet"&amp;CHAR(34)&amp;",","")</f>
        <v/>
      </c>
      <c r="DR4" s="6" t="str">
        <f>IF(BY4="y",CHAR(34)&amp;"dgband"&amp;CHAR(34)&amp;",","")</f>
        <v/>
      </c>
      <c r="DS4" s="6" t="str">
        <f>IF(W4="y",IF(AND(V4="n",BY4&lt;&gt;"y"),CHAR(34)&amp;"allver"&amp;CHAR(34)&amp;",",""),"")</f>
        <v/>
      </c>
      <c r="DT4" s="6" t="str">
        <f>IF(V4="y",IF(AND(W4="n",BY4&lt;&gt;"y"),CHAR(34)&amp;"allhor"&amp;CHAR(34)&amp;",",""),"")</f>
        <v>"allhor",</v>
      </c>
      <c r="DU4" s="6" t="str">
        <f>IF(BY4="y",IF(AND(W4="n",V4="n"),CHAR(34)&amp;"alldia"&amp;CHAR(34)&amp;",",""),"")</f>
        <v/>
      </c>
      <c r="DW4" s="48" t="str">
        <f>IF(CL4="y",CHAR(34)&amp;CL$1&amp;CHAR(34)&amp;",","")</f>
        <v/>
      </c>
      <c r="DX4" s="48" t="str">
        <f>IF(CM4="y",CHAR(34)&amp;CM$1&amp;CHAR(34)&amp;",","")</f>
        <v/>
      </c>
      <c r="DY4" s="48" t="str">
        <f>IF(CN4="y",CHAR(34)&amp;CN$1&amp;CHAR(34)&amp;",","")</f>
        <v>"3Bands",</v>
      </c>
      <c r="DZ4" s="48" t="str">
        <f>IF(CO4="y",CHAR(34)&amp;CO$1&amp;CHAR(34)&amp;",","")</f>
        <v/>
      </c>
      <c r="EA4" s="48" t="str">
        <f>IF(T4="y",CHAR(34)&amp;T$1&amp;CHAR(34)&amp;",","")</f>
        <v>"Diagon",</v>
      </c>
      <c r="EB4" s="48" t="str">
        <f>IF(U4="y",CHAR(34)&amp;U$1&amp;CHAR(34)&amp;",","")</f>
        <v/>
      </c>
      <c r="EC4" s="48" t="str">
        <f>IF(V4="y",CHAR(34)&amp;V$1&amp;CHAR(34)&amp;",","")</f>
        <v>"Horizo",</v>
      </c>
      <c r="ED4" s="48" t="str">
        <f>IF(W4="y",CHAR(34)&amp;W$1&amp;CHAR(34)&amp;",","")</f>
        <v/>
      </c>
      <c r="EE4" s="48" t="str">
        <f>IF(X4="y",CHAR(34)&amp;X$1&amp;CHAR(34)&amp;",","")</f>
        <v/>
      </c>
      <c r="EF4" s="48" t="str">
        <f>IF(AND(Y4&lt;&gt;"n",Y4&lt;&gt;""),CHAR(34)&amp;Y$1&amp;CHAR(34)&amp;",","")</f>
        <v/>
      </c>
      <c r="EG4" s="48" t="str">
        <f>IF(Z4="y",CHAR(34)&amp;Z$1&amp;CHAR(34)&amp;",","")</f>
        <v/>
      </c>
      <c r="EH4" s="48" t="str">
        <f>IF(AA4="y",CHAR(34)&amp;AA$1&amp;CHAR(34)&amp;",","")</f>
        <v/>
      </c>
      <c r="EI4" s="48" t="str">
        <f>IF(AB4="y",CHAR(34)&amp;AB$1&amp;CHAR(34)&amp;",","")</f>
        <v/>
      </c>
      <c r="EJ4" s="48" t="str">
        <f>IF(AC4="y",CHAR(34)&amp;AC$1&amp;CHAR(34)&amp;",","")</f>
        <v/>
      </c>
      <c r="EK4" s="48" t="str">
        <f>IF(AD4="y",CHAR(34)&amp;AD$1&amp;CHAR(34)&amp;",","")</f>
        <v/>
      </c>
      <c r="EL4" s="48" t="str">
        <f>IF(AE4="y",CHAR(34)&amp;AE$1&amp;CHAR(34)&amp;",","")</f>
        <v/>
      </c>
      <c r="EM4" s="48" t="str">
        <f>IF(AF4="y",CHAR(34)&amp;AF$1&amp;CHAR(34)&amp;",","")</f>
        <v>"Trside",</v>
      </c>
      <c r="EN4" s="48" t="str">
        <f>IF(AG4="y",CHAR(34)&amp;AG$1&amp;CHAR(34)&amp;",","")</f>
        <v/>
      </c>
      <c r="EO4" s="48" t="str">
        <f>IF(AH4="y",CHAR(34)&amp;AH$1&amp;CHAR(34)&amp;",","")</f>
        <v/>
      </c>
      <c r="EP4" s="48" t="str">
        <f>IF(AI4="y",CHAR(34)&amp;AI$1&amp;CHAR(34)&amp;",","")</f>
        <v/>
      </c>
      <c r="EQ4" s="48" t="str">
        <f>IF(AJ4="y",CHAR(34)&amp;AJ$1&amp;CHAR(34)&amp;",","")</f>
        <v/>
      </c>
      <c r="ER4" s="48" t="str">
        <f>IF(AK4="y",CHAR(34)&amp;AK$1&amp;CHAR(34)&amp;",","")</f>
        <v/>
      </c>
      <c r="ES4" s="48" t="str">
        <f>IF(AL4="y",CHAR(34)&amp;AL$1&amp;CHAR(34)&amp;",","")</f>
        <v/>
      </c>
      <c r="ET4" s="48" t="str">
        <f>IF(AM4="y",CHAR(34)&amp;AM$1&amp;CHAR(34)&amp;",","")</f>
        <v/>
      </c>
      <c r="EU4" s="48" t="str">
        <f>IF(AN4="y",CHAR(34)&amp;AN$1&amp;CHAR(34)&amp;",","")</f>
        <v/>
      </c>
      <c r="EV4" s="48" t="str">
        <f>IF(AO4="y",CHAR(34)&amp;AO$1&amp;CHAR(34)&amp;",","")</f>
        <v/>
      </c>
      <c r="EW4" s="48" t="str">
        <f>IF(AP4="y",CHAR(34)&amp;AP$1&amp;CHAR(34)&amp;",","")</f>
        <v/>
      </c>
      <c r="EX4" s="48" t="str">
        <f>IF(AQ4="y",CHAR(34)&amp;AQ$1&amp;CHAR(34)&amp;",","")</f>
        <v/>
      </c>
      <c r="EY4" s="48" t="str">
        <f>IF(AR4="y",CHAR(34)&amp;AR$1&amp;CHAR(34)&amp;",","")</f>
        <v/>
      </c>
      <c r="EZ4" s="48" t="str">
        <f>IF(AS4="y",CHAR(34)&amp;AS$1&amp;CHAR(34)&amp;",","")</f>
        <v/>
      </c>
      <c r="FA4" s="48" t="str">
        <f>IF(AT4&gt;0,CHAR(34)&amp;"sta"&amp;AZ4&amp;CHAR(34)&amp;",","")</f>
        <v/>
      </c>
      <c r="FB4" s="48" t="str">
        <f>IF(AND(AT4&gt;0,BA4&lt;&gt;""),CHAR(34)&amp;"sta"&amp;BA4&amp;CHAR(34)&amp;",","")</f>
        <v/>
      </c>
      <c r="FD4" s="48" t="str">
        <f>IF(BV4="n",CHAR(34)&amp;"tcWHYE"&amp;CHAR(34)&amp;",",IF(BV4="y",CHAR(34)&amp;FD$1&amp;CHAR(34)&amp;",",""))</f>
        <v/>
      </c>
      <c r="FE4" s="48" t="str">
        <f>IF(COUNTIF(BL4:BT4,"BLU")=0,CHAR(34)&amp;"NO_BLU"&amp;CHAR(34)&amp;",", "")</f>
        <v>"NO_BLU",</v>
      </c>
      <c r="FF4" s="48" t="str">
        <f>IF(COUNTIF(BL4:BT4,"WHI")=0,CHAR(34)&amp;"NO_WHI"&amp;CHAR(34)&amp;",", "")</f>
        <v>"NO_WHI",</v>
      </c>
      <c r="FG4" s="48" t="str">
        <f>IF(COUNTIF(BL4:BT4,"RED")=0,CHAR(34)&amp;"NO_RED"&amp;CHAR(34)&amp;",", "")</f>
        <v/>
      </c>
      <c r="FH4" s="48" t="str">
        <f>IF(COUNTIF(BL4:BS4,"GRE")=0,CHAR(34)&amp;"NO_GRE"&amp;CHAR(34)&amp;",", "")</f>
        <v/>
      </c>
      <c r="FI4" s="48" t="str">
        <f>IF(COUNTIF(BL4:BT4,"YEL")=0,CHAR(34)&amp;"NO_YEL"&amp;CHAR(34)&amp;",", "")</f>
        <v/>
      </c>
      <c r="FJ4" s="48" t="str">
        <f>IF(COUNTIF(BL4:BT4,"BLA")=0,CHAR(34)&amp;"NO_BLA"&amp;CHAR(34)&amp;",", "")</f>
        <v/>
      </c>
      <c r="FK4" s="48" t="str">
        <f>IF(AND(FH4&lt;&gt;"",FF4&lt;&gt;""),CHAR(34)&amp;"WHGRNO"&amp;CHAR(34)&amp;",","")</f>
        <v/>
      </c>
      <c r="FL4" s="48" t="str">
        <f>IF(AND(FI4&lt;&gt;"",FF4&lt;&gt;""),CHAR(34)&amp;"WHYENO"&amp;CHAR(34)&amp;",","")</f>
        <v/>
      </c>
      <c r="FM4" s="48" t="str">
        <f>IF(AND(FJ4&lt;&gt;"",FF4&lt;&gt;""),CHAR(34)&amp;"BAWHNO"&amp;CHAR(34)&amp;",","")</f>
        <v/>
      </c>
      <c r="FN4" s="48" t="str">
        <f>IF(AND(FE4&lt;&gt;"",FF4&lt;&gt;""),CHAR(34)&amp;"BLWHNO"&amp;CHAR(34)&amp;",","")</f>
        <v>"BLWHNO",</v>
      </c>
      <c r="FO4" s="48" t="str">
        <f>IF(AND(FE4&lt;&gt;"",FG4&lt;&gt;""),CHAR(34)&amp;"BLRENO"&amp;CHAR(34)&amp;",","")</f>
        <v/>
      </c>
      <c r="FP4" s="48" t="str">
        <f>IF(AND(FF4&lt;&gt;"",FF4&lt;&gt;""),CHAR(34)&amp;"WHRENO"&amp;CHAR(34)&amp;",","")</f>
        <v>"WHRENO",</v>
      </c>
      <c r="FQ4" s="48" t="str">
        <f>IF(LEN(BF4)=3,CHAR(34)&amp;"001"&amp;BF4&amp;CHAR(34)&amp;",","")</f>
        <v>"001GRE",</v>
      </c>
      <c r="FR4" s="48" t="str">
        <f>IF(LEN(BG4)=3,CHAR(34)&amp;"002"&amp;BG4&amp;CHAR(34)&amp;",","")</f>
        <v>"002RED",</v>
      </c>
      <c r="FS4" s="48" t="str">
        <f>IF(LEN(BH4)=3,CHAR(34)&amp;"003"&amp;BH4&amp;CHAR(34)&amp;",","")</f>
        <v>"003BLA",</v>
      </c>
      <c r="FT4" s="48" t="str">
        <f>CHAR(34)&amp;"myr"&amp;BD4&amp;CHAR(34)&amp;","</f>
        <v>"myrEQ",</v>
      </c>
      <c r="FU4" s="48" t="str">
        <f>IF(AY4="y",CHAR(34)&amp;"island"&amp;CHAR(34)&amp;",","")</f>
        <v/>
      </c>
      <c r="FV4" s="48" t="str">
        <f>IF(BZ4="y",CHAR(34)&amp;"landlo"&amp;CHAR(34)&amp;",","")</f>
        <v/>
      </c>
      <c r="FW4" s="48" t="str">
        <f>IF(CA4="y",CHAR(34)&amp;"eunion"&amp;CHAR(34)&amp;",","")</f>
        <v/>
      </c>
      <c r="FY4" s="48" t="str">
        <f>IFERROR(IF(SEARCH("Arabic",CB4)&gt;0,CHAR(34)&amp;"arabic"&amp;CHAR(34)&amp;",",""),"")</f>
        <v/>
      </c>
      <c r="FZ4" s="48" t="str">
        <f>IFERROR(IF(SEARCH("English",CB4)&gt;0,CHAR(34)&amp;"englis"&amp;CHAR(34)&amp;",",""),"")</f>
        <v/>
      </c>
      <c r="GA4" s="48" t="str">
        <f>IFERROR(IF(SEARCH("French",CB4)&gt;0,CHAR(34)&amp;"french"&amp;CHAR(34)&amp;",",""),"")</f>
        <v/>
      </c>
      <c r="GB4" s="48" t="str">
        <f>IFERROR(IF(SEARCH("Spanish",CB4)&gt;0,CHAR(34)&amp;"spanis"&amp;CHAR(34)&amp;",",""),"")</f>
        <v/>
      </c>
      <c r="GE4" s="48" t="str">
        <f>IFERROR(IF(SEARCH("Dutch",CB4)&gt;0,CHAR(34)&amp;"dutchs"&amp;CHAR(34)&amp;",",""),"")</f>
        <v/>
      </c>
      <c r="GF4" s="48" t="str">
        <f>IFERROR(IF(SEARCH("Historical",AU4)&gt;0,CHAR(34)&amp;"histor"&amp;CHAR(34)&amp;",",""),"")</f>
        <v/>
      </c>
      <c r="GG4" s="48" t="str">
        <f>IF(BU4="y",CHAR(34)&amp;"unjack"&amp;CHAR(34)&amp;",","")</f>
        <v/>
      </c>
      <c r="GH4" s="48" t="str">
        <f>IF(CD4=1,CHAR(34)&amp;"southc"&amp;CHAR(34)&amp;",","")</f>
        <v/>
      </c>
      <c r="GI4" s="48" t="str">
        <f>IF(CE4=1,CHAR(34)&amp;"hasmap"&amp;CHAR(34)&amp;",","")</f>
        <v/>
      </c>
      <c r="GJ4" s="48" t="str">
        <f>IF(CP4="y",CHAR(34)&amp;CP$1&amp;CHAR(34)&amp;",","")</f>
        <v>"NoStar",</v>
      </c>
      <c r="GK4" s="48" t="str">
        <f>IF(GJ4="",CHAR(34)&amp;"HasSta"&amp;CHAR(34)&amp;",","")</f>
        <v/>
      </c>
      <c r="GL4" s="48" t="str">
        <f>IF(CQ4="y",CHAR(34)&amp;CQ$1&amp;CHAR(34)&amp;",","")</f>
        <v/>
      </c>
      <c r="GM4" s="48" t="str">
        <f>IF(CR4="y",CHAR(34)&amp;CR$1&amp;CHAR(34)&amp;",","")</f>
        <v/>
      </c>
      <c r="GN4" s="48" t="str">
        <f>IF(CS4="y",CHAR(34)&amp;CS$1&amp;CHAR(34)&amp;",","")</f>
        <v/>
      </c>
      <c r="GP4" s="48" t="str">
        <f>CHAR(34)&amp;AU4&amp;CHAR(34)</f>
        <v>"Political"</v>
      </c>
      <c r="GS4" s="48" t="str">
        <f>SUBSTITUTE("["&amp;_xlfn.CONCAT(CW4:GN4)&amp;"]",",]","]")</f>
        <v>["4Color","lets13","startS","with_w","with_z","year00","allhor","3Bands","Diagon","Horizo","Trside","NO_BLU","NO_WHI","BLWHNO","WHRENO","001GRE","002RED","003BLA","myrEQ","NoStar"]</v>
      </c>
      <c r="GT4" s="48" t="str">
        <f>IF(BL4&lt;&gt;"",CHAR(34)&amp;"cl_"&amp;BL4&amp;CHAR(34)&amp;",","")</f>
        <v>"cl_GRE",</v>
      </c>
      <c r="GU4" s="48" t="str">
        <f>IF(BM4&lt;&gt;"",CHAR(34)&amp;"cl_"&amp;BM4&amp;CHAR(34)&amp;",","")</f>
        <v>"cl_RED",</v>
      </c>
      <c r="GV4" s="48" t="str">
        <f>IF(BN4&lt;&gt;"",CHAR(34)&amp;"cl_"&amp;BN4&amp;CHAR(34)&amp;",","")</f>
        <v>"cl_BLA",</v>
      </c>
      <c r="GW4" s="48" t="str">
        <f>IF(BO4&lt;&gt;"",CHAR(34)&amp;"cl_"&amp;BO4&amp;CHAR(34)&amp;",","")</f>
        <v>"cl_YEL",</v>
      </c>
      <c r="GX4" s="48" t="str">
        <f>IF(BP4&lt;&gt;"",CHAR(34)&amp;"cl_"&amp;BP4&amp;CHAR(34)&amp;",","")</f>
        <v/>
      </c>
      <c r="GY4" s="48" t="str">
        <f>IF(BQ4&lt;&gt;"",CHAR(34)&amp;"cl_"&amp;BQ4&amp;CHAR(34)&amp;",","")</f>
        <v/>
      </c>
      <c r="GZ4" s="48" t="str">
        <f>IF(BR4&lt;&gt;"",CHAR(34)&amp;"cl_"&amp;BR4&amp;CHAR(34)&amp;",","")</f>
        <v/>
      </c>
      <c r="HA4" s="48" t="str">
        <f>IF(BS4&lt;&gt;"",CHAR(34)&amp;"cl_"&amp;BS4&amp;CHAR(34)&amp;",","")</f>
        <v/>
      </c>
      <c r="HB4" s="48" t="str">
        <f>IF(BT4&lt;&gt;"",CHAR(34)&amp;"cl_"&amp;BT4&amp;CHAR(34)&amp;",","")</f>
        <v/>
      </c>
      <c r="HC4" s="48" t="str">
        <f>SUBSTITUTE("["&amp;_xlfn.CONCAT(GT4:HB4)&amp;"]",",]","]")</f>
        <v>["cl_GRE","cl_RED","cl_BLA","cl_YEL"]</v>
      </c>
      <c r="HE4" s="71"/>
      <c r="HF4" s="72" t="str">
        <f>"{couname:"&amp;CT4&amp;(IF(HK4&lt;&gt;"",",subtype:"&amp;CHAR(34)&amp;HK4&amp;CHAR(34),""))&amp;",year:"&amp;HJ4&amp;",region:"&amp;CU4&amp;",Colors:"&amp;HC4&amp;",Items:"&amp;GS4&amp;",Flag:"&amp;CV4&amp;",HDFlag:"&amp;CHAR(34)&amp;E4&amp;CHAR(34)&amp;",type:"&amp;GP4&amp;", describe: "&amp;HH4&amp;", isnew:"&amp;CHAR(34)&amp;F4&amp;CHAR(34)&amp;", links: "&amp;HL4&amp;"},"</f>
        <v>{couname:"[MLI] State of Azawad",year:"2012",region:"rgn_Africa",Colors:["cl_GRE","cl_RED","cl_BLA","cl_YEL"],Items:["4Color","lets13","startS","with_w","with_z","year00","allhor","3Bands","Diagon","Horizo","Trside","NO_BLU","NO_WHI","BLWHNO","WHRENO","001GRE","002RED","003BLA","myrEQ","NoStar"],Flag:"https://upload.wikimedia.org/wikipedia/commons/thumb/5/50/MNLA_flag.svg/1024px-MNLA_flag.svg.png",HDFlag:"https://upload.wikimedia.org/wikipedia/commons/thumb/5/50/MNLA_flag.svg/2560px-MNLA_flag.svg.png",type:"Political", describe: "\nThe flag of the State of Azawad, an unrecognized state that declared independence from Mali on 6 April 2012, was a horizontal green-red-black tricolour with a yellow triangle at the hoist. The symbolism behind colours to the Azawadi people are manifold as described by Moussa Ag Assarid: yellow representing the Sahara desert (in Tamacheq 'tenere'), black representing the arduous history of the Tuaregs connected to anti-colonial struggle in their many uprisings as well as their difficult way of life, red representing the blood of the Azawadi martyrs and green which represents the scant vegetation in its Saharan and Sahelian regions. It is the same as the flag of the National Movement for the Liberation of Azawad.", isnew:".", links: "https://en.wikipedia.org/wiki/Flag_of_Azawad"},</v>
      </c>
      <c r="HG4" s="73" t="str">
        <f>"{couname:"&amp;CT4&amp;(IF(HK4&lt;&gt;"",",subtype:"&amp;CHAR(34)&amp;HK4&amp;CHAR(34),""))&amp;",year:"&amp;HJ4&amp;",region:"&amp;CU4&amp;",Colors:"&amp;HC4&amp;",Items:"&amp;GS4&amp;",Flag:"&amp;CV4&amp;",HDFlag:"&amp;CHAR(34)&amp;E4&amp;CHAR(34)&amp;",type:"&amp;GP4&amp;", describe: "&amp;HI4&amp;", links: "&amp;HL4&amp;"},"</f>
        <v>{couname:"[MLI] State of Azawad",year:"2012",region:"rgn_Africa",Colors:["cl_GRE","cl_RED","cl_BLA","cl_YEL"],Items:["4Color","lets13","startS","with_w","with_z","year00","allhor","3Bands","Diagon","Horizo","Trside","NO_BLU","NO_WHI","BLWHNO","WHRENO","001GRE","002RED","003BLA","myrEQ","NoStar"],Flag:"https://upload.wikimedia.org/wikipedia/commons/thumb/5/50/MNLA_flag.svg/1024px-MNLA_flag.svg.png",HDFlag:"https://upload.wikimedia.org/wikipedia/commons/thumb/5/50/MNLA_flag.svg/2560px-MNLA_flag.svg.png",type:"Political", describe: "\nThe flag of the State of Azawad, an unrecognized state that declared independence from Mali on 6 April 2012, was a horizontal green-red-black tricolour with a yellow triangle at the hoist. The symbolism behind colours to the Azawadi people are manifold as described by Moussa Ag Assarid: yellow representing the Sahara desert (in Tamacheq 'tenere'), black representing the arduous history of the Tuaregs connected to anti-colonial struggle in their many uprisings as well as their difficult way of life, red representing the blood of the Azawadi martyrs and green which represents the scant vegetation in its Saharan and Sahelian regions. It is the same as the flag of the National Movement for the Liberation of Azawad.", links: "https://en.wikipedia.org/wiki/Flag_of_Azawad"},</v>
      </c>
      <c r="HH4" s="48" t="str">
        <f>IF(P4&lt;&gt;"",CHAR(34)&amp;"\n"&amp;P4&amp;CHAR(34),CHAR(34)&amp;CHAR(34))</f>
        <v>"\nThe flag of the State of Azawad, an unrecognized state that declared independence from Mali on 6 April 2012, was a horizontal green-red-black tricolour with a yellow triangle at the hoist. The symbolism behind colours to the Azawadi people are manifold as described by Moussa Ag Assarid: yellow representing the Sahara desert (in Tamacheq 'tenere'), black representing the arduous history of the Tuaregs connected to anti-colonial struggle in their many uprisings as well as their difficult way of life, red representing the blood of the Azawadi martyrs and green which represents the scant vegetation in its Saharan and Sahelian regions. It is the same as the flag of the National Movement for the Liberation of Azawad."</v>
      </c>
      <c r="HI4" s="48" t="str">
        <f>IF(J4=0,CHAR(34)&amp;CHAR(34),HH4)</f>
        <v>"\nThe flag of the State of Azawad, an unrecognized state that declared independence from Mali on 6 April 2012, was a horizontal green-red-black tricolour with a yellow triangle at the hoist. The symbolism behind colours to the Azawadi people are manifold as described by Moussa Ag Assarid: yellow representing the Sahara desert (in Tamacheq 'tenere'), black representing the arduous history of the Tuaregs connected to anti-colonial struggle in their many uprisings as well as their difficult way of life, red representing the blood of the Azawadi martyrs and green which represents the scant vegetation in its Saharan and Sahelian regions. It is the same as the flag of the National Movement for the Liberation of Azawad."</v>
      </c>
      <c r="HJ4" s="48" t="str">
        <f>CHAR(34)&amp;O4&amp;CHAR(34)</f>
        <v>"2012"</v>
      </c>
      <c r="HL4" s="48" t="str">
        <f>CHAR(34)&amp;I4&amp;CHAR(34)</f>
        <v>"https://en.wikipedia.org/wiki/Flag_of_Azawad"</v>
      </c>
      <c r="HM4" s="72"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"&amp;HH4&amp;", "&amp;CHAR(34)&amp;"isnew"&amp;CHAR(34)&amp;": "&amp;CHAR(34)&amp;F4&amp;CHAR(34)&amp;", "&amp;CHAR(34)&amp;"links"&amp;CHAR(34)&amp;": "&amp;HL4&amp;"},"</f>
        <v>{"couname":"[MLI] State of Azawad","subtype":"[MLI] Other","year":"2012","region":"rgn_Africa","Colors":["cl_GRE","cl_RED","cl_BLA","cl_YEL"],"Items":["4Color","lets13","startS","with_w","with_z","year00","allhor","3Bands","Diagon","Horizo","Trside","NO_BLU","NO_WHI","BLWHNO","WHRENO","001GRE","002RED","003BLA","myrEQ","NoStar"],"Flag":"https://upload.wikimedia.org/wikipedia/commons/thumb/5/50/MNLA_flag.svg/1024px-MNLA_flag.svg.png","HDFlag":"https://upload.wikimedia.org/wikipedia/commons/thumb/5/50/MNLA_flag.svg/2560px-MNLA_flag.svg.png","type":"Political", "describe": "\nThe flag of the State of Azawad, an unrecognized state that declared independence from Mali on 6 April 2012, was a horizontal green-red-black tricolour with a yellow triangle at the hoist. The symbolism behind colours to the Azawadi people are manifold as described by Moussa Ag Assarid: yellow representing the Sahara desert (in Tamacheq 'tenere'), black representing the arduous history of the Tuaregs connected to anti-colonial struggle in their many uprisings as well as their difficult way of life, red representing the blood of the Azawadi martyrs and green which represents the scant vegetation in its Saharan and Sahelian regions. It is the same as the flag of the National Movement for the Liberation of Azawad.", "isnew": ".", "links": "https://en.wikipedia.org/wiki/Flag_of_Azawad"},</v>
      </c>
      <c r="HN4" s="74"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"&amp;HI4&amp;", "&amp;CHAR(34)&amp;"isnew"&amp;CHAR(34)&amp;": "&amp;CHAR(34)&amp;F4&amp;CHAR(34)&amp;", "&amp;CHAR(34)&amp;"links"&amp;CHAR(34)&amp;": "&amp;HL4&amp;"},"</f>
        <v>{"couname":"[MLI] State of Azawad","subtype":"[MLI] Other","year":"2012","region":"rgn_Africa","Colors":["cl_GRE","cl_RED","cl_BLA","cl_YEL"],"Items":["4Color","lets13","startS","with_w","with_z","year00","allhor","3Bands","Diagon","Horizo","Trside","NO_BLU","NO_WHI","BLWHNO","WHRENO","001GRE","002RED","003BLA","myrEQ","NoStar"],"Flag":"https://upload.wikimedia.org/wikipedia/commons/thumb/5/50/MNLA_flag.svg/1024px-MNLA_flag.svg.png","HDFlag":"https://upload.wikimedia.org/wikipedia/commons/thumb/5/50/MNLA_flag.svg/2560px-MNLA_flag.svg.png","type":"Political", "describe": "\nThe flag of the State of Azawad, an unrecognized state that declared independence from Mali on 6 April 2012, was a horizontal green-red-black tricolour with a yellow triangle at the hoist. The symbolism behind colours to the Azawadi people are manifold as described by Moussa Ag Assarid: yellow representing the Sahara desert (in Tamacheq 'tenere'), black representing the arduous history of the Tuaregs connected to anti-colonial struggle in their many uprisings as well as their difficult way of life, red representing the blood of the Azawadi martyrs and green which represents the scant vegetation in its Saharan and Sahelian regions. It is the same as the flag of the National Movement for the Liberation of Azawad.", "isnew": ".", "links": "https://en.wikipedia.org/wiki/Flag_of_Azawad"},</v>
      </c>
      <c r="HO4" s="75">
        <v>45644</v>
      </c>
      <c r="HP4" s="48" t="str" cm="1">
        <f t="array" ref="HP4">IF(_xlfn.TEXTJOIN(", ", TRUE, IF(ISNUMBER(SEARCH("BLA", BL4:BT4)), COLUMN(BL4:BT4) - COLUMN(BL4) + 1, ""))&lt;&gt;"","BLA","")</f>
        <v>BLA</v>
      </c>
      <c r="HQ4" s="48" t="str" cm="1">
        <f t="array" ref="HQ4">IF(_xlfn.TEXTJOIN(", ", TRUE, IF(ISNUMBER(SEARCH("BLU", BL4:BT4)), COLUMN(BL4:BT4) - COLUMN(BL4) + 1, ""))&lt;&gt;"","BLU","")</f>
        <v/>
      </c>
      <c r="HR4" s="48" t="str" cm="1">
        <f t="array" ref="HR4">IF(_xlfn.TEXTJOIN(", ", TRUE, IF(ISNUMBER(SEARCH("GRE", BL4:BT4)), COLUMN(BL4:BT4) - COLUMN(BL4) + 1, ""))&lt;&gt;"","GRE","")</f>
        <v>GRE</v>
      </c>
      <c r="HS4" s="48" t="str" cm="1">
        <f t="array" ref="HS4">IF(_xlfn.TEXTJOIN(", ", TRUE, IF(ISNUMBER(SEARCH("RED", BL4:BT4)), COLUMN(BL4:BT4) - COLUMN(BL4) + 1, ""))&lt;&gt;"","RED","")</f>
        <v>RED</v>
      </c>
      <c r="HT4" s="48" t="str" cm="1">
        <f t="array" ref="HT4">IF(_xlfn.TEXTJOIN(", ", TRUE, IF(ISNUMBER(SEARCH("YEL", BL4:BT4)), COLUMN(BL4:BT4) - COLUMN(BL4) + 1, ""))&lt;&gt;"","YEL","")</f>
        <v>YEL</v>
      </c>
      <c r="HU4" s="48" t="str" cm="1">
        <f t="array" ref="HU4">IF(_xlfn.TEXTJOIN(", ", TRUE, IF(ISNUMBER(SEARCH("ORA", BL4:BT4)), COLUMN(BL4:BT4) - COLUMN(BL4) + 1, ""))&lt;&gt;"","ORA","")</f>
        <v/>
      </c>
      <c r="HV4" s="48" t="str" cm="1">
        <f t="array" ref="HV4">IF(_xlfn.TEXTJOIN(", ", TRUE, IF(ISNUMBER(SEARCH("BRO", BL4:BT4)), COLUMN(BL4:BT4) - COLUMN(BL4) + 1, ""))&lt;&gt;"","BRO","")</f>
        <v/>
      </c>
      <c r="HW4" s="48" t="str" cm="1">
        <f t="array" ref="HW4">IF(_xlfn.TEXTJOIN(", ", TRUE, IF(ISNUMBER(SEARCH("PUR", BL4:BT4)), COLUMN(BL4:BT4) - COLUMN(BL4) + 1, ""))&lt;&gt;"","PUR","")</f>
        <v/>
      </c>
      <c r="HX4" s="48" t="str" cm="1">
        <f t="array" ref="HX4">IF(_xlfn.TEXTJOIN(", ", TRUE, IF(ISNUMBER(SEARCH("WHI", BL4:BT4)), COLUMN(BL4:BT4) - COLUMN(BL4) + 1, ""))&lt;&gt;"","WHI","")</f>
        <v/>
      </c>
      <c r="HY4" s="76"/>
      <c r="HZ4" s="76"/>
      <c r="IA4" s="6"/>
      <c r="IB4" s="6"/>
      <c r="IC4" s="77"/>
      <c r="ID4" s="77"/>
      <c r="IE4" s="77"/>
      <c r="IF4" s="77"/>
      <c r="IG4" s="77"/>
      <c r="IH4" s="77"/>
      <c r="II4" s="77"/>
      <c r="IJ4" s="77"/>
      <c r="IK4" s="77"/>
      <c r="IM4" s="45">
        <f>COUNTIF(IC4:IK4,"&gt;0")-CG4</f>
        <v>-4</v>
      </c>
      <c r="IN4" s="78" t="str">
        <f>"http://mkweb.bcgsc.ca/color-summarizer/?url="&amp;D4&amp;"&amp;precision=low&amp;num_clusters="&amp;CG4&amp;"&amp;text=1"</f>
        <v>http://mkweb.bcgsc.ca/color-summarizer/?url=https://upload.wikimedia.org/wikipedia/commons/thumb/5/50/MNLA_flag.svg/1024px-MNLA_flag.svg.png&amp;precision=low&amp;num_clusters=4&amp;text=1</v>
      </c>
      <c r="IO4" s="48" t="str">
        <f>IF(HP4&lt;&gt;"",CHAR(34)&amp;"black"&amp;CHAR(34),"")</f>
        <v>"black"</v>
      </c>
      <c r="IP4" s="48" t="str">
        <f>IF(HQ4&lt;&gt;"",CHAR(34)&amp;"blue"&amp;CHAR(34),"")</f>
        <v/>
      </c>
      <c r="IQ4" s="48" t="str">
        <f>IF(HR4&lt;&gt;"",CHAR(34)&amp;"green"&amp;CHAR(34),"")</f>
        <v>"green"</v>
      </c>
      <c r="IR4" s="48" t="str">
        <f>IF(HS4&lt;&gt;"",CHAR(34)&amp;"red"&amp;CHAR(34),"")</f>
        <v>"red"</v>
      </c>
      <c r="IS4" s="48" t="str">
        <f>IF(HT4&lt;&gt;"",CHAR(34)&amp;"yellow"&amp;CHAR(34),"")</f>
        <v>"yellow"</v>
      </c>
      <c r="IT4" s="48" t="str">
        <f>IF(HU4&lt;&gt;"",CHAR(34)&amp;"orange"&amp;CHAR(34),"")</f>
        <v/>
      </c>
      <c r="IU4" s="48" t="str">
        <f>IF(HV4&lt;&gt;"",CHAR(34)&amp;"brown"&amp;CHAR(34),"")</f>
        <v/>
      </c>
      <c r="IV4" s="48" t="str">
        <f>IF(HW4&lt;&gt;"",CHAR(34)&amp;"purple"&amp;CHAR(34),"")</f>
        <v/>
      </c>
      <c r="IW4" s="48" t="str">
        <f>IF(HX4&lt;&gt;"",CHAR(34)&amp;"white"&amp;CHAR(34),"")</f>
        <v/>
      </c>
      <c r="IX4" s="48" t="str">
        <f>"{"&amp;CHAR(34)&amp;"url"&amp;CHAR(34)&amp;":"&amp;CHAR(34)&amp;IN4&amp;CHAR(34)&amp;","&amp;CHAR(34)&amp;"name"&amp;CHAR(34)&amp;":"&amp;CHAR(34)&amp;A4&amp;CHAR(34)&amp;"},"</f>
        <v>{"url":"http://mkweb.bcgsc.ca/color-summarizer/?url=https://upload.wikimedia.org/wikipedia/commons/thumb/5/50/MNLA_flag.svg/1024px-MNLA_flag.svg.png&amp;precision=low&amp;num_clusters=4&amp;text=1","name":"[MLI] State of Azawad"},</v>
      </c>
      <c r="IY4" s="48">
        <v>1503</v>
      </c>
    </row>
    <row r="5" spans="1:259" ht="38.4" customHeight="1" x14ac:dyDescent="0.3">
      <c r="F5" s="82"/>
      <c r="G5" s="82"/>
      <c r="H5" s="82"/>
      <c r="I5" s="82"/>
      <c r="J5" s="82"/>
      <c r="K5" s="82"/>
    </row>
    <row r="6" spans="1:259" ht="38.4" customHeight="1" x14ac:dyDescent="0.3">
      <c r="F6" s="82"/>
      <c r="G6" s="82"/>
      <c r="H6" s="82"/>
      <c r="I6" s="82"/>
      <c r="J6" s="82"/>
      <c r="K6" s="82"/>
    </row>
    <row r="7" spans="1:259" ht="38.4" customHeight="1" x14ac:dyDescent="0.3">
      <c r="D7" s="81"/>
      <c r="E7" s="81"/>
      <c r="F7" s="81"/>
    </row>
    <row r="8" spans="1:259" ht="38.4" customHeight="1" x14ac:dyDescent="0.3">
      <c r="D8" s="81"/>
      <c r="E8" s="81"/>
      <c r="F8" s="81"/>
    </row>
  </sheetData>
  <autoFilter ref="A1:IY1" xr:uid="{A1051193-A95B-4CFB-A73C-F0184620C81F}">
    <sortState xmlns:xlrd2="http://schemas.microsoft.com/office/spreadsheetml/2017/richdata2" ref="A2:IY5">
      <sortCondition ref="AW1"/>
    </sortState>
  </autoFilter>
  <conditionalFormatting sqref="H1 CW1:GS1 IA1:IB1">
    <cfRule type="cellIs" dxfId="2312" priority="118" operator="greaterThan">
      <formula>0</formula>
    </cfRule>
  </conditionalFormatting>
  <conditionalFormatting sqref="H1:H2 H9:H1048576">
    <cfRule type="cellIs" dxfId="2311" priority="84" stopIfTrue="1" operator="notEqual">
      <formula>""</formula>
    </cfRule>
  </conditionalFormatting>
  <conditionalFormatting sqref="T1:BK1">
    <cfRule type="cellIs" dxfId="2310" priority="121" operator="greaterThan">
      <formula>0</formula>
    </cfRule>
  </conditionalFormatting>
  <conditionalFormatting sqref="BV1:BW2 BV5:BW1048576">
    <cfRule type="cellIs" dxfId="2309" priority="120" operator="equal">
      <formula>"nc"</formula>
    </cfRule>
  </conditionalFormatting>
  <conditionalFormatting sqref="HF1:HG1">
    <cfRule type="cellIs" dxfId="2308" priority="122" operator="greaterThan">
      <formula>0</formula>
    </cfRule>
  </conditionalFormatting>
  <conditionalFormatting sqref="HK1">
    <cfRule type="cellIs" dxfId="2307" priority="119" operator="greaterThan">
      <formula>0</formula>
    </cfRule>
  </conditionalFormatting>
  <conditionalFormatting sqref="HP1:HX1">
    <cfRule type="cellIs" dxfId="2306" priority="96" operator="equal">
      <formula>"PIN"</formula>
    </cfRule>
    <cfRule type="cellIs" dxfId="2305" priority="97" operator="equal">
      <formula>"ORA"</formula>
    </cfRule>
    <cfRule type="cellIs" dxfId="2304" priority="98" operator="equal">
      <formula>"GRA"</formula>
    </cfRule>
    <cfRule type="cellIs" dxfId="2303" priority="99" operator="equal">
      <formula>"PUR"</formula>
    </cfRule>
    <cfRule type="cellIs" dxfId="2302" priority="100" operator="equal">
      <formula>"BRO"</formula>
    </cfRule>
    <cfRule type="cellIs" dxfId="2301" priority="101" operator="equal">
      <formula>"YEL"</formula>
    </cfRule>
    <cfRule type="cellIs" dxfId="2300" priority="102" operator="equal">
      <formula>"BLU"</formula>
    </cfRule>
    <cfRule type="cellIs" dxfId="2299" priority="103" operator="equal">
      <formula>"WHI"</formula>
    </cfRule>
    <cfRule type="cellIs" dxfId="2298" priority="104" operator="equal">
      <formula>"GRE"</formula>
    </cfRule>
    <cfRule type="cellIs" dxfId="2297" priority="105" operator="equal">
      <formula>"RED"</formula>
    </cfRule>
    <cfRule type="cellIs" dxfId="2296" priority="106" operator="equal">
      <formula>"BLA"</formula>
    </cfRule>
  </conditionalFormatting>
  <conditionalFormatting sqref="IC1:IK1">
    <cfRule type="cellIs" dxfId="2295" priority="107" operator="equal">
      <formula>"PIN"</formula>
    </cfRule>
    <cfRule type="cellIs" dxfId="2294" priority="108" operator="equal">
      <formula>"ORA"</formula>
    </cfRule>
    <cfRule type="cellIs" dxfId="2293" priority="109" operator="equal">
      <formula>"GRA"</formula>
    </cfRule>
    <cfRule type="cellIs" dxfId="2292" priority="110" operator="equal">
      <formula>"PUR"</formula>
    </cfRule>
    <cfRule type="cellIs" dxfId="2291" priority="111" operator="equal">
      <formula>"BRO"</formula>
    </cfRule>
    <cfRule type="cellIs" dxfId="2290" priority="112" operator="equal">
      <formula>"YEL"</formula>
    </cfRule>
    <cfRule type="cellIs" dxfId="2289" priority="113" operator="equal">
      <formula>"BLU"</formula>
    </cfRule>
    <cfRule type="cellIs" dxfId="2288" priority="114" operator="equal">
      <formula>"WHI"</formula>
    </cfRule>
    <cfRule type="cellIs" dxfId="2287" priority="115" operator="equal">
      <formula>"GRE"</formula>
    </cfRule>
    <cfRule type="cellIs" dxfId="2286" priority="116" operator="equal">
      <formula>"RED"</formula>
    </cfRule>
    <cfRule type="cellIs" dxfId="2285" priority="117" operator="equal">
      <formula>"BLA"</formula>
    </cfRule>
  </conditionalFormatting>
  <conditionalFormatting sqref="IO1:IW1">
    <cfRule type="cellIs" dxfId="2284" priority="85" operator="equal">
      <formula>"PIN"</formula>
    </cfRule>
    <cfRule type="cellIs" dxfId="2283" priority="86" operator="equal">
      <formula>"ORA"</formula>
    </cfRule>
    <cfRule type="cellIs" dxfId="2282" priority="87" operator="equal">
      <formula>"GRA"</formula>
    </cfRule>
    <cfRule type="cellIs" dxfId="2281" priority="88" operator="equal">
      <formula>"PUR"</formula>
    </cfRule>
    <cfRule type="cellIs" dxfId="2280" priority="89" operator="equal">
      <formula>"BRO"</formula>
    </cfRule>
    <cfRule type="cellIs" dxfId="2279" priority="90" operator="equal">
      <formula>"YEL"</formula>
    </cfRule>
    <cfRule type="cellIs" dxfId="2278" priority="91" operator="equal">
      <formula>"BLU"</formula>
    </cfRule>
    <cfRule type="cellIs" dxfId="2277" priority="92" operator="equal">
      <formula>"WHI"</formula>
    </cfRule>
    <cfRule type="cellIs" dxfId="2276" priority="93" operator="equal">
      <formula>"GRE"</formula>
    </cfRule>
    <cfRule type="cellIs" dxfId="2275" priority="94" operator="equal">
      <formula>"RED"</formula>
    </cfRule>
    <cfRule type="cellIs" dxfId="2274" priority="95" operator="equal">
      <formula>"BLA"</formula>
    </cfRule>
  </conditionalFormatting>
  <conditionalFormatting sqref="H3">
    <cfRule type="cellIs" dxfId="2273" priority="77" stopIfTrue="1" operator="notEqual">
      <formula>""</formula>
    </cfRule>
  </conditionalFormatting>
  <conditionalFormatting sqref="R3 CU3">
    <cfRule type="cellIs" dxfId="2272" priority="79" operator="greaterThan">
      <formula>0</formula>
    </cfRule>
  </conditionalFormatting>
  <conditionalFormatting sqref="T3:AS3 CH3:CS3">
    <cfRule type="cellIs" dxfId="2271" priority="74" stopIfTrue="1" operator="equal">
      <formula>"n"</formula>
    </cfRule>
    <cfRule type="cellIs" dxfId="2270" priority="75" stopIfTrue="1" operator="equal">
      <formula>"y"</formula>
    </cfRule>
    <cfRule type="cellIs" dxfId="2269" priority="76" operator="greaterThan">
      <formula>0</formula>
    </cfRule>
  </conditionalFormatting>
  <conditionalFormatting sqref="AZ3:BB3">
    <cfRule type="expression" dxfId="2268" priority="61">
      <formula>$AT3=0</formula>
    </cfRule>
  </conditionalFormatting>
  <conditionalFormatting sqref="AZ3:BU3">
    <cfRule type="cellIs" dxfId="2267" priority="62" operator="equal">
      <formula>"PIN"</formula>
    </cfRule>
    <cfRule type="cellIs" dxfId="2266" priority="63" operator="equal">
      <formula>"ORA"</formula>
    </cfRule>
    <cfRule type="cellIs" dxfId="2265" priority="64" operator="equal">
      <formula>"GRA"</formula>
    </cfRule>
    <cfRule type="cellIs" dxfId="2264" priority="65" operator="equal">
      <formula>"PUR"</formula>
    </cfRule>
    <cfRule type="cellIs" dxfId="2263" priority="66" operator="equal">
      <formula>"BRO"</formula>
    </cfRule>
    <cfRule type="cellIs" dxfId="2262" priority="67" operator="equal">
      <formula>"YEL"</formula>
    </cfRule>
    <cfRule type="cellIs" dxfId="2261" priority="68" operator="equal">
      <formula>"BLU"</formula>
    </cfRule>
    <cfRule type="cellIs" dxfId="2260" priority="69" operator="equal">
      <formula>"WHI"</formula>
    </cfRule>
    <cfRule type="cellIs" dxfId="2259" priority="70" operator="equal">
      <formula>"GRE"</formula>
    </cfRule>
    <cfRule type="cellIs" dxfId="2258" priority="71" operator="equal">
      <formula>"RED"</formula>
    </cfRule>
    <cfRule type="cellIs" dxfId="2257" priority="72" operator="equal">
      <formula>"BLA"</formula>
    </cfRule>
  </conditionalFormatting>
  <conditionalFormatting sqref="BV3">
    <cfRule type="cellIs" dxfId="2256" priority="78" operator="equal">
      <formula>"nc"</formula>
    </cfRule>
  </conditionalFormatting>
  <conditionalFormatting sqref="CD3:CF3 BZ3:CA3">
    <cfRule type="cellIs" dxfId="2255" priority="73" operator="greaterThan">
      <formula>0</formula>
    </cfRule>
  </conditionalFormatting>
  <conditionalFormatting sqref="IC3:IK3">
    <cfRule type="expression" dxfId="2254" priority="60">
      <formula>$IL3&gt;0</formula>
    </cfRule>
  </conditionalFormatting>
  <conditionalFormatting sqref="BX3:CA3 CD3:CF3">
    <cfRule type="cellIs" dxfId="2253" priority="48" operator="equal">
      <formula>"y"</formula>
    </cfRule>
    <cfRule type="cellIs" dxfId="2252" priority="49" operator="equal">
      <formula>"PIN"</formula>
    </cfRule>
    <cfRule type="cellIs" dxfId="2251" priority="50" operator="equal">
      <formula>"ORA"</formula>
    </cfRule>
    <cfRule type="cellIs" dxfId="2250" priority="51" operator="equal">
      <formula>"GRA"</formula>
    </cfRule>
    <cfRule type="cellIs" dxfId="2249" priority="52" operator="equal">
      <formula>"PUR"</formula>
    </cfRule>
    <cfRule type="cellIs" dxfId="2248" priority="53" operator="equal">
      <formula>"BRO"</formula>
    </cfRule>
    <cfRule type="cellIs" dxfId="2247" priority="54" operator="equal">
      <formula>"YEL"</formula>
    </cfRule>
    <cfRule type="cellIs" dxfId="2246" priority="55" operator="equal">
      <formula>"BLU"</formula>
    </cfRule>
    <cfRule type="cellIs" dxfId="2245" priority="56" operator="equal">
      <formula>"WHI"</formula>
    </cfRule>
    <cfRule type="cellIs" dxfId="2244" priority="57" operator="equal">
      <formula>"GRE"</formula>
    </cfRule>
    <cfRule type="cellIs" dxfId="2243" priority="58" operator="equal">
      <formula>"RED"</formula>
    </cfRule>
    <cfRule type="cellIs" dxfId="2242" priority="59" operator="equal">
      <formula>"BLA"</formula>
    </cfRule>
  </conditionalFormatting>
  <conditionalFormatting sqref="J3">
    <cfRule type="colorScale" priority="80">
      <colorScale>
        <cfvo type="min"/>
        <cfvo type="percentile" val="50"/>
        <cfvo type="max"/>
        <color rgb="FFF8696B"/>
        <color rgb="FFFFEB84"/>
        <color rgb="FF63BE7B"/>
      </colorScale>
    </cfRule>
  </conditionalFormatting>
  <conditionalFormatting sqref="S3">
    <cfRule type="colorScale" priority="81">
      <colorScale>
        <cfvo type="min"/>
        <cfvo type="max"/>
        <color rgb="FFFCFCFF"/>
        <color rgb="FF754BFB"/>
      </colorScale>
    </cfRule>
  </conditionalFormatting>
  <conditionalFormatting sqref="AT3">
    <cfRule type="colorScale" priority="82">
      <colorScale>
        <cfvo type="min"/>
        <cfvo type="max"/>
        <color rgb="FFFCFCFF"/>
        <color theme="8" tint="0.39997558519241921"/>
      </colorScale>
    </cfRule>
  </conditionalFormatting>
  <conditionalFormatting sqref="CG3">
    <cfRule type="colorScale" priority="83">
      <colorScale>
        <cfvo type="min"/>
        <cfvo type="max"/>
        <color rgb="FFFCFCFF"/>
        <color rgb="FF63BE7B"/>
      </colorScale>
    </cfRule>
  </conditionalFormatting>
  <conditionalFormatting sqref="H4">
    <cfRule type="cellIs" dxfId="2241" priority="40" stopIfTrue="1" operator="notEqual">
      <formula>""</formula>
    </cfRule>
  </conditionalFormatting>
  <conditionalFormatting sqref="R4 CU4">
    <cfRule type="cellIs" dxfId="2240" priority="43" operator="greaterThan">
      <formula>0</formula>
    </cfRule>
  </conditionalFormatting>
  <conditionalFormatting sqref="T4:AS4 CH4:CS4">
    <cfRule type="cellIs" dxfId="2239" priority="37" stopIfTrue="1" operator="equal">
      <formula>"n"</formula>
    </cfRule>
    <cfRule type="cellIs" dxfId="2238" priority="38" stopIfTrue="1" operator="equal">
      <formula>"y"</formula>
    </cfRule>
    <cfRule type="cellIs" dxfId="2237" priority="39" operator="greaterThan">
      <formula>0</formula>
    </cfRule>
  </conditionalFormatting>
  <conditionalFormatting sqref="AZ4:BB4">
    <cfRule type="expression" dxfId="2236" priority="24">
      <formula>$AT4=0</formula>
    </cfRule>
  </conditionalFormatting>
  <conditionalFormatting sqref="CD4:CF4 BX4:CA4 AZ4:BU4">
    <cfRule type="cellIs" dxfId="2235" priority="25" operator="equal">
      <formula>"PIN"</formula>
    </cfRule>
    <cfRule type="cellIs" dxfId="2234" priority="26" operator="equal">
      <formula>"ORA"</formula>
    </cfRule>
    <cfRule type="cellIs" dxfId="2233" priority="27" operator="equal">
      <formula>"GRA"</formula>
    </cfRule>
    <cfRule type="cellIs" dxfId="2232" priority="28" operator="equal">
      <formula>"PUR"</formula>
    </cfRule>
    <cfRule type="cellIs" dxfId="2231" priority="29" operator="equal">
      <formula>"BRO"</formula>
    </cfRule>
    <cfRule type="cellIs" dxfId="2230" priority="30" operator="equal">
      <formula>"YEL"</formula>
    </cfRule>
    <cfRule type="cellIs" dxfId="2229" priority="31" operator="equal">
      <formula>"BLU"</formula>
    </cfRule>
    <cfRule type="cellIs" dxfId="2228" priority="32" operator="equal">
      <formula>"WHI"</formula>
    </cfRule>
    <cfRule type="cellIs" dxfId="2227" priority="33" operator="equal">
      <formula>"GRE"</formula>
    </cfRule>
    <cfRule type="cellIs" dxfId="2226" priority="34" operator="equal">
      <formula>"RED"</formula>
    </cfRule>
    <cfRule type="cellIs" dxfId="2225" priority="35" operator="equal">
      <formula>"BLA"</formula>
    </cfRule>
  </conditionalFormatting>
  <conditionalFormatting sqref="BV4">
    <cfRule type="cellIs" dxfId="2224" priority="42" operator="equal">
      <formula>"nc"</formula>
    </cfRule>
  </conditionalFormatting>
  <conditionalFormatting sqref="CD4:CF4 BX4:CA4">
    <cfRule type="cellIs" dxfId="2223" priority="41" operator="equal">
      <formula>"y"</formula>
    </cfRule>
  </conditionalFormatting>
  <conditionalFormatting sqref="CD4:CF4 BZ4:CA4">
    <cfRule type="cellIs" dxfId="2222" priority="36" operator="greaterThan">
      <formula>0</formula>
    </cfRule>
  </conditionalFormatting>
  <conditionalFormatting sqref="IC4:IK4">
    <cfRule type="expression" dxfId="2221" priority="23">
      <formula>$IL4&gt;0</formula>
    </cfRule>
  </conditionalFormatting>
  <conditionalFormatting sqref="IC4">
    <cfRule type="cellIs" dxfId="2220" priority="17" stopIfTrue="1" operator="greaterThan">
      <formula>0</formula>
    </cfRule>
  </conditionalFormatting>
  <conditionalFormatting sqref="ID4">
    <cfRule type="cellIs" dxfId="2219" priority="15" stopIfTrue="1" operator="greaterThan">
      <formula>0</formula>
    </cfRule>
  </conditionalFormatting>
  <conditionalFormatting sqref="II4 IE4:IF4">
    <cfRule type="cellIs" dxfId="2218" priority="22" operator="greaterThan">
      <formula>0</formula>
    </cfRule>
  </conditionalFormatting>
  <conditionalFormatting sqref="II4 IF4">
    <cfRule type="cellIs" dxfId="2217" priority="16" stopIfTrue="1" operator="greaterThan">
      <formula>0</formula>
    </cfRule>
  </conditionalFormatting>
  <conditionalFormatting sqref="IG4">
    <cfRule type="cellIs" dxfId="2216" priority="21" operator="greaterThan">
      <formula>0</formula>
    </cfRule>
  </conditionalFormatting>
  <conditionalFormatting sqref="IH4:II4">
    <cfRule type="cellIs" dxfId="2215" priority="20" operator="greaterThan">
      <formula>0</formula>
    </cfRule>
  </conditionalFormatting>
  <conditionalFormatting sqref="IJ4">
    <cfRule type="cellIs" dxfId="2214" priority="19" operator="greaterThan">
      <formula>0</formula>
    </cfRule>
  </conditionalFormatting>
  <conditionalFormatting sqref="IK4">
    <cfRule type="cellIs" dxfId="2213" priority="18" operator="greaterThan">
      <formula>0</formula>
    </cfRule>
  </conditionalFormatting>
  <conditionalFormatting sqref="IF4">
    <cfRule type="cellIs" dxfId="2212" priority="14" stopIfTrue="1" operator="greaterThan">
      <formula>0</formula>
    </cfRule>
  </conditionalFormatting>
  <conditionalFormatting sqref="IM4">
    <cfRule type="cellIs" dxfId="2211" priority="13" operator="equal">
      <formula>0</formula>
    </cfRule>
  </conditionalFormatting>
  <conditionalFormatting sqref="BX4:CA4 CD4:CF4">
    <cfRule type="cellIs" dxfId="2210" priority="1" operator="equal">
      <formula>"y"</formula>
    </cfRule>
    <cfRule type="cellIs" dxfId="2209" priority="2" operator="equal">
      <formula>"PIN"</formula>
    </cfRule>
    <cfRule type="cellIs" dxfId="2208" priority="3" operator="equal">
      <formula>"ORA"</formula>
    </cfRule>
    <cfRule type="cellIs" dxfId="2207" priority="4" operator="equal">
      <formula>"GRA"</formula>
    </cfRule>
    <cfRule type="cellIs" dxfId="2206" priority="5" operator="equal">
      <formula>"PUR"</formula>
    </cfRule>
    <cfRule type="cellIs" dxfId="2205" priority="6" operator="equal">
      <formula>"BRO"</formula>
    </cfRule>
    <cfRule type="cellIs" dxfId="2204" priority="7" operator="equal">
      <formula>"YEL"</formula>
    </cfRule>
    <cfRule type="cellIs" dxfId="2203" priority="8" operator="equal">
      <formula>"BLU"</formula>
    </cfRule>
    <cfRule type="cellIs" dxfId="2202" priority="9" operator="equal">
      <formula>"WHI"</formula>
    </cfRule>
    <cfRule type="cellIs" dxfId="2201" priority="10" operator="equal">
      <formula>"GRE"</formula>
    </cfRule>
    <cfRule type="cellIs" dxfId="2200" priority="11" operator="equal">
      <formula>"RED"</formula>
    </cfRule>
    <cfRule type="cellIs" dxfId="2199" priority="12" operator="equal">
      <formula>"BLA"</formula>
    </cfRule>
  </conditionalFormatting>
  <conditionalFormatting sqref="AT4">
    <cfRule type="colorScale" priority="44">
      <colorScale>
        <cfvo type="min"/>
        <cfvo type="max"/>
        <color rgb="FFFCFCFF"/>
        <color theme="8" tint="0.39997558519241921"/>
      </colorScale>
    </cfRule>
  </conditionalFormatting>
  <conditionalFormatting sqref="S4">
    <cfRule type="colorScale" priority="45">
      <colorScale>
        <cfvo type="min"/>
        <cfvo type="max"/>
        <color rgb="FFFCFCFF"/>
        <color rgb="FF754BFB"/>
      </colorScale>
    </cfRule>
  </conditionalFormatting>
  <conditionalFormatting sqref="J4">
    <cfRule type="colorScale" priority="46">
      <colorScale>
        <cfvo type="min"/>
        <cfvo type="percentile" val="50"/>
        <cfvo type="max"/>
        <color rgb="FFF8696B"/>
        <color rgb="FFFFEB84"/>
        <color rgb="FF63BE7B"/>
      </colorScale>
    </cfRule>
  </conditionalFormatting>
  <conditionalFormatting sqref="CG4">
    <cfRule type="colorScale" priority="47">
      <colorScale>
        <cfvo type="min"/>
        <cfvo type="max"/>
        <color rgb="FFFCFCFF"/>
        <color rgb="FF63BE7B"/>
      </colorScale>
    </cfRule>
  </conditionalFormatting>
  <hyperlinks>
    <hyperlink ref="A3" r:id="rId1" display="https://fbref.com/en/country/MLI/Mali-Football" xr:uid="{36F2661E-19D5-47DA-BC75-21D6009BEBC8}"/>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4577" r:id="rId5"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24578" r:id="rId6"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24579" r:id="rId7"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2BF342-AECF-48EC-A99D-022E66F28306}">
  <sheetPr codeName="Sheet67"/>
  <dimension ref="A1:IY6"/>
  <sheetViews>
    <sheetView zoomScale="70" zoomScaleNormal="70" workbookViewId="0">
      <pane xSplit="5" ySplit="1" topLeftCell="F2" activePane="bottomRight" state="frozen"/>
      <selection pane="topRight" activeCell="F1" sqref="F1"/>
      <selection pane="bottomLeft" activeCell="A2" sqref="A2"/>
      <selection pane="bottomRight" activeCell="M3" sqref="M3"/>
    </sheetView>
  </sheetViews>
  <sheetFormatPr defaultRowHeight="38.4" customHeight="1" x14ac:dyDescent="0.3"/>
  <cols>
    <col min="1" max="1" width="52.44140625" style="81" bestFit="1" customWidth="1"/>
    <col min="2" max="2" width="10.109375" style="81" customWidth="1"/>
    <col min="3" max="3" width="7.44140625" style="82" customWidth="1"/>
    <col min="4" max="4" width="4.77734375" style="83" customWidth="1"/>
    <col min="5" max="5" width="4.5546875" style="83" customWidth="1"/>
    <col min="6" max="6" width="5.77734375" style="83" customWidth="1"/>
    <col min="7" max="7" width="7.44140625" style="81" customWidth="1"/>
    <col min="8" max="8" width="11.44140625" style="81" customWidth="1"/>
    <col min="9" max="9" width="10" style="81" customWidth="1"/>
    <col min="10" max="10" width="4.21875" style="81" customWidth="1"/>
    <col min="11" max="11" width="5.6640625" style="83" customWidth="1"/>
    <col min="12" max="12" width="2.88671875" style="83" customWidth="1"/>
    <col min="13" max="13" width="6.44140625" style="83" customWidth="1"/>
    <col min="14" max="14" width="4.5546875" style="83" customWidth="1"/>
    <col min="15" max="15" width="10.5546875" style="84" customWidth="1"/>
    <col min="16" max="16" width="6.88671875" style="83" customWidth="1"/>
    <col min="17" max="17" width="4.77734375" style="83" customWidth="1"/>
    <col min="18" max="18" width="13.109375" style="82" customWidth="1"/>
    <col min="19" max="19" width="6.77734375" style="82" customWidth="1"/>
    <col min="20" max="46" width="8.44140625" style="81" customWidth="1"/>
    <col min="47" max="47" width="24.5546875" style="81" customWidth="1"/>
    <col min="48" max="51" width="16.6640625" style="81" customWidth="1"/>
    <col min="52" max="52" width="6.5546875" style="81" customWidth="1"/>
    <col min="53" max="54" width="5.88671875" style="81" customWidth="1"/>
    <col min="55" max="55" width="1.33203125" style="81" customWidth="1"/>
    <col min="56" max="56" width="7.44140625" style="81" customWidth="1"/>
    <col min="57" max="57" width="2.33203125" style="81" customWidth="1"/>
    <col min="58" max="62" width="6.109375" style="81" customWidth="1"/>
    <col min="63" max="63" width="2.33203125" style="81" customWidth="1"/>
    <col min="64" max="64" width="7" style="81" bestFit="1" customWidth="1"/>
    <col min="65" max="65" width="6.44140625" style="81" bestFit="1" customWidth="1"/>
    <col min="66" max="66" width="7.109375" style="81" bestFit="1" customWidth="1"/>
    <col min="67" max="71" width="6.44140625" style="81" bestFit="1" customWidth="1"/>
    <col min="72" max="73" width="6.44140625" style="81" customWidth="1"/>
    <col min="74" max="75" width="13.44140625" style="81" customWidth="1"/>
    <col min="76" max="84" width="14.6640625" style="81" customWidth="1"/>
    <col min="85" max="85" width="6.44140625" style="81" customWidth="1"/>
    <col min="86" max="87" width="11.6640625" style="81" bestFit="1" customWidth="1"/>
    <col min="88" max="88" width="11.6640625" style="81" customWidth="1"/>
    <col min="89" max="89" width="12.77734375" style="81" bestFit="1" customWidth="1"/>
    <col min="90" max="90" width="16.44140625" style="82" bestFit="1" customWidth="1"/>
    <col min="91" max="92" width="14.88671875" style="82" bestFit="1" customWidth="1"/>
    <col min="93" max="93" width="16" style="82" bestFit="1" customWidth="1"/>
    <col min="94" max="97" width="7.77734375" style="81" customWidth="1"/>
    <col min="98" max="98" width="33.21875" style="81" customWidth="1"/>
    <col min="99" max="99" width="18" style="81" customWidth="1"/>
    <col min="100" max="100" width="75.6640625" style="81" customWidth="1"/>
    <col min="101" max="125" width="33" style="81" customWidth="1"/>
    <col min="126" max="126" width="8.88671875" style="81"/>
    <col min="127" max="128" width="9.44140625" style="81" bestFit="1" customWidth="1"/>
    <col min="129" max="129" width="10.77734375" style="81" bestFit="1" customWidth="1"/>
    <col min="130" max="134" width="10.77734375" style="81" customWidth="1"/>
    <col min="135" max="135" width="10.109375" style="81" bestFit="1" customWidth="1"/>
    <col min="136" max="136" width="7.77734375" style="81" bestFit="1" customWidth="1"/>
    <col min="137" max="137" width="7.77734375" style="81" customWidth="1"/>
    <col min="138" max="138" width="9" style="81" bestFit="1" customWidth="1"/>
    <col min="139" max="139" width="11.33203125" style="81" bestFit="1" customWidth="1"/>
    <col min="140" max="140" width="9.109375" style="81" bestFit="1" customWidth="1"/>
    <col min="141" max="141" width="9" style="81" bestFit="1" customWidth="1"/>
    <col min="142" max="142" width="12" style="81" bestFit="1" customWidth="1"/>
    <col min="143" max="166" width="12" style="81" customWidth="1"/>
    <col min="167" max="167" width="17.21875" style="81" customWidth="1"/>
    <col min="168" max="191" width="12" style="81" customWidth="1"/>
    <col min="192" max="192" width="8.5546875" style="81" bestFit="1" customWidth="1"/>
    <col min="193" max="193" width="8.5546875" style="81" customWidth="1"/>
    <col min="194" max="194" width="7.109375" style="81" bestFit="1" customWidth="1"/>
    <col min="195" max="195" width="7.5546875" style="81" bestFit="1" customWidth="1"/>
    <col min="196" max="196" width="8.5546875" style="81" bestFit="1" customWidth="1"/>
    <col min="197" max="200" width="8.5546875" style="81" customWidth="1"/>
    <col min="201" max="201" width="188.88671875" style="81" customWidth="1"/>
    <col min="202" max="202" width="9.5546875" style="81" bestFit="1" customWidth="1"/>
    <col min="203" max="203" width="10.44140625" style="81" bestFit="1" customWidth="1"/>
    <col min="204" max="204" width="11.109375" style="81" bestFit="1" customWidth="1"/>
    <col min="205" max="205" width="10.44140625" style="81" bestFit="1" customWidth="1"/>
    <col min="206" max="210" width="10.44140625" style="81" customWidth="1"/>
    <col min="211" max="211" width="45.44140625" style="81" customWidth="1"/>
    <col min="212" max="212" width="47.5546875" style="81" bestFit="1" customWidth="1"/>
    <col min="213" max="213" width="9.33203125" style="85" customWidth="1"/>
    <col min="214" max="214" width="119.5546875" style="81" customWidth="1"/>
    <col min="215" max="215" width="69.6640625" style="81" customWidth="1"/>
    <col min="216" max="218" width="8.88671875" style="81"/>
    <col min="219" max="219" width="37.109375" style="81" customWidth="1"/>
    <col min="220" max="220" width="16.33203125" style="81" customWidth="1"/>
    <col min="221" max="222" width="8.88671875" style="81"/>
    <col min="223" max="223" width="10.109375" style="81" bestFit="1" customWidth="1"/>
    <col min="224" max="232" width="10.88671875" style="81" customWidth="1"/>
    <col min="233" max="234" width="30.77734375" style="81" customWidth="1"/>
    <col min="235" max="235" width="5.109375" style="81" customWidth="1"/>
    <col min="236" max="236" width="3" style="81" customWidth="1"/>
    <col min="237" max="245" width="6.77734375" style="86" customWidth="1"/>
    <col min="246" max="247" width="8.88671875" style="81"/>
    <col min="248" max="248" width="61.5546875" style="81" customWidth="1"/>
    <col min="249" max="253" width="8.88671875" style="81"/>
    <col min="254" max="254" width="9" style="81" customWidth="1"/>
    <col min="255" max="16384" width="8.88671875" style="8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984</v>
      </c>
      <c r="B2" s="40" t="e" vm="90">
        <v>#VALUE!</v>
      </c>
      <c r="C2" s="41">
        <v>1</v>
      </c>
      <c r="D2" s="42" t="s">
        <v>985</v>
      </c>
      <c r="E2" s="43" t="s">
        <v>986</v>
      </c>
      <c r="F2" s="44" t="s">
        <v>163</v>
      </c>
      <c r="G2" s="45">
        <f>COUNTIF($A$1:$A$8341,A2)</f>
        <v>1</v>
      </c>
      <c r="H2" s="46"/>
      <c r="I2" s="47" t="s">
        <v>987</v>
      </c>
      <c r="J2" s="48" t="str">
        <f>""</f>
        <v/>
      </c>
      <c r="K2" s="49">
        <v>859859</v>
      </c>
      <c r="L2" s="50">
        <v>345600</v>
      </c>
      <c r="M2" s="50" t="s">
        <v>995</v>
      </c>
      <c r="N2" s="51" t="s">
        <v>180</v>
      </c>
      <c r="O2" s="52" t="s">
        <v>988</v>
      </c>
      <c r="P2" s="53" t="s">
        <v>989</v>
      </c>
      <c r="Q2" s="54">
        <v>1</v>
      </c>
      <c r="R2" s="55" t="s">
        <v>180</v>
      </c>
      <c r="S2" s="56">
        <v>0</v>
      </c>
      <c r="T2" s="57" t="s">
        <v>167</v>
      </c>
      <c r="U2" s="58" t="s">
        <v>164</v>
      </c>
      <c r="V2" s="58" t="s">
        <v>164</v>
      </c>
      <c r="W2" s="58" t="s">
        <v>164</v>
      </c>
      <c r="X2" s="58" t="s">
        <v>164</v>
      </c>
      <c r="Y2" s="58" t="s">
        <v>164</v>
      </c>
      <c r="Z2" s="58" t="s">
        <v>164</v>
      </c>
      <c r="AA2" s="58" t="s">
        <v>164</v>
      </c>
      <c r="AB2" s="58" t="s">
        <v>164</v>
      </c>
      <c r="AC2" s="58" t="s">
        <v>164</v>
      </c>
      <c r="AD2" s="58" t="s">
        <v>167</v>
      </c>
      <c r="AE2" s="58" t="s">
        <v>164</v>
      </c>
      <c r="AF2" s="59" t="s">
        <v>164</v>
      </c>
      <c r="AG2" s="59" t="s">
        <v>164</v>
      </c>
      <c r="AH2" s="59" t="s">
        <v>167</v>
      </c>
      <c r="AI2" s="59" t="s">
        <v>164</v>
      </c>
      <c r="AJ2" s="59" t="s">
        <v>164</v>
      </c>
      <c r="AK2" s="59" t="s">
        <v>164</v>
      </c>
      <c r="AL2" s="59" t="s">
        <v>164</v>
      </c>
      <c r="AM2" s="59" t="s">
        <v>167</v>
      </c>
      <c r="AN2" s="59" t="s">
        <v>164</v>
      </c>
      <c r="AO2" s="59" t="s">
        <v>164</v>
      </c>
      <c r="AP2" s="59" t="s">
        <v>164</v>
      </c>
      <c r="AQ2" s="59" t="s">
        <v>164</v>
      </c>
      <c r="AR2" s="59" t="s">
        <v>164</v>
      </c>
      <c r="AS2" s="59" t="s">
        <v>164</v>
      </c>
      <c r="AT2" s="60">
        <v>0</v>
      </c>
      <c r="AU2" s="59"/>
      <c r="AV2" s="59" t="str">
        <f>IF(LEFT(A2,1)="[",LEFT(A2,5)&amp;AU2&amp;A2,"")</f>
        <v/>
      </c>
      <c r="AW2" s="59" t="str">
        <f t="shared" ref="AW2:AW3" si="0">C2&amp;H2&amp;A2</f>
        <v>1Reunion</v>
      </c>
      <c r="AX2" s="61" t="str">
        <f>_xlfn.TEXTJOIN(";",TRUE,AU2:AW2)</f>
        <v>1Reunion</v>
      </c>
      <c r="AY2" s="61" t="s">
        <v>167</v>
      </c>
      <c r="AZ2" s="62"/>
      <c r="BA2" s="62"/>
      <c r="BB2" s="62"/>
      <c r="BC2" s="63"/>
      <c r="BD2" s="64" t="s">
        <v>152</v>
      </c>
      <c r="BE2" s="47"/>
      <c r="BF2" s="64"/>
      <c r="BG2" s="64"/>
      <c r="BH2" s="64"/>
      <c r="BI2" s="64"/>
      <c r="BJ2" s="64"/>
      <c r="BK2" s="47"/>
      <c r="BL2" s="64" t="s">
        <v>155</v>
      </c>
      <c r="BM2" s="64" t="s">
        <v>152</v>
      </c>
      <c r="BN2" s="64" t="s">
        <v>154</v>
      </c>
      <c r="BO2" s="64"/>
      <c r="BP2" s="64"/>
      <c r="BQ2" s="64"/>
      <c r="BR2" s="64"/>
      <c r="BS2" s="64"/>
      <c r="BT2" s="64"/>
      <c r="BU2" s="65"/>
      <c r="BV2" s="66" t="s">
        <v>165</v>
      </c>
      <c r="BW2" s="66">
        <v>0</v>
      </c>
      <c r="BX2" s="47"/>
      <c r="BY2" s="48" t="s">
        <v>164</v>
      </c>
      <c r="CB2" s="6" t="s">
        <v>137</v>
      </c>
      <c r="CC2" s="6"/>
      <c r="CD2" s="67">
        <v>0</v>
      </c>
      <c r="CE2" s="67">
        <v>0</v>
      </c>
      <c r="CF2" s="67" t="e">
        <v>#REF!</v>
      </c>
      <c r="CG2" s="68" cm="1">
        <f t="array" ref="CG2">SUMPRODUCT(--(LEN(TRIM(BL2:BT2))&gt;0))</f>
        <v>3</v>
      </c>
      <c r="CH2" s="59" t="str">
        <f>IF(CG2=2,"y","n")</f>
        <v>n</v>
      </c>
      <c r="CI2" s="59" t="str">
        <f>IF(CG2=3,"y","n")</f>
        <v>y</v>
      </c>
      <c r="CJ2" s="59" t="str">
        <f>IF(CG2=4,"y","n")</f>
        <v>n</v>
      </c>
      <c r="CK2" s="59" t="str">
        <f>IF(CG2&gt;4,"y","n")</f>
        <v>n</v>
      </c>
      <c r="CL2" s="59" t="str">
        <f>IF(S2=0,"y","n")</f>
        <v>y</v>
      </c>
      <c r="CM2" s="59" t="str">
        <f>IF(S2=2,"y","n")</f>
        <v>n</v>
      </c>
      <c r="CN2" s="59" t="str">
        <f>IF(S2=3,"y","n")</f>
        <v>n</v>
      </c>
      <c r="CO2" s="59" t="str">
        <f>IF(S2&gt;=4,"y","n")</f>
        <v>n</v>
      </c>
      <c r="CP2" s="59" t="str">
        <f>IF(AT2=0,"y","n")</f>
        <v>y</v>
      </c>
      <c r="CQ2" s="59" t="str">
        <f>IF(AT2=1,"y","n")</f>
        <v>n</v>
      </c>
      <c r="CR2" s="59" t="str">
        <f>IF(AT2=2,"y","n")</f>
        <v>n</v>
      </c>
      <c r="CS2" s="59" t="str">
        <f>IF(AT2&gt;=3,"y","n")</f>
        <v>n</v>
      </c>
      <c r="CT2" s="69" t="str">
        <f>CHAR(34)&amp;A2&amp;CHAR(34)</f>
        <v>"Reunion"</v>
      </c>
      <c r="CU2" s="70" t="str">
        <f>CHAR(34)&amp;"rgn_"&amp;R2&amp;CHAR(34)</f>
        <v>"rgn_Africa"</v>
      </c>
      <c r="CV2" s="48" t="str">
        <f>CHAR(34)&amp;D2&amp;CHAR(34)</f>
        <v>"https://upload.wikimedia.org/wikipedia/commons/thumb/8/8e/Proposed_flag_of_Réunion_%28VAR%29.svg/300px-Proposed_flag_of_Réunion_%28VAR%29.svg.png"</v>
      </c>
      <c r="CW2" s="48" t="str">
        <f>IF(CH2="y",CHAR(34)&amp;CH$1&amp;CHAR(34)&amp;",","")</f>
        <v/>
      </c>
      <c r="CX2" s="48" t="str">
        <f>IF(CI2="y",CHAR(34)&amp;CI$1&amp;CHAR(34)&amp;",","")</f>
        <v>"3Color",</v>
      </c>
      <c r="CY2" s="48" t="str">
        <f>IF(CJ2="y",CHAR(34)&amp;CJ$1&amp;CHAR(34)&amp;",","")</f>
        <v/>
      </c>
      <c r="CZ2" s="48" t="str">
        <f>IF(CK2="y",CHAR(34)&amp;CK$1&amp;CHAR(34)&amp;",","")</f>
        <v/>
      </c>
      <c r="DA2" s="48" t="str">
        <f>IF(Q2&gt;1,CHAR(34)&amp;"words2"&amp;CHAR(34)&amp;",","")</f>
        <v/>
      </c>
      <c r="DB2" s="48" t="str">
        <f>IF(Q2&gt;2,CHAR(34)&amp;"words3"&amp;CHAR(34)&amp;",","")</f>
        <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"lets07",</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"startR",</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"LUEDEL",</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
      </c>
      <c r="DP2" s="6" t="str">
        <f>IF(AND(ISNUMBER(SEARCH("20", O2)), ISERROR(SEARCH("1920", O2))), CHAR(34)&amp;"year00"&amp;CHAR(34)&amp;",", "")</f>
        <v>"year00",</v>
      </c>
      <c r="DQ2" s="6" t="str">
        <f>IF(CC2="y",CHAR(34)&amp;"soviet"&amp;CHAR(34)&amp;",","")</f>
        <v/>
      </c>
      <c r="DR2" s="6" t="str">
        <f>IF(BY2="y",CHAR(34)&amp;"dgband"&amp;CHAR(34)&amp;",","")</f>
        <v/>
      </c>
      <c r="DS2" s="6" t="str">
        <f>IF(W2="y",IF(AND(V2="n",BY2&lt;&gt;"y"),CHAR(34)&amp;"allver"&amp;CHAR(34)&amp;",",""),"")</f>
        <v/>
      </c>
      <c r="DT2" s="6" t="str">
        <f>IF(V2="y",IF(AND(W2="n",BY2&lt;&gt;"y"),CHAR(34)&amp;"allhor"&amp;CHAR(34)&amp;",",""),"")</f>
        <v/>
      </c>
      <c r="DU2" s="6" t="str">
        <f>IF(BY2="y",IF(AND(W2="n",V2="n"),CHAR(34)&amp;"alldia"&amp;CHAR(34)&amp;",",""),"")</f>
        <v/>
      </c>
      <c r="DV2" s="48" t="str">
        <f>IF(IA2&lt;&gt;"",(IF(IA2="y",CHAR(34)&amp;"largec"&amp;CHAR(34)&amp;",",CHAR(34)&amp;"smallc"&amp;CHAR(34)&amp;",")),"")</f>
        <v/>
      </c>
      <c r="DW2" s="48" t="str">
        <f>IF(CL2="y",CHAR(34)&amp;CL$1&amp;CHAR(34)&amp;",","")</f>
        <v>"NoBand",</v>
      </c>
      <c r="DX2" s="48" t="str">
        <f>IF(CM2="y",CHAR(34)&amp;CM$1&amp;CHAR(34)&amp;",","")</f>
        <v/>
      </c>
      <c r="DY2" s="48" t="str">
        <f>IF(CN2="y",CHAR(34)&amp;CN$1&amp;CHAR(34)&amp;",","")</f>
        <v/>
      </c>
      <c r="DZ2" s="48" t="str">
        <f>IF(CO2="y",CHAR(34)&amp;CO$1&amp;CHAR(34)&amp;",","")</f>
        <v/>
      </c>
      <c r="EA2" s="48" t="str">
        <f>IF(T2="y",CHAR(34)&amp;T$1&amp;CHAR(34)&amp;",","")</f>
        <v>"Diagon",</v>
      </c>
      <c r="EB2" s="48" t="str">
        <f>IF(U2="y",CHAR(34)&amp;U$1&amp;CHAR(34)&amp;",","")</f>
        <v/>
      </c>
      <c r="EC2" s="48" t="str">
        <f>IF(V2="y",CHAR(34)&amp;V$1&amp;CHAR(34)&amp;",","")</f>
        <v/>
      </c>
      <c r="ED2" s="48" t="str">
        <f>IF(W2="y",CHAR(34)&amp;W$1&amp;CHAR(34)&amp;",","")</f>
        <v/>
      </c>
      <c r="EE2" s="48" t="str">
        <f>IF(X2="y",CHAR(34)&amp;X$1&amp;CHAR(34)&amp;",","")</f>
        <v/>
      </c>
      <c r="EF2" s="48" t="str">
        <f>IF(AND(Y2&lt;&gt;"n",Y2&lt;&gt;""),CHAR(34)&amp;Y$1&amp;CHAR(34)&amp;",","")</f>
        <v/>
      </c>
      <c r="EG2" s="48" t="str">
        <f>IF(Z2="y",CHAR(34)&amp;Z$1&amp;CHAR(34)&amp;",","")</f>
        <v/>
      </c>
      <c r="EH2" s="48" t="str">
        <f>IF(AA2="y",CHAR(34)&amp;AA$1&amp;CHAR(34)&amp;",","")</f>
        <v/>
      </c>
      <c r="EI2" s="48" t="str">
        <f>IF(AB2="y",CHAR(34)&amp;AB$1&amp;CHAR(34)&amp;",","")</f>
        <v/>
      </c>
      <c r="EJ2" s="48" t="str">
        <f>IF(AC2="y",CHAR(34)&amp;AC$1&amp;CHAR(34)&amp;",","")</f>
        <v/>
      </c>
      <c r="EK2" s="48" t="str">
        <f>IF(AD2="y",CHAR(34)&amp;AD$1&amp;CHAR(34)&amp;",","")</f>
        <v>"HasSun",</v>
      </c>
      <c r="EL2" s="48" t="str">
        <f>IF(AE2="y",CHAR(34)&amp;AE$1&amp;CHAR(34)&amp;",","")</f>
        <v/>
      </c>
      <c r="EM2" s="48" t="str">
        <f>IF(AF2="y",CHAR(34)&amp;AF$1&amp;CHAR(34)&amp;",","")</f>
        <v/>
      </c>
      <c r="EN2" s="48" t="str">
        <f>IF(AG2="y",CHAR(34)&amp;AG$1&amp;CHAR(34)&amp;",","")</f>
        <v/>
      </c>
      <c r="EO2" s="48" t="str">
        <f>IF(AH2="y",CHAR(34)&amp;AH$1&amp;CHAR(34)&amp;",","")</f>
        <v>"Center",</v>
      </c>
      <c r="EP2" s="48" t="str">
        <f>IF(AI2="y",CHAR(34)&amp;AI$1&amp;CHAR(34)&amp;",","")</f>
        <v/>
      </c>
      <c r="EQ2" s="48" t="str">
        <f>IF(AJ2="y",CHAR(34)&amp;AJ$1&amp;CHAR(34)&amp;",","")</f>
        <v/>
      </c>
      <c r="ER2" s="48" t="str">
        <f>IF(AK2="y",CHAR(34)&amp;AK$1&amp;CHAR(34)&amp;",","")</f>
        <v/>
      </c>
      <c r="ES2" s="48" t="str">
        <f>IF(AL2="y",CHAR(34)&amp;AL$1&amp;CHAR(34)&amp;",","")</f>
        <v/>
      </c>
      <c r="ET2" s="48" t="str">
        <f>IF(AM2="y",CHAR(34)&amp;AM$1&amp;CHAR(34)&amp;",","")</f>
        <v>"Geogrh",</v>
      </c>
      <c r="EU2" s="48" t="str">
        <f>IF(AN2="y",CHAR(34)&amp;AN$1&amp;CHAR(34)&amp;",","")</f>
        <v/>
      </c>
      <c r="EV2" s="48" t="str">
        <f>IF(AO2="y",CHAR(34)&amp;AO$1&amp;CHAR(34)&amp;",","")</f>
        <v/>
      </c>
      <c r="EW2" s="48" t="str">
        <f>IF(AP2="y",CHAR(34)&amp;AP$1&amp;CHAR(34)&amp;",","")</f>
        <v/>
      </c>
      <c r="EX2" s="48" t="str">
        <f>IF(AQ2="y",CHAR(34)&amp;AQ$1&amp;CHAR(34)&amp;",","")</f>
        <v/>
      </c>
      <c r="EY2" s="48" t="str">
        <f>IF(AR2="y",CHAR(34)&amp;AR$1&amp;CHAR(34)&amp;",","")</f>
        <v/>
      </c>
      <c r="EZ2" s="48" t="str">
        <f>IF(AS2="y",CHAR(34)&amp;AS$1&amp;CHAR(34)&amp;",","")</f>
        <v/>
      </c>
      <c r="FA2" s="48" t="str">
        <f>IF(AT2&gt;0,CHAR(34)&amp;"sta"&amp;AZ2&amp;CHAR(34)&amp;",","")</f>
        <v/>
      </c>
      <c r="FB2" s="48" t="str">
        <f>IF(AND(AT2&gt;0,BA2&lt;&gt;""),CHAR(34)&amp;"sta"&amp;BA2&amp;CHAR(34)&amp;",","")</f>
        <v/>
      </c>
      <c r="FC2" s="48" t="str">
        <f>IF(AND(AT2&gt;0,BB2&lt;&gt;""),CHAR(34)&amp;"sta"&amp;BB2&amp;CHAR(34)&amp;",","")</f>
        <v/>
      </c>
      <c r="FD2" s="48" t="str">
        <f>IF(BV2="n",CHAR(34)&amp;"tcWHYE"&amp;CHAR(34)&amp;",",IF(BV2="y",CHAR(34)&amp;FD$1&amp;CHAR(34)&amp;",",""))</f>
        <v/>
      </c>
      <c r="FE2" s="48" t="str">
        <f>IF(COUNTIF(BL2:BT2,"BLU")=0,CHAR(34)&amp;"NO_BLU"&amp;CHAR(34)&amp;",", "")</f>
        <v/>
      </c>
      <c r="FF2" s="48" t="str">
        <f>IF(COUNTIF(BL2:BT2,"WHI")=0,CHAR(34)&amp;"NO_WHI"&amp;CHAR(34)&amp;",", "")</f>
        <v>"NO_WHI",</v>
      </c>
      <c r="FG2" s="48" t="str">
        <f>IF(COUNTIF(BL2:BT2,"RED")=0,CHAR(34)&amp;"NO_RED"&amp;CHAR(34)&amp;",", "")</f>
        <v/>
      </c>
      <c r="FH2" s="48" t="str">
        <f>IF(COUNTIF(BL2:BS2,"GRE")=0,CHAR(34)&amp;"NO_GRE"&amp;CHAR(34)&amp;",", "")</f>
        <v>"NO_GRE",</v>
      </c>
      <c r="FI2" s="48" t="str">
        <f>IF(COUNTIF(BL2:BT2,"YEL")=0,CHAR(34)&amp;"NO_YEL"&amp;CHAR(34)&amp;",", "")</f>
        <v/>
      </c>
      <c r="FJ2" s="48" t="str">
        <f>IF(COUNTIF(BL2:BT2,"BLA")=0,CHAR(34)&amp;"NO_BLA"&amp;CHAR(34)&amp;",", "")</f>
        <v>"NO_BLA",</v>
      </c>
      <c r="FK2" s="48" t="str">
        <f>IF(AND(FH2&lt;&gt;"",FF2&lt;&gt;""),CHAR(34)&amp;"WHGRNO"&amp;CHAR(34)&amp;",","")</f>
        <v>"WHGRNO",</v>
      </c>
      <c r="FL2" s="48" t="str">
        <f>IF(AND(FI2&lt;&gt;"",FF2&lt;&gt;""),CHAR(34)&amp;"WHYENO"&amp;CHAR(34)&amp;",","")</f>
        <v/>
      </c>
      <c r="FM2" s="48" t="str">
        <f>IF(AND(FJ2&lt;&gt;"",FF2&lt;&gt;""),CHAR(34)&amp;"BAWHNO"&amp;CHAR(34)&amp;",","")</f>
        <v>"BAWHNO",</v>
      </c>
      <c r="FN2" s="48" t="str">
        <f>IF(AND(FE2&lt;&gt;"",FF2&lt;&gt;""),CHAR(34)&amp;"BLWHNO"&amp;CHAR(34)&amp;",","")</f>
        <v/>
      </c>
      <c r="FO2" s="48" t="str">
        <f>IF(AND(FE2&lt;&gt;"",FG2&lt;&gt;""),CHAR(34)&amp;"BLRENO"&amp;CHAR(34)&amp;",","")</f>
        <v/>
      </c>
      <c r="FP2" s="48" t="str">
        <f>IF(AND(FF2&lt;&gt;"",FF2&lt;&gt;""),CHAR(34)&amp;"WHRENO"&amp;CHAR(34)&amp;",","")</f>
        <v>"WHRENO",</v>
      </c>
      <c r="FQ2" s="48" t="str">
        <f>IF(LEN(BF2)=3,CHAR(34)&amp;"001"&amp;BF2&amp;CHAR(34)&amp;",","")</f>
        <v/>
      </c>
      <c r="FR2" s="48" t="str">
        <f>IF(LEN(BG2)=3,CHAR(34)&amp;"002"&amp;BG2&amp;CHAR(34)&amp;",","")</f>
        <v/>
      </c>
      <c r="FS2" s="48" t="str">
        <f>IF(LEN(BH2)=3,CHAR(34)&amp;"003"&amp;BH2&amp;CHAR(34)&amp;",","")</f>
        <v/>
      </c>
      <c r="FT2" s="48" t="str">
        <f>CHAR(34)&amp;"myr"&amp;BD2&amp;CHAR(34)&amp;","</f>
        <v>"myrBLU",</v>
      </c>
      <c r="FU2" s="48" t="str">
        <f>IF(AY2="y",CHAR(34)&amp;"island"&amp;CHAR(34)&amp;",","")</f>
        <v>"island",</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
      </c>
      <c r="GA2" s="48" t="str">
        <f>IFERROR(IF(SEARCH("French",CB2)&gt;0,CHAR(34)&amp;"french"&amp;CHAR(34)&amp;",",""),"")</f>
        <v>"french",</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"NoStar",</v>
      </c>
      <c r="GK2" s="48" t="str">
        <f>IF(GJ2="",CHAR(34)&amp;"HasSta"&amp;CHAR(34)&amp;",","")</f>
        <v/>
      </c>
      <c r="GL2" s="48" t="str">
        <f>IF(CQ2="y",CHAR(34)&amp;CQ$1&amp;CHAR(34)&amp;",","")</f>
        <v/>
      </c>
      <c r="GM2" s="48" t="str">
        <f>IF(CR2="y",CHAR(34)&amp;CR$1&amp;CHAR(34)&amp;",","")</f>
        <v/>
      </c>
      <c r="GN2" s="48" t="str">
        <f>IF(CS2="y",CHAR(34)&amp;CS$1&amp;CHAR(34)&amp;",","")</f>
        <v/>
      </c>
      <c r="GP2" s="48" t="str">
        <f>CHAR(34)&amp;AU2&amp;CHAR(34)</f>
        <v>""</v>
      </c>
      <c r="GS2" s="48" t="str">
        <f>SUBSTITUTE("["&amp;_xlfn.CONCAT(CW2:GN2)&amp;"]",",]","]")</f>
        <v>["3Color","lets07","startR","LUEDEL","year00","NoBand","Diagon","HasSun","Center","Geogrh","NO_WHI","NO_GRE","NO_BLA","WHGRNO","BAWHNO","WHRENO","myrBLU","island","french","NoStar"]</v>
      </c>
      <c r="GT2" s="48" t="str">
        <f>IF(BL2&lt;&gt;"",CHAR(34)&amp;"cl_"&amp;BL2&amp;CHAR(34)&amp;",","")</f>
        <v>"cl_YEL",</v>
      </c>
      <c r="GU2" s="48" t="str">
        <f>IF(BM2&lt;&gt;"",CHAR(34)&amp;"cl_"&amp;BM2&amp;CHAR(34)&amp;",","")</f>
        <v>"cl_BLU",</v>
      </c>
      <c r="GV2" s="48" t="str">
        <f>IF(BN2&lt;&gt;"",CHAR(34)&amp;"cl_"&amp;BN2&amp;CHAR(34)&amp;",","")</f>
        <v>"cl_RED",</v>
      </c>
      <c r="GW2" s="48" t="str">
        <f>IF(BO2&lt;&gt;"",CHAR(34)&amp;"cl_"&amp;BO2&amp;CHAR(34)&amp;",","")</f>
        <v/>
      </c>
      <c r="GX2" s="48" t="str">
        <f>IF(BP2&lt;&gt;"",CHAR(34)&amp;"cl_"&amp;BP2&amp;CHAR(34)&amp;",","")</f>
        <v/>
      </c>
      <c r="GY2" s="48" t="str">
        <f>IF(BQ2&lt;&gt;"",CHAR(34)&amp;"cl_"&amp;BQ2&amp;CHAR(34)&amp;",","")</f>
        <v/>
      </c>
      <c r="GZ2" s="48" t="str">
        <f>IF(BR2&lt;&gt;"",CHAR(34)&amp;"cl_"&amp;BR2&amp;CHAR(34)&amp;",","")</f>
        <v/>
      </c>
      <c r="HA2" s="48" t="str">
        <f>IF(BS2&lt;&gt;"",CHAR(34)&amp;"cl_"&amp;BS2&amp;CHAR(34)&amp;",","")</f>
        <v/>
      </c>
      <c r="HB2" s="48" t="str">
        <f>IF(BT2&lt;&gt;"",CHAR(34)&amp;"cl_"&amp;BT2&amp;CHAR(34)&amp;",","")</f>
        <v/>
      </c>
      <c r="HC2" s="48" t="str">
        <f>SUBSTITUTE("["&amp;_xlfn.CONCAT(GT2:HB2)&amp;"]",",]","]")</f>
        <v>["cl_YEL","cl_BLU","cl_RED"]</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{couname:"Reunion",year:"2003, 2014 ",region:"rgn_Africa",Colors:["cl_YEL","cl_BLU","cl_RED"],Items:["3Color","lets07","startR","LUEDEL","year00","NoBand","Diagon","HasSun","Center","Geogrh","NO_WHI","NO_GRE","NO_BLA","WHGRNO","BAWHNO","WHRENO","myrBLU","island","french","NoStar"],Flag:"https://upload.wikimedia.org/wikipedia/commons/thumb/8/8e/Proposed_flag_of_Réunion_%28VAR%29.svg/300px-Proposed_flag_of_Réunion_%28VAR%29.svg.png",HDFlag:"https://upload.wikimedia.org/wikipedia/commons/thumb/8/8e/Proposed_flag_of_R%C3%A9union_%28VAR%29.svg/2560px-Proposed_flag_of_R%C3%A9union_%28VAR%29.svg.png",type:"", describe: "\nThe Vexillological Association of Réunion selected a flag in 2003. It depicts the volcano of la Fournaise, bedecked by gold sunbeams. It was designed in 1974 by Guy Pignolet with help of Jean Finck and Didier Finck who called it Lö Mahavéli but it really started to be promoted once the association chose it in 2003. It does not have official recognition but since 2014, it is flying outside or on top of many public buildings, like at the town halls of Saint-Denis and Saint-Philippe, after several city councils have taken the decision to do so. The flag is included in many versions of emoji.", isnew:".", links: "https://en.wikipedia.org/wiki/Flag_of_Réunion"},</v>
      </c>
      <c r="HG2" s="73" t="str">
        <f>"{couname:"&amp;CT2&amp;(IF(HK2&lt;&gt;"",",subtype:"&amp;CHAR(34)&amp;HK2&amp;CHAR(34),""))&amp;",year:"&amp;HJ2&amp;",region:"&amp;CU2&amp;",Colors:"&amp;HC2&amp;",Items:"&amp;GS2&amp;",Flag:"&amp;CV2&amp;",HDFlag:"&amp;CHAR(34)&amp;E2&amp;CHAR(34)&amp;",type:"&amp;GP2&amp;", describe: "&amp;HI2&amp;", links: "&amp;HL2&amp;"},"</f>
        <v>{couname:"Reunion",year:"2003, 2014 ",region:"rgn_Africa",Colors:["cl_YEL","cl_BLU","cl_RED"],Items:["3Color","lets07","startR","LUEDEL","year00","NoBand","Diagon","HasSun","Center","Geogrh","NO_WHI","NO_GRE","NO_BLA","WHGRNO","BAWHNO","WHRENO","myrBLU","island","french","NoStar"],Flag:"https://upload.wikimedia.org/wikipedia/commons/thumb/8/8e/Proposed_flag_of_Réunion_%28VAR%29.svg/300px-Proposed_flag_of_Réunion_%28VAR%29.svg.png",HDFlag:"https://upload.wikimedia.org/wikipedia/commons/thumb/8/8e/Proposed_flag_of_R%C3%A9union_%28VAR%29.svg/2560px-Proposed_flag_of_R%C3%A9union_%28VAR%29.svg.png",type:"", describe: "\nThe Vexillological Association of Réunion selected a flag in 2003. It depicts the volcano of la Fournaise, bedecked by gold sunbeams. It was designed in 1974 by Guy Pignolet with help of Jean Finck and Didier Finck who called it Lö Mahavéli but it really started to be promoted once the association chose it in 2003. It does not have official recognition but since 2014, it is flying outside or on top of many public buildings, like at the town halls of Saint-Denis and Saint-Philippe, after several city councils have taken the decision to do so. The flag is included in many versions of emoji.", links: "https://en.wikipedia.org/wiki/Flag_of_Réunion"},</v>
      </c>
      <c r="HH2" s="48" t="str">
        <f>IF(P2&lt;&gt;"",CHAR(34)&amp;"\n"&amp;P2&amp;CHAR(34),CHAR(34)&amp;CHAR(34))</f>
        <v>"\nThe Vexillological Association of Réunion selected a flag in 2003. It depicts the volcano of la Fournaise, bedecked by gold sunbeams. It was designed in 1974 by Guy Pignolet with help of Jean Finck and Didier Finck who called it Lö Mahavéli but it really started to be promoted once the association chose it in 2003. It does not have official recognition but since 2014, it is flying outside or on top of many public buildings, like at the town halls of Saint-Denis and Saint-Philippe, after several city councils have taken the decision to do so. The flag is included in many versions of emoji."</v>
      </c>
      <c r="HI2" s="48" t="str">
        <f>IF(J2=0,CHAR(34)&amp;CHAR(34),HH2)</f>
        <v>"\nThe Vexillological Association of Réunion selected a flag in 2003. It depicts the volcano of la Fournaise, bedecked by gold sunbeams. It was designed in 1974 by Guy Pignolet with help of Jean Finck and Didier Finck who called it Lö Mahavéli but it really started to be promoted once the association chose it in 2003. It does not have official recognition but since 2014, it is flying outside or on top of many public buildings, like at the town halls of Saint-Denis and Saint-Philippe, after several city councils have taken the decision to do so. The flag is included in many versions of emoji."</v>
      </c>
      <c r="HJ2" s="48" t="str">
        <f>CHAR(34)&amp;O2&amp;CHAR(34)</f>
        <v>"2003, 2014 "</v>
      </c>
      <c r="HL2" s="48" t="str">
        <f>CHAR(34)&amp;I2&amp;CHAR(34)</f>
        <v>"https://en.wikipedia.org/wiki/Flag_of_Réunion"</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{"couname":"Reunion","year":"2003, 2014 ","region":"rgn_Africa","Colors":["cl_YEL","cl_BLU","cl_RED"],"Items":["3Color","lets07","startR","LUEDEL","year00","NoBand","Diagon","HasSun","Center","Geogrh","NO_WHI","NO_GRE","NO_BLA","WHGRNO","BAWHNO","WHRENO","myrBLU","island","french","NoStar"],"Flag":"https://upload.wikimedia.org/wikipedia/commons/thumb/8/8e/Proposed_flag_of_Réunion_%28VAR%29.svg/300px-Proposed_flag_of_Réunion_%28VAR%29.svg.png","HDFlag":"https://upload.wikimedia.org/wikipedia/commons/thumb/8/8e/Proposed_flag_of_R%C3%A9union_%28VAR%29.svg/2560px-Proposed_flag_of_R%C3%A9union_%28VAR%29.svg.png","type":"", "describe": "\nThe Vexillological Association of Réunion selected a flag in 2003. It depicts the volcano of la Fournaise, bedecked by gold sunbeams. It was designed in 1974 by Guy Pignolet with help of Jean Finck and Didier Finck who called it Lö Mahavéli but it really started to be promoted once the association chose it in 2003. It does not have official recognition but since 2014, it is flying outside or on top of many public buildings, like at the town halls of Saint-Denis and Saint-Philippe, after several city councils have taken the decision to do so. The flag is included in many versions of emoji.", "isnew": ".", "links": "https://en.wikipedia.org/wiki/Flag_of_Réunion"},</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{"couname":"Reunion","year":"2003, 2014 ","region":"rgn_Africa","Colors":["cl_YEL","cl_BLU","cl_RED"],"Items":["3Color","lets07","startR","LUEDEL","year00","NoBand","Diagon","HasSun","Center","Geogrh","NO_WHI","NO_GRE","NO_BLA","WHGRNO","BAWHNO","WHRENO","myrBLU","island","french","NoStar"],"Flag":"https://upload.wikimedia.org/wikipedia/commons/thumb/8/8e/Proposed_flag_of_Réunion_%28VAR%29.svg/300px-Proposed_flag_of_Réunion_%28VAR%29.svg.png","HDFlag":"https://upload.wikimedia.org/wikipedia/commons/thumb/8/8e/Proposed_flag_of_R%C3%A9union_%28VAR%29.svg/2560px-Proposed_flag_of_R%C3%A9union_%28VAR%29.svg.png","type":"", "describe": "\nThe Vexillological Association of Réunion selected a flag in 2003. It depicts the volcano of la Fournaise, bedecked by gold sunbeams. It was designed in 1974 by Guy Pignolet with help of Jean Finck and Didier Finck who called it Lö Mahavéli but it really started to be promoted once the association chose it in 2003. It does not have official recognition but since 2014, it is flying outside or on top of many public buildings, like at the town halls of Saint-Denis and Saint-Philippe, after several city councils have taken the decision to do so. The flag is included in many versions of emoji.", "isnew": ".", "links": "https://en.wikipedia.org/wiki/Flag_of_Réunion"},</v>
      </c>
      <c r="HO2" s="75"/>
      <c r="HP2" s="48" t="str" cm="1">
        <f t="array" ref="HP2">IF(_xlfn.TEXTJOIN(", ", TRUE, IF(ISNUMBER(SEARCH("BLA", BL2:BT2)), COLUMN(BL2:BT2) - COLUMN(BL2) + 1, ""))&lt;&gt;"","BLA","")</f>
        <v/>
      </c>
      <c r="HQ2" s="48" t="str" cm="1">
        <f t="array" ref="HQ2">IF(_xlfn.TEXTJOIN(", ", TRUE, IF(ISNUMBER(SEARCH("BLU", BL2:BT2)), COLUMN(BL2:BT2) - COLUMN(BL2) + 1, ""))&lt;&gt;"","BLU","")</f>
        <v>BLU</v>
      </c>
      <c r="HR2" s="48" t="str" cm="1">
        <f t="array" ref="HR2">IF(_xlfn.TEXTJOIN(", ", TRUE, IF(ISNUMBER(SEARCH("GRE", BL2:BT2)), COLUMN(BL2:BT2) - COLUMN(BL2) + 1, ""))&lt;&gt;"","GRE","")</f>
        <v/>
      </c>
      <c r="HS2" s="48" t="str" cm="1">
        <f t="array" ref="HS2">IF(_xlfn.TEXTJOIN(", ", TRUE, IF(ISNUMBER(SEARCH("RED", BL2:BT2)), COLUMN(BL2:BT2) - COLUMN(BL2) + 1, ""))&lt;&gt;"","RED","")</f>
        <v>RED</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
      </c>
      <c r="HY2" s="76"/>
      <c r="HZ2" s="76"/>
      <c r="IA2" s="6"/>
      <c r="IB2" s="6"/>
      <c r="IC2" s="77"/>
      <c r="ID2" s="77"/>
      <c r="IE2" s="77"/>
      <c r="IF2" s="77"/>
      <c r="IG2" s="77"/>
      <c r="IH2" s="77"/>
      <c r="II2" s="77"/>
      <c r="IJ2" s="77"/>
      <c r="IK2" s="77"/>
      <c r="IL2" s="48">
        <f>SUM(IC2:IK2)</f>
        <v>0</v>
      </c>
      <c r="IM2" s="45">
        <f>COUNTIF(IC2:IK2,"&gt;0")-CG2</f>
        <v>-3</v>
      </c>
      <c r="IN2" s="78" t="str">
        <f>"http://mkweb.bcgsc.ca/color-summarizer/?url="&amp;D2&amp;"&amp;precision=low&amp;num_clusters="&amp;CG2&amp;"&amp;text=1"</f>
        <v>http://mkweb.bcgsc.ca/color-summarizer/?url=https://upload.wikimedia.org/wikipedia/commons/thumb/8/8e/Proposed_flag_of_Réunion_%28VAR%29.svg/300px-Proposed_flag_of_Réunion_%28VAR%29.svg.png&amp;precision=low&amp;num_clusters=3&amp;text=1</v>
      </c>
      <c r="IO2" s="48" t="str">
        <f>IF(HP2&lt;&gt;"",CHAR(34)&amp;"black"&amp;CHAR(34),"")</f>
        <v/>
      </c>
      <c r="IP2" s="48" t="str">
        <f>IF(HQ2&lt;&gt;"",CHAR(34)&amp;"blue"&amp;CHAR(34),"")</f>
        <v>"blue"</v>
      </c>
      <c r="IQ2" s="48" t="str">
        <f>IF(HR2&lt;&gt;"",CHAR(34)&amp;"green"&amp;CHAR(34),"")</f>
        <v/>
      </c>
      <c r="IR2" s="48" t="str">
        <f>IF(HS2&lt;&gt;"",CHAR(34)&amp;"red"&amp;CHAR(34),"")</f>
        <v>"red"</v>
      </c>
      <c r="IS2" s="48" t="str">
        <f>IF(HT2&lt;&gt;"",CHAR(34)&amp;"yellow"&amp;CHAR(34),"")</f>
        <v>"yellow"</v>
      </c>
      <c r="IT2" s="48" t="str">
        <f>IF(HU2&lt;&gt;"",CHAR(34)&amp;"orange"&amp;CHAR(34),"")</f>
        <v/>
      </c>
      <c r="IU2" s="48" t="str">
        <f>IF(HV2&lt;&gt;"",CHAR(34)&amp;"brown"&amp;CHAR(34),"")</f>
        <v/>
      </c>
      <c r="IV2" s="48" t="str">
        <f>IF(HW2&lt;&gt;"",CHAR(34)&amp;"purple"&amp;CHAR(34),"")</f>
        <v/>
      </c>
      <c r="IW2" s="48" t="str">
        <f>IF(HX2&lt;&gt;"",CHAR(34)&amp;"white"&amp;CHAR(34),"")</f>
        <v/>
      </c>
      <c r="IX2" s="48" t="str">
        <f>"{"&amp;CHAR(34)&amp;"url"&amp;CHAR(34)&amp;":"&amp;CHAR(34)&amp;IN2&amp;CHAR(34)&amp;","&amp;CHAR(34)&amp;"name"&amp;CHAR(34)&amp;":"&amp;CHAR(34)&amp;A2&amp;CHAR(34)&amp;"},"</f>
        <v>{"url":"http://mkweb.bcgsc.ca/color-summarizer/?url=https://upload.wikimedia.org/wikipedia/commons/thumb/8/8e/Proposed_flag_of_Réunion_%28VAR%29.svg/300px-Proposed_flag_of_Réunion_%28VAR%29.svg.png&amp;precision=low&amp;num_clusters=3&amp;text=1","name":"Reunion"},</v>
      </c>
      <c r="IY2" s="48">
        <v>178</v>
      </c>
    </row>
    <row r="3" spans="1:259" s="48" customFormat="1" ht="38.4" customHeight="1" thickBot="1" x14ac:dyDescent="0.35">
      <c r="A3" s="79" t="s">
        <v>990</v>
      </c>
      <c r="B3" s="40" t="e" vm="91">
        <v>#VALUE!</v>
      </c>
      <c r="C3" s="41">
        <v>2</v>
      </c>
      <c r="D3" s="42" t="s">
        <v>991</v>
      </c>
      <c r="E3" s="43" t="s">
        <v>992</v>
      </c>
      <c r="F3" s="44" t="s">
        <v>163</v>
      </c>
      <c r="G3" s="45">
        <f>COUNTIF($A$1:$A$8339,A3)</f>
        <v>1</v>
      </c>
      <c r="H3" s="46"/>
      <c r="I3" s="47" t="s">
        <v>987</v>
      </c>
      <c r="J3" s="48" t="str">
        <f>""</f>
        <v/>
      </c>
      <c r="K3" s="49"/>
      <c r="L3" s="50"/>
      <c r="M3" s="50"/>
      <c r="N3" s="51" t="s">
        <v>180</v>
      </c>
      <c r="O3" s="52" t="s">
        <v>993</v>
      </c>
      <c r="P3" s="53" t="s">
        <v>994</v>
      </c>
      <c r="Q3" s="54">
        <v>2</v>
      </c>
      <c r="R3" s="55" t="s">
        <v>180</v>
      </c>
      <c r="S3" s="56">
        <v>3</v>
      </c>
      <c r="T3" s="57" t="s">
        <v>164</v>
      </c>
      <c r="U3" s="58" t="s">
        <v>164</v>
      </c>
      <c r="V3" s="58" t="s">
        <v>167</v>
      </c>
      <c r="W3" s="58" t="s">
        <v>164</v>
      </c>
      <c r="X3" s="58" t="s">
        <v>164</v>
      </c>
      <c r="Y3" s="58" t="s">
        <v>164</v>
      </c>
      <c r="Z3" s="58" t="s">
        <v>164</v>
      </c>
      <c r="AA3" s="58" t="s">
        <v>164</v>
      </c>
      <c r="AB3" s="58" t="s">
        <v>164</v>
      </c>
      <c r="AC3" s="58" t="s">
        <v>164</v>
      </c>
      <c r="AD3" s="58" t="s">
        <v>164</v>
      </c>
      <c r="AE3" s="58" t="s">
        <v>164</v>
      </c>
      <c r="AF3" s="59" t="s">
        <v>164</v>
      </c>
      <c r="AG3" s="59" t="s">
        <v>164</v>
      </c>
      <c r="AH3" s="59" t="s">
        <v>164</v>
      </c>
      <c r="AI3" s="59" t="s">
        <v>167</v>
      </c>
      <c r="AJ3" s="59" t="s">
        <v>164</v>
      </c>
      <c r="AK3" s="59" t="s">
        <v>164</v>
      </c>
      <c r="AL3" s="59" t="s">
        <v>164</v>
      </c>
      <c r="AM3" s="59" t="s">
        <v>164</v>
      </c>
      <c r="AN3" s="59" t="s">
        <v>164</v>
      </c>
      <c r="AO3" s="59" t="s">
        <v>164</v>
      </c>
      <c r="AP3" s="59" t="s">
        <v>164</v>
      </c>
      <c r="AQ3" s="59" t="s">
        <v>164</v>
      </c>
      <c r="AR3" s="59" t="s">
        <v>164</v>
      </c>
      <c r="AS3" s="59" t="s">
        <v>164</v>
      </c>
      <c r="AT3" s="60">
        <v>1</v>
      </c>
      <c r="AU3" s="59" t="s">
        <v>399</v>
      </c>
      <c r="AV3" s="59" t="str">
        <f>IF(LEFT(A3,1)="[",LEFT(A3,5)&amp;AU3&amp;A3,"")</f>
        <v>[REU]Political[REU] Independentist Flag</v>
      </c>
      <c r="AW3" s="59" t="str">
        <f t="shared" si="0"/>
        <v>2[REU] Independentist Flag</v>
      </c>
      <c r="AX3" s="61"/>
      <c r="AY3" s="61"/>
      <c r="AZ3" s="62" t="s">
        <v>155</v>
      </c>
      <c r="BA3" s="62"/>
      <c r="BB3" s="62"/>
      <c r="BC3" s="63"/>
      <c r="BD3" s="64" t="s">
        <v>154</v>
      </c>
      <c r="BE3" s="47"/>
      <c r="BF3" s="64" t="s">
        <v>154</v>
      </c>
      <c r="BG3" s="64" t="s">
        <v>155</v>
      </c>
      <c r="BH3" s="64" t="s">
        <v>153</v>
      </c>
      <c r="BI3" s="64"/>
      <c r="BJ3" s="64"/>
      <c r="BK3" s="47"/>
      <c r="BL3" s="64" t="s">
        <v>154</v>
      </c>
      <c r="BM3" s="64" t="s">
        <v>155</v>
      </c>
      <c r="BN3" s="64" t="s">
        <v>153</v>
      </c>
      <c r="BO3" s="64"/>
      <c r="BP3" s="64"/>
      <c r="BQ3" s="64"/>
      <c r="BR3" s="64"/>
      <c r="BS3" s="64"/>
      <c r="BT3" s="64"/>
      <c r="BU3" s="65" t="s">
        <v>164</v>
      </c>
      <c r="BV3" s="66"/>
      <c r="BW3" s="66">
        <v>0</v>
      </c>
      <c r="BX3" s="47"/>
      <c r="CB3" s="6"/>
      <c r="CC3" s="6"/>
      <c r="CD3" s="67">
        <v>0</v>
      </c>
      <c r="CE3" s="67">
        <v>0</v>
      </c>
      <c r="CF3" s="67" t="e">
        <v>#REF!</v>
      </c>
      <c r="CG3" s="68" cm="1">
        <f t="array" ref="CG3">SUMPRODUCT(--(LEN(TRIM(BL3:BT3))&gt;0))</f>
        <v>3</v>
      </c>
      <c r="CH3" s="59" t="str">
        <f>IF(CG3=2,"y","n")</f>
        <v>n</v>
      </c>
      <c r="CI3" s="59" t="str">
        <f>IF(CG3=3,"y","n")</f>
        <v>y</v>
      </c>
      <c r="CJ3" s="59" t="str">
        <f>IF(CG3=4,"y","n")</f>
        <v>n</v>
      </c>
      <c r="CK3" s="59" t="str">
        <f>IF(CG3&gt;4,"y","n")</f>
        <v>n</v>
      </c>
      <c r="CL3" s="59" t="str">
        <f>IF(S3=0,"y","n")</f>
        <v>n</v>
      </c>
      <c r="CM3" s="59" t="str">
        <f>IF(S3=2,"y","n")</f>
        <v>n</v>
      </c>
      <c r="CN3" s="59" t="str">
        <f>IF(S3=3,"y","n")</f>
        <v>y</v>
      </c>
      <c r="CO3" s="59" t="str">
        <f>IF(S3&gt;=4,"y","n")</f>
        <v>n</v>
      </c>
      <c r="CP3" s="59" t="str">
        <f>IF(AT3=0,"y","n")</f>
        <v>n</v>
      </c>
      <c r="CQ3" s="59" t="str">
        <f>IF(AT3=1,"y","n")</f>
        <v>y</v>
      </c>
      <c r="CR3" s="59" t="str">
        <f>IF(AT3=2,"y","n")</f>
        <v>n</v>
      </c>
      <c r="CS3" s="59" t="str">
        <f>IF(AT3&gt;=3,"y","n")</f>
        <v>n</v>
      </c>
      <c r="CT3" s="69" t="str">
        <f>CHAR(34)&amp;A3&amp;CHAR(34)</f>
        <v>"[REU] Independentist Flag"</v>
      </c>
      <c r="CU3" s="70" t="str">
        <f>CHAR(34)&amp;"rgn_"&amp;R3&amp;CHAR(34)</f>
        <v>"rgn_Africa"</v>
      </c>
      <c r="CV3" s="48" t="str">
        <f>CHAR(34)&amp;D3&amp;CHAR(34)</f>
        <v>"https://upload.wikimedia.org/wikipedia/commons/thumb/e/e7/Proposed_flag_of_R%C3%A9union_%28Nationalist_movement%29.svg/640px-Proposed_flag_of_R%C3%A9union_%28Nationalist_movement%29.svg.png"</v>
      </c>
      <c r="CW3" s="48" t="str">
        <f>IF(CH3="y",CHAR(34)&amp;CH$1&amp;CHAR(34)&amp;",","")</f>
        <v/>
      </c>
      <c r="CX3" s="48" t="str">
        <f>IF(CI3="y",CHAR(34)&amp;CI$1&amp;CHAR(34)&amp;",","")</f>
        <v>"3Color",</v>
      </c>
      <c r="CY3" s="48" t="str">
        <f>IF(CJ3="y",CHAR(34)&amp;CJ$1&amp;CHAR(34)&amp;",","")</f>
        <v/>
      </c>
      <c r="CZ3" s="48" t="str">
        <f>IF(CK3="y",CHAR(34)&amp;CK$1&amp;CHAR(34)&amp;",","")</f>
        <v/>
      </c>
      <c r="DA3" s="48" t="str">
        <f>IF(Q3&gt;1,CHAR(34)&amp;"words2"&amp;CHAR(34)&amp;",","")</f>
        <v>"words2",</v>
      </c>
      <c r="DB3" s="48" t="str">
        <f>IF(Q3&gt;2,CHAR(34)&amp;"words3"&amp;CHAR(34)&amp;",","")</f>
        <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"lets18",</v>
      </c>
      <c r="DE3" s="48" t="str">
        <f>CHAR(34)&amp;"start"&amp;IFERROR(LEFT(SUBSTITUTE(A3,"["&amp;MID(A3,FIND("[",A3)+1,FIND("]",A3)-FIND("[",A3)-1)&amp;"] ",""),1),LEFT(A3,1))&amp;CHAR(34)&amp;","</f>
        <v>"startI",</v>
      </c>
      <c r="DF3" s="48" t="str">
        <f>IFERROR(IF(SEARCH("tan",A3)&gt;0,CHAR(34)&amp;"withtn"&amp;CHAR(34)&amp;",",""),"")</f>
        <v/>
      </c>
      <c r="DG3" s="48" t="str">
        <f>IFERROR(IF(SEARCH("q",A3)&gt;0,CHAR(34)&amp;"with_q"&amp;CHAR(34)&amp;",",""),"")</f>
        <v/>
      </c>
      <c r="DH3" s="48" t="str">
        <f>IFERROR(IF(SEARCH("v",A3)&gt;0,CHAR(34)&amp;"with_v"&amp;CHAR(34)&amp;",",""),"")</f>
        <v/>
      </c>
      <c r="DI3" s="48" t="str">
        <f>IFERROR(IF(SEARCH("w",A3)&gt;0,CHAR(34)&amp;"with_w"&amp;CHAR(34)&amp;",",""),"")</f>
        <v/>
      </c>
      <c r="DJ3" s="48" t="str">
        <f>IFERROR(IF(SEARCH("y",A3)&gt;0,CHAR(34)&amp;"with_y"&amp;CHAR(34)&amp;",",""),"")</f>
        <v/>
      </c>
      <c r="DK3" s="48" t="str">
        <f>IFERROR(IF(SEARCH("z",A3)&gt;0,CHAR(34)&amp;"with_z"&amp;CHAR(34)&amp;",",""),"")</f>
        <v/>
      </c>
      <c r="DL3" s="48" t="str">
        <f>IF(CG3=2, CHAR(34) &amp; _xlfn.TEXTJOIN("", TRUE, _xlfn._xlws.SORT(HP3:HX3)) &amp; CHAR(34) &amp; ",", "")</f>
        <v/>
      </c>
      <c r="DM3" s="48" t="str" cm="1">
        <f t="array" ref="DM3">IF(CG3=3,CHAR(34) &amp; _xlfn.TEXTJOIN("", TRUE, RIGHT(HP3:HX3, 2)) &amp; CHAR(34) &amp; ",", "")</f>
        <v>"REEDEL",</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"year19",</v>
      </c>
      <c r="DP3" s="6" t="str">
        <f>IF(AND(ISNUMBER(SEARCH("20", O3)), ISERROR(SEARCH("1920", O3))), CHAR(34)&amp;"year00"&amp;CHAR(34)&amp;",", "")</f>
        <v/>
      </c>
      <c r="DQ3" s="6" t="str">
        <f>IF(CC3="y",CHAR(34)&amp;"soviet"&amp;CHAR(34)&amp;",","")</f>
        <v/>
      </c>
      <c r="DR3" s="6" t="str">
        <f>IF(BY3="y",CHAR(34)&amp;"dgband"&amp;CHAR(34)&amp;",","")</f>
        <v/>
      </c>
      <c r="DS3" s="6" t="str">
        <f>IF(W3="y",IF(AND(V3="n",BY3&lt;&gt;"y"),CHAR(34)&amp;"allver"&amp;CHAR(34)&amp;",",""),"")</f>
        <v/>
      </c>
      <c r="DT3" s="6" t="str">
        <f>IF(V3="y",IF(AND(W3="n",BY3&lt;&gt;"y"),CHAR(34)&amp;"allhor"&amp;CHAR(34)&amp;",",""),"")</f>
        <v>"allhor",</v>
      </c>
      <c r="DU3" s="6" t="str">
        <f>IF(BY3="y",IF(AND(W3="n",V3="n"),CHAR(34)&amp;"alldia"&amp;CHAR(34)&amp;",",""),"")</f>
        <v/>
      </c>
      <c r="DW3" s="48" t="str">
        <f>IF(CL3="y",CHAR(34)&amp;CL$1&amp;CHAR(34)&amp;",","")</f>
        <v/>
      </c>
      <c r="DX3" s="48" t="str">
        <f>IF(CM3="y",CHAR(34)&amp;CM$1&amp;CHAR(34)&amp;",","")</f>
        <v/>
      </c>
      <c r="DY3" s="48" t="str">
        <f>IF(CN3="y",CHAR(34)&amp;CN$1&amp;CHAR(34)&amp;",","")</f>
        <v>"3Bands",</v>
      </c>
      <c r="DZ3" s="48" t="str">
        <f>IF(CO3="y",CHAR(34)&amp;CO$1&amp;CHAR(34)&amp;",","")</f>
        <v/>
      </c>
      <c r="EA3" s="48" t="str">
        <f>IF(T3="y",CHAR(34)&amp;T$1&amp;CHAR(34)&amp;",","")</f>
        <v/>
      </c>
      <c r="EB3" s="48" t="str">
        <f>IF(U3="y",CHAR(34)&amp;U$1&amp;CHAR(34)&amp;",","")</f>
        <v/>
      </c>
      <c r="EC3" s="48" t="str">
        <f>IF(V3="y",CHAR(34)&amp;V$1&amp;CHAR(34)&amp;",","")</f>
        <v>"Horizo",</v>
      </c>
      <c r="ED3" s="48" t="str">
        <f>IF(W3="y",CHAR(34)&amp;W$1&amp;CHAR(34)&amp;",","")</f>
        <v/>
      </c>
      <c r="EE3" s="48" t="str">
        <f>IF(X3="y",CHAR(34)&amp;X$1&amp;CHAR(34)&amp;",","")</f>
        <v/>
      </c>
      <c r="EF3" s="48" t="str">
        <f>IF(AND(Y3&lt;&gt;"n",Y3&lt;&gt;""),CHAR(34)&amp;Y$1&amp;CHAR(34)&amp;",","")</f>
        <v/>
      </c>
      <c r="EG3" s="48" t="str">
        <f>IF(Z3="y",CHAR(34)&amp;Z$1&amp;CHAR(34)&amp;",","")</f>
        <v/>
      </c>
      <c r="EH3" s="48" t="str">
        <f>IF(AA3="y",CHAR(34)&amp;AA$1&amp;CHAR(34)&amp;",","")</f>
        <v/>
      </c>
      <c r="EI3" s="48" t="str">
        <f>IF(AB3="y",CHAR(34)&amp;AB$1&amp;CHAR(34)&amp;",","")</f>
        <v/>
      </c>
      <c r="EJ3" s="48" t="str">
        <f>IF(AC3="y",CHAR(34)&amp;AC$1&amp;CHAR(34)&amp;",","")</f>
        <v/>
      </c>
      <c r="EK3" s="48" t="str">
        <f>IF(AD3="y",CHAR(34)&amp;AD$1&amp;CHAR(34)&amp;",","")</f>
        <v/>
      </c>
      <c r="EL3" s="48" t="str">
        <f>IF(AE3="y",CHAR(34)&amp;AE$1&amp;CHAR(34)&amp;",","")</f>
        <v/>
      </c>
      <c r="EM3" s="48" t="str">
        <f>IF(AF3="y",CHAR(34)&amp;AF$1&amp;CHAR(34)&amp;",","")</f>
        <v/>
      </c>
      <c r="EN3" s="48" t="str">
        <f>IF(AG3="y",CHAR(34)&amp;AG$1&amp;CHAR(34)&amp;",","")</f>
        <v/>
      </c>
      <c r="EO3" s="48" t="str">
        <f>IF(AH3="y",CHAR(34)&amp;AH$1&amp;CHAR(34)&amp;",","")</f>
        <v/>
      </c>
      <c r="EP3" s="48" t="str">
        <f>IF(AI3="y",CHAR(34)&amp;AI$1&amp;CHAR(34)&amp;",","")</f>
        <v>"Canton",</v>
      </c>
      <c r="EQ3" s="48" t="str">
        <f>IF(AJ3="y",CHAR(34)&amp;AJ$1&amp;CHAR(34)&amp;",","")</f>
        <v/>
      </c>
      <c r="ER3" s="48" t="str">
        <f>IF(AK3="y",CHAR(34)&amp;AK$1&amp;CHAR(34)&amp;",","")</f>
        <v/>
      </c>
      <c r="ES3" s="48" t="str">
        <f>IF(AL3="y",CHAR(34)&amp;AL$1&amp;CHAR(34)&amp;",","")</f>
        <v/>
      </c>
      <c r="ET3" s="48" t="str">
        <f>IF(AM3="y",CHAR(34)&amp;AM$1&amp;CHAR(34)&amp;",","")</f>
        <v/>
      </c>
      <c r="EU3" s="48" t="str">
        <f>IF(AN3="y",CHAR(34)&amp;AN$1&amp;CHAR(34)&amp;",","")</f>
        <v/>
      </c>
      <c r="EV3" s="48" t="str">
        <f>IF(AO3="y",CHAR(34)&amp;AO$1&amp;CHAR(34)&amp;",","")</f>
        <v/>
      </c>
      <c r="EW3" s="48" t="str">
        <f>IF(AP3="y",CHAR(34)&amp;AP$1&amp;CHAR(34)&amp;",","")</f>
        <v/>
      </c>
      <c r="EX3" s="48" t="str">
        <f>IF(AQ3="y",CHAR(34)&amp;AQ$1&amp;CHAR(34)&amp;",","")</f>
        <v/>
      </c>
      <c r="EY3" s="48" t="str">
        <f>IF(AR3="y",CHAR(34)&amp;AR$1&amp;CHAR(34)&amp;",","")</f>
        <v/>
      </c>
      <c r="EZ3" s="48" t="str">
        <f>IF(AS3="y",CHAR(34)&amp;AS$1&amp;CHAR(34)&amp;",","")</f>
        <v/>
      </c>
      <c r="FA3" s="48" t="str">
        <f>IF(AT3&gt;0,CHAR(34)&amp;"sta"&amp;AZ3&amp;CHAR(34)&amp;",","")</f>
        <v>"staYEL",</v>
      </c>
      <c r="FB3" s="48" t="str">
        <f>IF(AND(AT3&gt;0,BA3&lt;&gt;""),CHAR(34)&amp;"sta"&amp;BA3&amp;CHAR(34)&amp;",","")</f>
        <v/>
      </c>
      <c r="FD3" s="48" t="str">
        <f>IF(BV3="n",CHAR(34)&amp;"tcWHYE"&amp;CHAR(34)&amp;",",IF(BV3="y",CHAR(34)&amp;FD$1&amp;CHAR(34)&amp;",",""))</f>
        <v/>
      </c>
      <c r="FE3" s="48" t="str">
        <f>IF(COUNTIF(BL3:BT3,"BLU")=0,CHAR(34)&amp;"NO_BLU"&amp;CHAR(34)&amp;",", "")</f>
        <v>"NO_BLU",</v>
      </c>
      <c r="FF3" s="48" t="str">
        <f>IF(COUNTIF(BL3:BT3,"WHI")=0,CHAR(34)&amp;"NO_WHI"&amp;CHAR(34)&amp;",", "")</f>
        <v>"NO_WHI",</v>
      </c>
      <c r="FG3" s="48" t="str">
        <f>IF(COUNTIF(BL3:BT3,"RED")=0,CHAR(34)&amp;"NO_RED"&amp;CHAR(34)&amp;",", "")</f>
        <v/>
      </c>
      <c r="FH3" s="48" t="str">
        <f>IF(COUNTIF(BL3:BS3,"GRE")=0,CHAR(34)&amp;"NO_GRE"&amp;CHAR(34)&amp;",", "")</f>
        <v/>
      </c>
      <c r="FI3" s="48" t="str">
        <f>IF(COUNTIF(BL3:BT3,"YEL")=0,CHAR(34)&amp;"NO_YEL"&amp;CHAR(34)&amp;",", "")</f>
        <v/>
      </c>
      <c r="FJ3" s="48" t="str">
        <f>IF(COUNTIF(BL3:BT3,"BLA")=0,CHAR(34)&amp;"NO_BLA"&amp;CHAR(34)&amp;",", "")</f>
        <v>"NO_BLA",</v>
      </c>
      <c r="FK3" s="48" t="str">
        <f>IF(AND(FH3&lt;&gt;"",FF3&lt;&gt;""),CHAR(34)&amp;"WHGRNO"&amp;CHAR(34)&amp;",","")</f>
        <v/>
      </c>
      <c r="FL3" s="48" t="str">
        <f>IF(AND(FI3&lt;&gt;"",FF3&lt;&gt;""),CHAR(34)&amp;"WHYENO"&amp;CHAR(34)&amp;",","")</f>
        <v/>
      </c>
      <c r="FM3" s="48" t="str">
        <f>IF(AND(FJ3&lt;&gt;"",FF3&lt;&gt;""),CHAR(34)&amp;"BAWHNO"&amp;CHAR(34)&amp;",","")</f>
        <v>"BAWHNO",</v>
      </c>
      <c r="FN3" s="48" t="str">
        <f>IF(AND(FE3&lt;&gt;"",FF3&lt;&gt;""),CHAR(34)&amp;"BLWHNO"&amp;CHAR(34)&amp;",","")</f>
        <v>"BLWHNO",</v>
      </c>
      <c r="FO3" s="48" t="str">
        <f>IF(AND(FE3&lt;&gt;"",FG3&lt;&gt;""),CHAR(34)&amp;"BLRENO"&amp;CHAR(34)&amp;",","")</f>
        <v/>
      </c>
      <c r="FP3" s="48" t="str">
        <f>IF(AND(FF3&lt;&gt;"",FF3&lt;&gt;""),CHAR(34)&amp;"WHRENO"&amp;CHAR(34)&amp;",","")</f>
        <v>"WHRENO",</v>
      </c>
      <c r="FQ3" s="48" t="str">
        <f>IF(LEN(BF3)=3,CHAR(34)&amp;"001"&amp;BF3&amp;CHAR(34)&amp;",","")</f>
        <v>"001RED",</v>
      </c>
      <c r="FR3" s="48" t="str">
        <f>IF(LEN(BG3)=3,CHAR(34)&amp;"002"&amp;BG3&amp;CHAR(34)&amp;",","")</f>
        <v>"002YEL",</v>
      </c>
      <c r="FS3" s="48" t="str">
        <f>IF(LEN(BH3)=3,CHAR(34)&amp;"003"&amp;BH3&amp;CHAR(34)&amp;",","")</f>
        <v>"003GRE",</v>
      </c>
      <c r="FT3" s="48" t="str">
        <f>CHAR(34)&amp;"myr"&amp;BD3&amp;CHAR(34)&amp;","</f>
        <v>"myrRED",</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
      </c>
      <c r="GG3" s="48" t="str">
        <f>IF(BU3="y",CHAR(34)&amp;"unjack"&amp;CHAR(34)&amp;",","")</f>
        <v/>
      </c>
      <c r="GH3" s="48" t="str">
        <f>IF(CD3=1,CHAR(34)&amp;"southc"&amp;CHAR(34)&amp;",","")</f>
        <v/>
      </c>
      <c r="GI3" s="48" t="str">
        <f>IF(CE3=1,CHAR(34)&amp;"hasmap"&amp;CHAR(34)&amp;",","")</f>
        <v/>
      </c>
      <c r="GJ3" s="48" t="str">
        <f>IF(CP3="y",CHAR(34)&amp;CP$1&amp;CHAR(34)&amp;",","")</f>
        <v/>
      </c>
      <c r="GK3" s="48" t="str">
        <f>IF(GJ3="",CHAR(34)&amp;"HasSta"&amp;CHAR(34)&amp;",","")</f>
        <v>"HasSta",</v>
      </c>
      <c r="GL3" s="48" t="str">
        <f>IF(CQ3="y",CHAR(34)&amp;CQ$1&amp;CHAR(34)&amp;",","")</f>
        <v>"1Stars",</v>
      </c>
      <c r="GM3" s="48" t="str">
        <f>IF(CR3="y",CHAR(34)&amp;CR$1&amp;CHAR(34)&amp;",","")</f>
        <v/>
      </c>
      <c r="GN3" s="48" t="str">
        <f>IF(CS3="y",CHAR(34)&amp;CS$1&amp;CHAR(34)&amp;",","")</f>
        <v/>
      </c>
      <c r="GP3" s="48" t="str">
        <f>CHAR(34)&amp;AU3&amp;CHAR(34)</f>
        <v>"Political"</v>
      </c>
      <c r="GS3" s="48" t="str">
        <f>SUBSTITUTE("["&amp;_xlfn.CONCAT(CW3:GN3)&amp;"]",",]","]")</f>
        <v>["3Color","words2","lets18","startI","REEDEL","year19","allhor","3Bands","Horizo","Canton","staYEL","NO_BLU","NO_WHI","NO_BLA","BAWHNO","BLWHNO","WHRENO","001RED","002YEL","003GRE","myrRED","HasSta","1Stars"]</v>
      </c>
      <c r="GT3" s="48" t="str">
        <f>IF(BL3&lt;&gt;"",CHAR(34)&amp;"cl_"&amp;BL3&amp;CHAR(34)&amp;",","")</f>
        <v>"cl_RED",</v>
      </c>
      <c r="GU3" s="48" t="str">
        <f>IF(BM3&lt;&gt;"",CHAR(34)&amp;"cl_"&amp;BM3&amp;CHAR(34)&amp;",","")</f>
        <v>"cl_YEL",</v>
      </c>
      <c r="GV3" s="48" t="str">
        <f>IF(BN3&lt;&gt;"",CHAR(34)&amp;"cl_"&amp;BN3&amp;CHAR(34)&amp;",","")</f>
        <v>"cl_GRE",</v>
      </c>
      <c r="GW3" s="48" t="str">
        <f>IF(BO3&lt;&gt;"",CHAR(34)&amp;"cl_"&amp;BO3&amp;CHAR(34)&amp;",","")</f>
        <v/>
      </c>
      <c r="GX3" s="48" t="str">
        <f>IF(BP3&lt;&gt;"",CHAR(34)&amp;"cl_"&amp;BP3&amp;CHAR(34)&amp;",","")</f>
        <v/>
      </c>
      <c r="GY3" s="48" t="str">
        <f>IF(BQ3&lt;&gt;"",CHAR(34)&amp;"cl_"&amp;BQ3&amp;CHAR(34)&amp;",","")</f>
        <v/>
      </c>
      <c r="GZ3" s="48" t="str">
        <f>IF(BR3&lt;&gt;"",CHAR(34)&amp;"cl_"&amp;BR3&amp;CHAR(34)&amp;",","")</f>
        <v/>
      </c>
      <c r="HA3" s="48" t="str">
        <f>IF(BS3&lt;&gt;"",CHAR(34)&amp;"cl_"&amp;BS3&amp;CHAR(34)&amp;",","")</f>
        <v/>
      </c>
      <c r="HB3" s="48" t="str">
        <f>IF(BT3&lt;&gt;"",CHAR(34)&amp;"cl_"&amp;BT3&amp;CHAR(34)&amp;",","")</f>
        <v/>
      </c>
      <c r="HC3" s="48" t="str">
        <f>SUBSTITUTE("["&amp;_xlfn.CONCAT(GT3:HB3)&amp;"]",",]","]")</f>
        <v>["cl_RED","cl_YEL","cl_GRE"]</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{couname:"[REU] Independentist Flag",year:"1986",region:"rgn_Africa",Colors:["cl_RED","cl_YEL","cl_GRE"],Items:["3Color","words2","lets18","startI","REEDEL","year19","allhor","3Bands","Horizo","Canton","staYEL","NO_BLU","NO_WHI","NO_BLA","BAWHNO","BLWHNO","WHRENO","001RED","002YEL","003GRE","myrRED","HasSta","1Stars"],Flag:"https://upload.wikimedia.org/wikipedia/commons/thumb/e/e7/Proposed_flag_of_R%C3%A9union_%28Nationalist_movement%29.svg/640px-Proposed_flag_of_R%C3%A9union_%28Nationalist_movement%29.svg.png",HDFlag:"https://upload.wikimedia.org/wikipedia/commons/thumb/e/e7/Proposed_flag_of_R%C3%A9union_%28Nationalist_movement%29.svg/2560px-Proposed_flag_of_R%C3%A9union_%28Nationalist_movement%29.svg.png",type:"Political", describe: "\nIndependentists and nationalists of Réunion also have their flag (green, yellow, red), created in 1986./n/nGreen symbolizes the marronage, yellow symbolizes the working class and red symbolizes the period of slavery and indentured labour imposed by the French, struck by a yellow star with five points.", isnew:".", links: "https://en.wikipedia.org/wiki/Flag_of_Réunion"},</v>
      </c>
      <c r="HG3" s="73" t="str">
        <f>"{couname:"&amp;CT3&amp;(IF(HK3&lt;&gt;"",",subtype:"&amp;CHAR(34)&amp;HK3&amp;CHAR(34),""))&amp;",year:"&amp;HJ3&amp;",region:"&amp;CU3&amp;",Colors:"&amp;HC3&amp;",Items:"&amp;GS3&amp;",Flag:"&amp;CV3&amp;",HDFlag:"&amp;CHAR(34)&amp;E3&amp;CHAR(34)&amp;",type:"&amp;GP3&amp;", describe: "&amp;HI3&amp;", links: "&amp;HL3&amp;"},"</f>
        <v>{couname:"[REU] Independentist Flag",year:"1986",region:"rgn_Africa",Colors:["cl_RED","cl_YEL","cl_GRE"],Items:["3Color","words2","lets18","startI","REEDEL","year19","allhor","3Bands","Horizo","Canton","staYEL","NO_BLU","NO_WHI","NO_BLA","BAWHNO","BLWHNO","WHRENO","001RED","002YEL","003GRE","myrRED","HasSta","1Stars"],Flag:"https://upload.wikimedia.org/wikipedia/commons/thumb/e/e7/Proposed_flag_of_R%C3%A9union_%28Nationalist_movement%29.svg/640px-Proposed_flag_of_R%C3%A9union_%28Nationalist_movement%29.svg.png",HDFlag:"https://upload.wikimedia.org/wikipedia/commons/thumb/e/e7/Proposed_flag_of_R%C3%A9union_%28Nationalist_movement%29.svg/2560px-Proposed_flag_of_R%C3%A9union_%28Nationalist_movement%29.svg.png",type:"Political", describe: "\nIndependentists and nationalists of Réunion also have their flag (green, yellow, red), created in 1986./n/nGreen symbolizes the marronage, yellow symbolizes the working class and red symbolizes the period of slavery and indentured labour imposed by the French, struck by a yellow star with five points.", links: "https://en.wikipedia.org/wiki/Flag_of_Réunion"},</v>
      </c>
      <c r="HH3" s="48" t="str">
        <f>IF(P3&lt;&gt;"",CHAR(34)&amp;"\n"&amp;P3&amp;CHAR(34),CHAR(34)&amp;CHAR(34))</f>
        <v>"\nIndependentists and nationalists of Réunion also have their flag (green, yellow, red), created in 1986./n/nGreen symbolizes the marronage, yellow symbolizes the working class and red symbolizes the period of slavery and indentured labour imposed by the French, struck by a yellow star with five points."</v>
      </c>
      <c r="HI3" s="48" t="str">
        <f>IF(J3=0,CHAR(34)&amp;CHAR(34),HH3)</f>
        <v>"\nIndependentists and nationalists of Réunion also have their flag (green, yellow, red), created in 1986./n/nGreen symbolizes the marronage, yellow symbolizes the working class and red symbolizes the period of slavery and indentured labour imposed by the French, struck by a yellow star with five points."</v>
      </c>
      <c r="HJ3" s="48" t="str">
        <f>CHAR(34)&amp;O3&amp;CHAR(34)</f>
        <v>"1986"</v>
      </c>
      <c r="HL3" s="48" t="str">
        <f>CHAR(34)&amp;I3&amp;CHAR(34)</f>
        <v>"https://en.wikipedia.org/wiki/Flag_of_Réunion"</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{"couname":"[REU] Independentist Flag","year":"1986","region":"rgn_Africa","Colors":["cl_RED","cl_YEL","cl_GRE"],"Items":["3Color","words2","lets18","startI","REEDEL","year19","allhor","3Bands","Horizo","Canton","staYEL","NO_BLU","NO_WHI","NO_BLA","BAWHNO","BLWHNO","WHRENO","001RED","002YEL","003GRE","myrRED","HasSta","1Stars"],"Flag":"https://upload.wikimedia.org/wikipedia/commons/thumb/e/e7/Proposed_flag_of_R%C3%A9union_%28Nationalist_movement%29.svg/640px-Proposed_flag_of_R%C3%A9union_%28Nationalist_movement%29.svg.png","HDFlag":"https://upload.wikimedia.org/wikipedia/commons/thumb/e/e7/Proposed_flag_of_R%C3%A9union_%28Nationalist_movement%29.svg/2560px-Proposed_flag_of_R%C3%A9union_%28Nationalist_movement%29.svg.png","type":"Political", "describe": "\nIndependentists and nationalists of Réunion also have their flag (green, yellow, red), created in 1986./n/nGreen symbolizes the marronage, yellow symbolizes the working class and red symbolizes the period of slavery and indentured labour imposed by the French, struck by a yellow star with five points.", "isnew": ".", "links": "https://en.wikipedia.org/wiki/Flag_of_Réunion"},</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{"couname":"[REU] Independentist Flag","year":"1986","region":"rgn_Africa","Colors":["cl_RED","cl_YEL","cl_GRE"],"Items":["3Color","words2","lets18","startI","REEDEL","year19","allhor","3Bands","Horizo","Canton","staYEL","NO_BLU","NO_WHI","NO_BLA","BAWHNO","BLWHNO","WHRENO","001RED","002YEL","003GRE","myrRED","HasSta","1Stars"],"Flag":"https://upload.wikimedia.org/wikipedia/commons/thumb/e/e7/Proposed_flag_of_R%C3%A9union_%28Nationalist_movement%29.svg/640px-Proposed_flag_of_R%C3%A9union_%28Nationalist_movement%29.svg.png","HDFlag":"https://upload.wikimedia.org/wikipedia/commons/thumb/e/e7/Proposed_flag_of_R%C3%A9union_%28Nationalist_movement%29.svg/2560px-Proposed_flag_of_R%C3%A9union_%28Nationalist_movement%29.svg.png","type":"Political", "describe": "\nIndependentists and nationalists of Réunion also have their flag (green, yellow, red), created in 1986./n/nGreen symbolizes the marronage, yellow symbolizes the working class and red symbolizes the period of slavery and indentured labour imposed by the French, struck by a yellow star with five points.", "isnew": ".", "links": "https://en.wikipedia.org/wiki/Flag_of_Réunion"},</v>
      </c>
      <c r="HO3" s="75">
        <v>45644</v>
      </c>
      <c r="HP3" s="48" t="str" cm="1">
        <f t="array" ref="HP3">IF(_xlfn.TEXTJOIN(", ", TRUE, IF(ISNUMBER(SEARCH("BLA", BL3:BT3)), COLUMN(BL3:BT3) - COLUMN(BL3) + 1, ""))&lt;&gt;"","BLA","")</f>
        <v/>
      </c>
      <c r="HQ3" s="48" t="str" cm="1">
        <f t="array" ref="HQ3">IF(_xlfn.TEXTJOIN(", ", TRUE, IF(ISNUMBER(SEARCH("BLU", BL3:BT3)), COLUMN(BL3:BT3) - COLUMN(BL3) + 1, ""))&lt;&gt;"","BLU","")</f>
        <v/>
      </c>
      <c r="HR3" s="48" t="str" cm="1">
        <f t="array" ref="HR3">IF(_xlfn.TEXTJOIN(", ", TRUE, IF(ISNUMBER(SEARCH("GRE", BL3:BT3)), COLUMN(BL3:BT3) - COLUMN(BL3) + 1, ""))&lt;&gt;"","GRE","")</f>
        <v>GRE</v>
      </c>
      <c r="HS3" s="48" t="str" cm="1">
        <f t="array" ref="HS3">IF(_xlfn.TEXTJOIN(", ", TRUE, IF(ISNUMBER(SEARCH("RED", BL3:BT3)), COLUMN(BL3:BT3) - COLUMN(BL3) + 1, ""))&lt;&gt;"","RED","")</f>
        <v>RED</v>
      </c>
      <c r="HT3" s="48" t="str" cm="1">
        <f t="array" ref="HT3">IF(_xlfn.TEXTJOIN(", ", TRUE, IF(ISNUMBER(SEARCH("YEL", BL3:BT3)), COLUMN(BL3:BT3) - COLUMN(BL3) + 1, ""))&lt;&gt;"","YEL","")</f>
        <v>YEL</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
      </c>
      <c r="HY3" s="76"/>
      <c r="HZ3" s="76"/>
      <c r="IA3" s="6"/>
      <c r="IB3" s="6"/>
      <c r="IC3" s="77"/>
      <c r="ID3" s="77"/>
      <c r="IE3" s="77"/>
      <c r="IF3" s="77"/>
      <c r="IG3" s="77"/>
      <c r="IH3" s="77"/>
      <c r="II3" s="77"/>
      <c r="IJ3" s="77"/>
      <c r="IK3" s="77"/>
      <c r="IM3" s="45">
        <f>COUNTIF(IC3:IK3,"&gt;0")-CG3</f>
        <v>-3</v>
      </c>
      <c r="IN3" s="78" t="str">
        <f>"http://mkweb.bcgsc.ca/color-summarizer/?url="&amp;D3&amp;"&amp;precision=low&amp;num_clusters="&amp;CG3&amp;"&amp;text=1"</f>
        <v>http://mkweb.bcgsc.ca/color-summarizer/?url=https://upload.wikimedia.org/wikipedia/commons/thumb/e/e7/Proposed_flag_of_R%C3%A9union_%28Nationalist_movement%29.svg/640px-Proposed_flag_of_R%C3%A9union_%28Nationalist_movement%29.svg.png&amp;precision=low&amp;num_clusters=3&amp;text=1</v>
      </c>
      <c r="IO3" s="48" t="str">
        <f>IF(HP3&lt;&gt;"",CHAR(34)&amp;"black"&amp;CHAR(34),"")</f>
        <v/>
      </c>
      <c r="IP3" s="48" t="str">
        <f>IF(HQ3&lt;&gt;"",CHAR(34)&amp;"blue"&amp;CHAR(34),"")</f>
        <v/>
      </c>
      <c r="IQ3" s="48" t="str">
        <f>IF(HR3&lt;&gt;"",CHAR(34)&amp;"green"&amp;CHAR(34),"")</f>
        <v>"green"</v>
      </c>
      <c r="IR3" s="48" t="str">
        <f>IF(HS3&lt;&gt;"",CHAR(34)&amp;"red"&amp;CHAR(34),"")</f>
        <v>"red"</v>
      </c>
      <c r="IS3" s="48" t="str">
        <f>IF(HT3&lt;&gt;"",CHAR(34)&amp;"yellow"&amp;CHAR(34),"")</f>
        <v>"yellow"</v>
      </c>
      <c r="IT3" s="48" t="str">
        <f>IF(HU3&lt;&gt;"",CHAR(34)&amp;"orange"&amp;CHAR(34),"")</f>
        <v/>
      </c>
      <c r="IU3" s="48" t="str">
        <f>IF(HV3&lt;&gt;"",CHAR(34)&amp;"brown"&amp;CHAR(34),"")</f>
        <v/>
      </c>
      <c r="IV3" s="48" t="str">
        <f>IF(HW3&lt;&gt;"",CHAR(34)&amp;"purple"&amp;CHAR(34),"")</f>
        <v/>
      </c>
      <c r="IW3" s="48" t="str">
        <f>IF(HX3&lt;&gt;"",CHAR(34)&amp;"white"&amp;CHAR(34),"")</f>
        <v/>
      </c>
      <c r="IX3" s="48" t="str">
        <f>"{"&amp;CHAR(34)&amp;"url"&amp;CHAR(34)&amp;":"&amp;CHAR(34)&amp;IN3&amp;CHAR(34)&amp;","&amp;CHAR(34)&amp;"name"&amp;CHAR(34)&amp;":"&amp;CHAR(34)&amp;A3&amp;CHAR(34)&amp;"},"</f>
        <v>{"url":"http://mkweb.bcgsc.ca/color-summarizer/?url=https://upload.wikimedia.org/wikipedia/commons/thumb/e/e7/Proposed_flag_of_R%C3%A9union_%28Nationalist_movement%29.svg/640px-Proposed_flag_of_R%C3%A9union_%28Nationalist_movement%29.svg.png&amp;precision=low&amp;num_clusters=3&amp;text=1","name":"[REU] Independentist Flag"},</v>
      </c>
      <c r="IY3" s="48">
        <v>1503</v>
      </c>
    </row>
    <row r="4" spans="1:259" ht="38.4" customHeight="1" x14ac:dyDescent="0.3">
      <c r="F4" s="82"/>
      <c r="G4" s="82"/>
      <c r="H4" s="82"/>
      <c r="I4" s="82"/>
      <c r="J4" s="82"/>
      <c r="K4" s="82"/>
    </row>
    <row r="5" spans="1:259" ht="38.4" customHeight="1" x14ac:dyDescent="0.3">
      <c r="F5" s="82"/>
      <c r="G5" s="82"/>
      <c r="H5" s="82"/>
      <c r="I5" s="82"/>
      <c r="J5" s="82"/>
      <c r="K5" s="82"/>
    </row>
    <row r="6" spans="1:259" ht="38.4" customHeight="1" x14ac:dyDescent="0.3">
      <c r="F6" s="82"/>
      <c r="G6" s="82"/>
      <c r="H6" s="82"/>
      <c r="I6" s="82"/>
      <c r="J6" s="82"/>
      <c r="K6" s="82"/>
    </row>
  </sheetData>
  <autoFilter ref="A1:IY1" xr:uid="{A1051193-A95B-4CFB-A73C-F0184620C81F}">
    <sortState xmlns:xlrd2="http://schemas.microsoft.com/office/spreadsheetml/2017/richdata2" ref="A2:IY5">
      <sortCondition ref="AW1"/>
    </sortState>
  </autoFilter>
  <conditionalFormatting sqref="H1 CW1:GS1 IA1:IB1">
    <cfRule type="cellIs" dxfId="2198" priority="118" operator="greaterThan">
      <formula>0</formula>
    </cfRule>
  </conditionalFormatting>
  <conditionalFormatting sqref="H1 H7:H1048576">
    <cfRule type="cellIs" dxfId="2197" priority="84" stopIfTrue="1" operator="notEqual">
      <formula>""</formula>
    </cfRule>
  </conditionalFormatting>
  <conditionalFormatting sqref="T1:BK1">
    <cfRule type="cellIs" dxfId="2196" priority="121" operator="greaterThan">
      <formula>0</formula>
    </cfRule>
  </conditionalFormatting>
  <conditionalFormatting sqref="BV1:BW1 BV4:BW1048576">
    <cfRule type="cellIs" dxfId="2195" priority="120" operator="equal">
      <formula>"nc"</formula>
    </cfRule>
  </conditionalFormatting>
  <conditionalFormatting sqref="HF1:HG1">
    <cfRule type="cellIs" dxfId="2194" priority="122" operator="greaterThan">
      <formula>0</formula>
    </cfRule>
  </conditionalFormatting>
  <conditionalFormatting sqref="HK1">
    <cfRule type="cellIs" dxfId="2193" priority="119" operator="greaterThan">
      <formula>0</formula>
    </cfRule>
  </conditionalFormatting>
  <conditionalFormatting sqref="HP1:HX1">
    <cfRule type="cellIs" dxfId="2192" priority="96" operator="equal">
      <formula>"PIN"</formula>
    </cfRule>
    <cfRule type="cellIs" dxfId="2191" priority="97" operator="equal">
      <formula>"ORA"</formula>
    </cfRule>
    <cfRule type="cellIs" dxfId="2190" priority="98" operator="equal">
      <formula>"GRA"</formula>
    </cfRule>
    <cfRule type="cellIs" dxfId="2189" priority="99" operator="equal">
      <formula>"PUR"</formula>
    </cfRule>
    <cfRule type="cellIs" dxfId="2188" priority="100" operator="equal">
      <formula>"BRO"</formula>
    </cfRule>
    <cfRule type="cellIs" dxfId="2187" priority="101" operator="equal">
      <formula>"YEL"</formula>
    </cfRule>
    <cfRule type="cellIs" dxfId="2186" priority="102" operator="equal">
      <formula>"BLU"</formula>
    </cfRule>
    <cfRule type="cellIs" dxfId="2185" priority="103" operator="equal">
      <formula>"WHI"</formula>
    </cfRule>
    <cfRule type="cellIs" dxfId="2184" priority="104" operator="equal">
      <formula>"GRE"</formula>
    </cfRule>
    <cfRule type="cellIs" dxfId="2183" priority="105" operator="equal">
      <formula>"RED"</formula>
    </cfRule>
    <cfRule type="cellIs" dxfId="2182" priority="106" operator="equal">
      <formula>"BLA"</formula>
    </cfRule>
  </conditionalFormatting>
  <conditionalFormatting sqref="IC1:IK1">
    <cfRule type="cellIs" dxfId="2181" priority="107" operator="equal">
      <formula>"PIN"</formula>
    </cfRule>
    <cfRule type="cellIs" dxfId="2180" priority="108" operator="equal">
      <formula>"ORA"</formula>
    </cfRule>
    <cfRule type="cellIs" dxfId="2179" priority="109" operator="equal">
      <formula>"GRA"</formula>
    </cfRule>
    <cfRule type="cellIs" dxfId="2178" priority="110" operator="equal">
      <formula>"PUR"</formula>
    </cfRule>
    <cfRule type="cellIs" dxfId="2177" priority="111" operator="equal">
      <formula>"BRO"</formula>
    </cfRule>
    <cfRule type="cellIs" dxfId="2176" priority="112" operator="equal">
      <formula>"YEL"</formula>
    </cfRule>
    <cfRule type="cellIs" dxfId="2175" priority="113" operator="equal">
      <formula>"BLU"</formula>
    </cfRule>
    <cfRule type="cellIs" dxfId="2174" priority="114" operator="equal">
      <formula>"WHI"</formula>
    </cfRule>
    <cfRule type="cellIs" dxfId="2173" priority="115" operator="equal">
      <formula>"GRE"</formula>
    </cfRule>
    <cfRule type="cellIs" dxfId="2172" priority="116" operator="equal">
      <formula>"RED"</formula>
    </cfRule>
    <cfRule type="cellIs" dxfId="2171" priority="117" operator="equal">
      <formula>"BLA"</formula>
    </cfRule>
  </conditionalFormatting>
  <conditionalFormatting sqref="IO1:IW1">
    <cfRule type="cellIs" dxfId="2170" priority="85" operator="equal">
      <formula>"PIN"</formula>
    </cfRule>
    <cfRule type="cellIs" dxfId="2169" priority="86" operator="equal">
      <formula>"ORA"</formula>
    </cfRule>
    <cfRule type="cellIs" dxfId="2168" priority="87" operator="equal">
      <formula>"GRA"</formula>
    </cfRule>
    <cfRule type="cellIs" dxfId="2167" priority="88" operator="equal">
      <formula>"PUR"</formula>
    </cfRule>
    <cfRule type="cellIs" dxfId="2166" priority="89" operator="equal">
      <formula>"BRO"</formula>
    </cfRule>
    <cfRule type="cellIs" dxfId="2165" priority="90" operator="equal">
      <formula>"YEL"</formula>
    </cfRule>
    <cfRule type="cellIs" dxfId="2164" priority="91" operator="equal">
      <formula>"BLU"</formula>
    </cfRule>
    <cfRule type="cellIs" dxfId="2163" priority="92" operator="equal">
      <formula>"WHI"</formula>
    </cfRule>
    <cfRule type="cellIs" dxfId="2162" priority="93" operator="equal">
      <formula>"GRE"</formula>
    </cfRule>
    <cfRule type="cellIs" dxfId="2161" priority="94" operator="equal">
      <formula>"RED"</formula>
    </cfRule>
    <cfRule type="cellIs" dxfId="2160" priority="95" operator="equal">
      <formula>"BLA"</formula>
    </cfRule>
  </conditionalFormatting>
  <conditionalFormatting sqref="H2">
    <cfRule type="cellIs" dxfId="2159" priority="77" stopIfTrue="1" operator="notEqual">
      <formula>""</formula>
    </cfRule>
  </conditionalFormatting>
  <conditionalFormatting sqref="R2 CU2">
    <cfRule type="cellIs" dxfId="2158" priority="79" operator="greaterThan">
      <formula>0</formula>
    </cfRule>
  </conditionalFormatting>
  <conditionalFormatting sqref="T2:AS2 CH2:CS2">
    <cfRule type="cellIs" dxfId="2157" priority="74" stopIfTrue="1" operator="equal">
      <formula>"n"</formula>
    </cfRule>
    <cfRule type="cellIs" dxfId="2156" priority="75" stopIfTrue="1" operator="equal">
      <formula>"y"</formula>
    </cfRule>
    <cfRule type="cellIs" dxfId="2155" priority="76" operator="greaterThan">
      <formula>0</formula>
    </cfRule>
  </conditionalFormatting>
  <conditionalFormatting sqref="AZ2:BB2">
    <cfRule type="expression" dxfId="2154" priority="61">
      <formula>$AT2=0</formula>
    </cfRule>
  </conditionalFormatting>
  <conditionalFormatting sqref="AZ2:BU2">
    <cfRule type="cellIs" dxfId="2153" priority="62" operator="equal">
      <formula>"PIN"</formula>
    </cfRule>
    <cfRule type="cellIs" dxfId="2152" priority="63" operator="equal">
      <formula>"ORA"</formula>
    </cfRule>
    <cfRule type="cellIs" dxfId="2151" priority="64" operator="equal">
      <formula>"GRA"</formula>
    </cfRule>
    <cfRule type="cellIs" dxfId="2150" priority="65" operator="equal">
      <formula>"PUR"</formula>
    </cfRule>
    <cfRule type="cellIs" dxfId="2149" priority="66" operator="equal">
      <formula>"BRO"</formula>
    </cfRule>
    <cfRule type="cellIs" dxfId="2148" priority="67" operator="equal">
      <formula>"YEL"</formula>
    </cfRule>
    <cfRule type="cellIs" dxfId="2147" priority="68" operator="equal">
      <formula>"BLU"</formula>
    </cfRule>
    <cfRule type="cellIs" dxfId="2146" priority="69" operator="equal">
      <formula>"WHI"</formula>
    </cfRule>
    <cfRule type="cellIs" dxfId="2145" priority="70" operator="equal">
      <formula>"GRE"</formula>
    </cfRule>
    <cfRule type="cellIs" dxfId="2144" priority="71" operator="equal">
      <formula>"RED"</formula>
    </cfRule>
    <cfRule type="cellIs" dxfId="2143" priority="72" operator="equal">
      <formula>"BLA"</formula>
    </cfRule>
  </conditionalFormatting>
  <conditionalFormatting sqref="BV2">
    <cfRule type="cellIs" dxfId="2142" priority="78" operator="equal">
      <formula>"nc"</formula>
    </cfRule>
  </conditionalFormatting>
  <conditionalFormatting sqref="CD2:CF2 BZ2:CA2">
    <cfRule type="cellIs" dxfId="2141" priority="73" operator="greaterThan">
      <formula>0</formula>
    </cfRule>
  </conditionalFormatting>
  <conditionalFormatting sqref="IC2:IK2">
    <cfRule type="expression" dxfId="2140" priority="60">
      <formula>$IL2&gt;0</formula>
    </cfRule>
  </conditionalFormatting>
  <conditionalFormatting sqref="BX2:CA2 CD2:CF2">
    <cfRule type="cellIs" dxfId="2139" priority="48" operator="equal">
      <formula>"y"</formula>
    </cfRule>
    <cfRule type="cellIs" dxfId="2138" priority="49" operator="equal">
      <formula>"PIN"</formula>
    </cfRule>
    <cfRule type="cellIs" dxfId="2137" priority="50" operator="equal">
      <formula>"ORA"</formula>
    </cfRule>
    <cfRule type="cellIs" dxfId="2136" priority="51" operator="equal">
      <formula>"GRA"</formula>
    </cfRule>
    <cfRule type="cellIs" dxfId="2135" priority="52" operator="equal">
      <formula>"PUR"</formula>
    </cfRule>
    <cfRule type="cellIs" dxfId="2134" priority="53" operator="equal">
      <formula>"BRO"</formula>
    </cfRule>
    <cfRule type="cellIs" dxfId="2133" priority="54" operator="equal">
      <formula>"YEL"</formula>
    </cfRule>
    <cfRule type="cellIs" dxfId="2132" priority="55" operator="equal">
      <formula>"BLU"</formula>
    </cfRule>
    <cfRule type="cellIs" dxfId="2131" priority="56" operator="equal">
      <formula>"WHI"</formula>
    </cfRule>
    <cfRule type="cellIs" dxfId="2130" priority="57" operator="equal">
      <formula>"GRE"</formula>
    </cfRule>
    <cfRule type="cellIs" dxfId="2129" priority="58" operator="equal">
      <formula>"RED"</formula>
    </cfRule>
    <cfRule type="cellIs" dxfId="2128" priority="59" operator="equal">
      <formula>"BLA"</formula>
    </cfRule>
  </conditionalFormatting>
  <conditionalFormatting sqref="J2">
    <cfRule type="colorScale" priority="80">
      <colorScale>
        <cfvo type="min"/>
        <cfvo type="percentile" val="50"/>
        <cfvo type="max"/>
        <color rgb="FFF8696B"/>
        <color rgb="FFFFEB84"/>
        <color rgb="FF63BE7B"/>
      </colorScale>
    </cfRule>
  </conditionalFormatting>
  <conditionalFormatting sqref="S2">
    <cfRule type="colorScale" priority="81">
      <colorScale>
        <cfvo type="min"/>
        <cfvo type="max"/>
        <color rgb="FFFCFCFF"/>
        <color rgb="FF754BFB"/>
      </colorScale>
    </cfRule>
  </conditionalFormatting>
  <conditionalFormatting sqref="AT2">
    <cfRule type="colorScale" priority="82">
      <colorScale>
        <cfvo type="min"/>
        <cfvo type="max"/>
        <color rgb="FFFCFCFF"/>
        <color theme="8" tint="0.39997558519241921"/>
      </colorScale>
    </cfRule>
  </conditionalFormatting>
  <conditionalFormatting sqref="CG2">
    <cfRule type="colorScale" priority="83">
      <colorScale>
        <cfvo type="min"/>
        <cfvo type="max"/>
        <color rgb="FFFCFCFF"/>
        <color rgb="FF63BE7B"/>
      </colorScale>
    </cfRule>
  </conditionalFormatting>
  <conditionalFormatting sqref="H3">
    <cfRule type="cellIs" dxfId="2127" priority="40" stopIfTrue="1" operator="notEqual">
      <formula>""</formula>
    </cfRule>
  </conditionalFormatting>
  <conditionalFormatting sqref="R3 CU3">
    <cfRule type="cellIs" dxfId="2126" priority="43" operator="greaterThan">
      <formula>0</formula>
    </cfRule>
  </conditionalFormatting>
  <conditionalFormatting sqref="T3:AS3 CH3:CS3">
    <cfRule type="cellIs" dxfId="2125" priority="37" stopIfTrue="1" operator="equal">
      <formula>"n"</formula>
    </cfRule>
    <cfRule type="cellIs" dxfId="2124" priority="38" stopIfTrue="1" operator="equal">
      <formula>"y"</formula>
    </cfRule>
    <cfRule type="cellIs" dxfId="2123" priority="39" operator="greaterThan">
      <formula>0</formula>
    </cfRule>
  </conditionalFormatting>
  <conditionalFormatting sqref="AZ3:BB3">
    <cfRule type="expression" dxfId="2122" priority="24">
      <formula>$AT3=0</formula>
    </cfRule>
  </conditionalFormatting>
  <conditionalFormatting sqref="CD3:CF3 BX3:CA3 AZ3:BU3">
    <cfRule type="cellIs" dxfId="2121" priority="25" operator="equal">
      <formula>"PIN"</formula>
    </cfRule>
    <cfRule type="cellIs" dxfId="2120" priority="26" operator="equal">
      <formula>"ORA"</formula>
    </cfRule>
    <cfRule type="cellIs" dxfId="2119" priority="27" operator="equal">
      <formula>"GRA"</formula>
    </cfRule>
    <cfRule type="cellIs" dxfId="2118" priority="28" operator="equal">
      <formula>"PUR"</formula>
    </cfRule>
    <cfRule type="cellIs" dxfId="2117" priority="29" operator="equal">
      <formula>"BRO"</formula>
    </cfRule>
    <cfRule type="cellIs" dxfId="2116" priority="30" operator="equal">
      <formula>"YEL"</formula>
    </cfRule>
    <cfRule type="cellIs" dxfId="2115" priority="31" operator="equal">
      <formula>"BLU"</formula>
    </cfRule>
    <cfRule type="cellIs" dxfId="2114" priority="32" operator="equal">
      <formula>"WHI"</formula>
    </cfRule>
    <cfRule type="cellIs" dxfId="2113" priority="33" operator="equal">
      <formula>"GRE"</formula>
    </cfRule>
    <cfRule type="cellIs" dxfId="2112" priority="34" operator="equal">
      <formula>"RED"</formula>
    </cfRule>
    <cfRule type="cellIs" dxfId="2111" priority="35" operator="equal">
      <formula>"BLA"</formula>
    </cfRule>
  </conditionalFormatting>
  <conditionalFormatting sqref="BV3">
    <cfRule type="cellIs" dxfId="2110" priority="42" operator="equal">
      <formula>"nc"</formula>
    </cfRule>
  </conditionalFormatting>
  <conditionalFormatting sqref="CD3:CF3 BX3:CA3">
    <cfRule type="cellIs" dxfId="2109" priority="41" operator="equal">
      <formula>"y"</formula>
    </cfRule>
  </conditionalFormatting>
  <conditionalFormatting sqref="CD3:CF3 BZ3:CA3">
    <cfRule type="cellIs" dxfId="2108" priority="36" operator="greaterThan">
      <formula>0</formula>
    </cfRule>
  </conditionalFormatting>
  <conditionalFormatting sqref="IC3:IK3">
    <cfRule type="expression" dxfId="2107" priority="23">
      <formula>$IL3&gt;0</formula>
    </cfRule>
  </conditionalFormatting>
  <conditionalFormatting sqref="IC3">
    <cfRule type="cellIs" dxfId="2106" priority="17" stopIfTrue="1" operator="greaterThan">
      <formula>0</formula>
    </cfRule>
  </conditionalFormatting>
  <conditionalFormatting sqref="ID3">
    <cfRule type="cellIs" dxfId="2105" priority="15" stopIfTrue="1" operator="greaterThan">
      <formula>0</formula>
    </cfRule>
  </conditionalFormatting>
  <conditionalFormatting sqref="II3 IE3:IF3">
    <cfRule type="cellIs" dxfId="2104" priority="22" operator="greaterThan">
      <formula>0</formula>
    </cfRule>
  </conditionalFormatting>
  <conditionalFormatting sqref="II3 IF3">
    <cfRule type="cellIs" dxfId="2103" priority="16" stopIfTrue="1" operator="greaterThan">
      <formula>0</formula>
    </cfRule>
  </conditionalFormatting>
  <conditionalFormatting sqref="IG3">
    <cfRule type="cellIs" dxfId="2102" priority="21" operator="greaterThan">
      <formula>0</formula>
    </cfRule>
  </conditionalFormatting>
  <conditionalFormatting sqref="IH3:II3">
    <cfRule type="cellIs" dxfId="2101" priority="20" operator="greaterThan">
      <formula>0</formula>
    </cfRule>
  </conditionalFormatting>
  <conditionalFormatting sqref="IJ3">
    <cfRule type="cellIs" dxfId="2100" priority="19" operator="greaterThan">
      <formula>0</formula>
    </cfRule>
  </conditionalFormatting>
  <conditionalFormatting sqref="IK3">
    <cfRule type="cellIs" dxfId="2099" priority="18" operator="greaterThan">
      <formula>0</formula>
    </cfRule>
  </conditionalFormatting>
  <conditionalFormatting sqref="IF3">
    <cfRule type="cellIs" dxfId="2098" priority="14" stopIfTrue="1" operator="greaterThan">
      <formula>0</formula>
    </cfRule>
  </conditionalFormatting>
  <conditionalFormatting sqref="IM3">
    <cfRule type="cellIs" dxfId="2097" priority="13" operator="equal">
      <formula>0</formula>
    </cfRule>
  </conditionalFormatting>
  <conditionalFormatting sqref="BX3:CA3 CD3:CF3">
    <cfRule type="cellIs" dxfId="2096" priority="1" operator="equal">
      <formula>"y"</formula>
    </cfRule>
    <cfRule type="cellIs" dxfId="2095" priority="2" operator="equal">
      <formula>"PIN"</formula>
    </cfRule>
    <cfRule type="cellIs" dxfId="2094" priority="3" operator="equal">
      <formula>"ORA"</formula>
    </cfRule>
    <cfRule type="cellIs" dxfId="2093" priority="4" operator="equal">
      <formula>"GRA"</formula>
    </cfRule>
    <cfRule type="cellIs" dxfId="2092" priority="5" operator="equal">
      <formula>"PUR"</formula>
    </cfRule>
    <cfRule type="cellIs" dxfId="2091" priority="6" operator="equal">
      <formula>"BRO"</formula>
    </cfRule>
    <cfRule type="cellIs" dxfId="2090" priority="7" operator="equal">
      <formula>"YEL"</formula>
    </cfRule>
    <cfRule type="cellIs" dxfId="2089" priority="8" operator="equal">
      <formula>"BLU"</formula>
    </cfRule>
    <cfRule type="cellIs" dxfId="2088" priority="9" operator="equal">
      <formula>"WHI"</formula>
    </cfRule>
    <cfRule type="cellIs" dxfId="2087" priority="10" operator="equal">
      <formula>"GRE"</formula>
    </cfRule>
    <cfRule type="cellIs" dxfId="2086" priority="11" operator="equal">
      <formula>"RED"</formula>
    </cfRule>
    <cfRule type="cellIs" dxfId="2085" priority="12" operator="equal">
      <formula>"BLA"</formula>
    </cfRule>
  </conditionalFormatting>
  <conditionalFormatting sqref="AT3">
    <cfRule type="colorScale" priority="44">
      <colorScale>
        <cfvo type="min"/>
        <cfvo type="max"/>
        <color rgb="FFFCFCFF"/>
        <color theme="8" tint="0.39997558519241921"/>
      </colorScale>
    </cfRule>
  </conditionalFormatting>
  <conditionalFormatting sqref="S3">
    <cfRule type="colorScale" priority="45">
      <colorScale>
        <cfvo type="min"/>
        <cfvo type="max"/>
        <color rgb="FFFCFCFF"/>
        <color rgb="FF754BFB"/>
      </colorScale>
    </cfRule>
  </conditionalFormatting>
  <conditionalFormatting sqref="J3">
    <cfRule type="colorScale" priority="46">
      <colorScale>
        <cfvo type="min"/>
        <cfvo type="percentile" val="50"/>
        <cfvo type="max"/>
        <color rgb="FFF8696B"/>
        <color rgb="FFFFEB84"/>
        <color rgb="FF63BE7B"/>
      </colorScale>
    </cfRule>
  </conditionalFormatting>
  <conditionalFormatting sqref="CG3">
    <cfRule type="colorScale" priority="47">
      <colorScale>
        <cfvo type="min"/>
        <cfvo type="max"/>
        <color rgb="FFFCFCFF"/>
        <color rgb="FF63BE7B"/>
      </colorScale>
    </cfRule>
  </conditionalFormatting>
  <hyperlinks>
    <hyperlink ref="I2" r:id="rId1" xr:uid="{2247784D-3A6D-429F-BAF8-5B85ECA08CE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5297" r:id="rId5"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55298" r:id="rId6"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55299" r:id="rId7"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29715-BD8E-41CF-ADBA-F99152DD17E7}">
  <sheetPr codeName="Sheet34"/>
  <dimension ref="A1:IY6"/>
  <sheetViews>
    <sheetView zoomScale="70" zoomScaleNormal="70" workbookViewId="0">
      <pane xSplit="5" ySplit="1" topLeftCell="F2" activePane="bottomRight" state="frozen"/>
      <selection pane="topRight" activeCell="F1" sqref="F1"/>
      <selection pane="bottomLeft" activeCell="A2" sqref="A2"/>
      <selection pane="bottomRight" activeCell="A3" sqref="A3"/>
    </sheetView>
  </sheetViews>
  <sheetFormatPr defaultRowHeight="38.4" customHeight="1" x14ac:dyDescent="0.3"/>
  <cols>
    <col min="1" max="1" width="52.44140625" style="81" bestFit="1" customWidth="1"/>
    <col min="2" max="2" width="10.109375" style="81" customWidth="1"/>
    <col min="3" max="3" width="7.44140625" style="82" customWidth="1"/>
    <col min="4" max="4" width="4.77734375" style="83" customWidth="1"/>
    <col min="5" max="5" width="4.5546875" style="83" customWidth="1"/>
    <col min="6" max="6" width="5.77734375" style="83" customWidth="1"/>
    <col min="7" max="7" width="7.44140625" style="81" customWidth="1"/>
    <col min="8" max="8" width="11.44140625" style="81" customWidth="1"/>
    <col min="9" max="9" width="10" style="81" customWidth="1"/>
    <col min="10" max="10" width="4.21875" style="81" customWidth="1"/>
    <col min="11" max="11" width="5.6640625" style="83" customWidth="1"/>
    <col min="12" max="12" width="2.88671875" style="83" customWidth="1"/>
    <col min="13" max="13" width="6.44140625" style="83" customWidth="1"/>
    <col min="14" max="14" width="4.5546875" style="83" customWidth="1"/>
    <col min="15" max="15" width="10.5546875" style="84" customWidth="1"/>
    <col min="16" max="16" width="6.88671875" style="83" customWidth="1"/>
    <col min="17" max="17" width="4.77734375" style="83" customWidth="1"/>
    <col min="18" max="18" width="13.109375" style="82" customWidth="1"/>
    <col min="19" max="19" width="6.77734375" style="82" customWidth="1"/>
    <col min="20" max="46" width="8.44140625" style="81" customWidth="1"/>
    <col min="47" max="47" width="24.5546875" style="81" customWidth="1"/>
    <col min="48" max="51" width="16.6640625" style="81" customWidth="1"/>
    <col min="52" max="52" width="6.5546875" style="81" customWidth="1"/>
    <col min="53" max="54" width="5.88671875" style="81" customWidth="1"/>
    <col min="55" max="55" width="1.33203125" style="81" customWidth="1"/>
    <col min="56" max="56" width="7.44140625" style="81" customWidth="1"/>
    <col min="57" max="57" width="2.33203125" style="81" customWidth="1"/>
    <col min="58" max="62" width="6.109375" style="81" customWidth="1"/>
    <col min="63" max="63" width="2.33203125" style="81" customWidth="1"/>
    <col min="64" max="64" width="7" style="81" bestFit="1" customWidth="1"/>
    <col min="65" max="65" width="6.44140625" style="81" bestFit="1" customWidth="1"/>
    <col min="66" max="66" width="7.109375" style="81" bestFit="1" customWidth="1"/>
    <col min="67" max="71" width="6.44140625" style="81" bestFit="1" customWidth="1"/>
    <col min="72" max="73" width="6.44140625" style="81" customWidth="1"/>
    <col min="74" max="75" width="13.44140625" style="81" customWidth="1"/>
    <col min="76" max="84" width="14.6640625" style="81" customWidth="1"/>
    <col min="85" max="85" width="6.44140625" style="81" customWidth="1"/>
    <col min="86" max="87" width="11.6640625" style="81" bestFit="1" customWidth="1"/>
    <col min="88" max="88" width="11.6640625" style="81" customWidth="1"/>
    <col min="89" max="89" width="12.77734375" style="81" bestFit="1" customWidth="1"/>
    <col min="90" max="90" width="16.44140625" style="82" bestFit="1" customWidth="1"/>
    <col min="91" max="92" width="14.88671875" style="82" bestFit="1" customWidth="1"/>
    <col min="93" max="93" width="16" style="82" bestFit="1" customWidth="1"/>
    <col min="94" max="97" width="7.77734375" style="81" customWidth="1"/>
    <col min="98" max="98" width="33.21875" style="81" customWidth="1"/>
    <col min="99" max="99" width="18" style="81" customWidth="1"/>
    <col min="100" max="100" width="75.6640625" style="81" customWidth="1"/>
    <col min="101" max="125" width="33" style="81" customWidth="1"/>
    <col min="126" max="126" width="8.88671875" style="81"/>
    <col min="127" max="128" width="9.44140625" style="81" bestFit="1" customWidth="1"/>
    <col min="129" max="129" width="10.77734375" style="81" bestFit="1" customWidth="1"/>
    <col min="130" max="134" width="10.77734375" style="81" customWidth="1"/>
    <col min="135" max="135" width="10.109375" style="81" bestFit="1" customWidth="1"/>
    <col min="136" max="136" width="7.77734375" style="81" bestFit="1" customWidth="1"/>
    <col min="137" max="137" width="7.77734375" style="81" customWidth="1"/>
    <col min="138" max="138" width="9" style="81" bestFit="1" customWidth="1"/>
    <col min="139" max="139" width="11.33203125" style="81" bestFit="1" customWidth="1"/>
    <col min="140" max="140" width="9.109375" style="81" bestFit="1" customWidth="1"/>
    <col min="141" max="141" width="9" style="81" bestFit="1" customWidth="1"/>
    <col min="142" max="142" width="12" style="81" bestFit="1" customWidth="1"/>
    <col min="143" max="166" width="12" style="81" customWidth="1"/>
    <col min="167" max="167" width="17.21875" style="81" customWidth="1"/>
    <col min="168" max="191" width="12" style="81" customWidth="1"/>
    <col min="192" max="192" width="8.5546875" style="81" bestFit="1" customWidth="1"/>
    <col min="193" max="193" width="8.5546875" style="81" customWidth="1"/>
    <col min="194" max="194" width="7.109375" style="81" bestFit="1" customWidth="1"/>
    <col min="195" max="195" width="7.5546875" style="81" bestFit="1" customWidth="1"/>
    <col min="196" max="196" width="8.5546875" style="81" bestFit="1" customWidth="1"/>
    <col min="197" max="200" width="8.5546875" style="81" customWidth="1"/>
    <col min="201" max="201" width="188.88671875" style="81" customWidth="1"/>
    <col min="202" max="202" width="9.5546875" style="81" bestFit="1" customWidth="1"/>
    <col min="203" max="203" width="10.44140625" style="81" bestFit="1" customWidth="1"/>
    <col min="204" max="204" width="11.109375" style="81" bestFit="1" customWidth="1"/>
    <col min="205" max="205" width="10.44140625" style="81" bestFit="1" customWidth="1"/>
    <col min="206" max="210" width="10.44140625" style="81" customWidth="1"/>
    <col min="211" max="211" width="45.44140625" style="81" customWidth="1"/>
    <col min="212" max="212" width="47.5546875" style="81" bestFit="1" customWidth="1"/>
    <col min="213" max="213" width="9.33203125" style="85" customWidth="1"/>
    <col min="214" max="214" width="119.5546875" style="81" customWidth="1"/>
    <col min="215" max="215" width="69.6640625" style="81" customWidth="1"/>
    <col min="216" max="218" width="8.88671875" style="81"/>
    <col min="219" max="219" width="37.109375" style="81" customWidth="1"/>
    <col min="220" max="220" width="16.33203125" style="81" customWidth="1"/>
    <col min="221" max="222" width="8.88671875" style="81"/>
    <col min="223" max="223" width="10.109375" style="81" bestFit="1" customWidth="1"/>
    <col min="224" max="232" width="10.88671875" style="81" customWidth="1"/>
    <col min="233" max="234" width="30.77734375" style="81" customWidth="1"/>
    <col min="235" max="235" width="5.109375" style="81" customWidth="1"/>
    <col min="236" max="236" width="3" style="81" customWidth="1"/>
    <col min="237" max="245" width="6.77734375" style="86" customWidth="1"/>
    <col min="246" max="247" width="8.88671875" style="81"/>
    <col min="248" max="248" width="61.5546875" style="81" customWidth="1"/>
    <col min="249" max="253" width="8.88671875" style="81"/>
    <col min="254" max="254" width="9" style="81" customWidth="1"/>
    <col min="255" max="16384" width="8.88671875" style="8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378</v>
      </c>
      <c r="B2" s="40" t="e" vm="92">
        <v>#VALUE!</v>
      </c>
      <c r="C2" s="41">
        <v>1</v>
      </c>
      <c r="D2" s="42" t="s">
        <v>379</v>
      </c>
      <c r="E2" s="43" t="s">
        <v>380</v>
      </c>
      <c r="F2" s="44" t="s">
        <v>163</v>
      </c>
      <c r="G2" s="45">
        <f>COUNTIF($A$1:$A$8383,A2)</f>
        <v>1</v>
      </c>
      <c r="H2" s="46"/>
      <c r="I2" s="47" t="s">
        <v>375</v>
      </c>
      <c r="J2" s="48" t="str">
        <f>""</f>
        <v/>
      </c>
      <c r="K2" s="49">
        <v>14094683</v>
      </c>
      <c r="L2" s="50">
        <v>1400000</v>
      </c>
      <c r="M2" s="50" t="s">
        <v>384</v>
      </c>
      <c r="N2" s="51" t="s">
        <v>180</v>
      </c>
      <c r="O2" s="52" t="s">
        <v>381</v>
      </c>
      <c r="P2" s="53" t="s">
        <v>382</v>
      </c>
      <c r="Q2" s="54">
        <v>1</v>
      </c>
      <c r="R2" s="55" t="s">
        <v>180</v>
      </c>
      <c r="S2" s="56">
        <v>3</v>
      </c>
      <c r="T2" s="57" t="s">
        <v>164</v>
      </c>
      <c r="U2" s="58" t="s">
        <v>164</v>
      </c>
      <c r="V2" s="58" t="s">
        <v>167</v>
      </c>
      <c r="W2" s="58" t="s">
        <v>164</v>
      </c>
      <c r="X2" s="58" t="s">
        <v>167</v>
      </c>
      <c r="Y2" s="58" t="s">
        <v>164</v>
      </c>
      <c r="Z2" s="58" t="s">
        <v>164</v>
      </c>
      <c r="AA2" s="58" t="s">
        <v>164</v>
      </c>
      <c r="AB2" s="58" t="s">
        <v>164</v>
      </c>
      <c r="AC2" s="58" t="s">
        <v>164</v>
      </c>
      <c r="AD2" s="58" t="s">
        <v>167</v>
      </c>
      <c r="AE2" s="58" t="s">
        <v>164</v>
      </c>
      <c r="AF2" s="59" t="s">
        <v>164</v>
      </c>
      <c r="AG2" s="59" t="s">
        <v>167</v>
      </c>
      <c r="AH2" s="59" t="s">
        <v>164</v>
      </c>
      <c r="AI2" s="59" t="s">
        <v>164</v>
      </c>
      <c r="AJ2" s="59" t="s">
        <v>164</v>
      </c>
      <c r="AK2" s="59" t="s">
        <v>164</v>
      </c>
      <c r="AL2" s="59" t="s">
        <v>164</v>
      </c>
      <c r="AM2" s="59" t="s">
        <v>164</v>
      </c>
      <c r="AN2" s="59" t="s">
        <v>164</v>
      </c>
      <c r="AO2" s="59" t="s">
        <v>164</v>
      </c>
      <c r="AP2" s="59" t="s">
        <v>164</v>
      </c>
      <c r="AQ2" s="59" t="s">
        <v>164</v>
      </c>
      <c r="AR2" s="59" t="s">
        <v>164</v>
      </c>
      <c r="AS2" s="59" t="s">
        <v>164</v>
      </c>
      <c r="AT2" s="60">
        <v>0</v>
      </c>
      <c r="AU2" s="59"/>
      <c r="AV2" s="59" t="str">
        <f>IF(LEFT(A2,1)="[",LEFT(A2,5)&amp;AU2&amp;A2,"")</f>
        <v/>
      </c>
      <c r="AW2" s="59" t="str">
        <f t="shared" ref="AW2" si="0">C2&amp;H2&amp;A2</f>
        <v>1Rwanda</v>
      </c>
      <c r="AX2" s="61" t="str">
        <f>_xlfn.TEXTJOIN(";",TRUE,AU2:AW2)</f>
        <v>1Rwanda</v>
      </c>
      <c r="AY2" s="61"/>
      <c r="AZ2" s="62"/>
      <c r="BA2" s="62"/>
      <c r="BB2" s="62"/>
      <c r="BC2" s="63"/>
      <c r="BD2" s="64" t="s">
        <v>152</v>
      </c>
      <c r="BE2" s="47"/>
      <c r="BF2" s="64" t="s">
        <v>152</v>
      </c>
      <c r="BG2" s="64" t="s">
        <v>155</v>
      </c>
      <c r="BH2" s="64" t="s">
        <v>153</v>
      </c>
      <c r="BI2" s="64"/>
      <c r="BJ2" s="64"/>
      <c r="BK2" s="47"/>
      <c r="BL2" s="64" t="s">
        <v>152</v>
      </c>
      <c r="BM2" s="64" t="s">
        <v>155</v>
      </c>
      <c r="BN2" s="64" t="s">
        <v>153</v>
      </c>
      <c r="BO2" s="64"/>
      <c r="BP2" s="64"/>
      <c r="BQ2" s="64"/>
      <c r="BR2" s="64"/>
      <c r="BS2" s="64"/>
      <c r="BT2" s="64"/>
      <c r="BU2" s="65"/>
      <c r="BV2" s="66" t="s">
        <v>165</v>
      </c>
      <c r="BW2" s="66">
        <v>0</v>
      </c>
      <c r="BX2" s="47"/>
      <c r="BZ2" s="48" t="s">
        <v>167</v>
      </c>
      <c r="CB2" s="6" t="s">
        <v>383</v>
      </c>
      <c r="CC2" s="6"/>
      <c r="CD2" s="67">
        <v>0</v>
      </c>
      <c r="CE2" s="67">
        <v>0</v>
      </c>
      <c r="CF2" s="67" t="e">
        <v>#REF!</v>
      </c>
      <c r="CG2" s="68" cm="1">
        <f t="array" ref="CG2">SUMPRODUCT(--(LEN(TRIM(BL2:BT2))&gt;0))</f>
        <v>3</v>
      </c>
      <c r="CH2" s="59" t="str">
        <f>IF(CG2=2,"y","n")</f>
        <v>n</v>
      </c>
      <c r="CI2" s="59" t="str">
        <f>IF(CG2=3,"y","n")</f>
        <v>y</v>
      </c>
      <c r="CJ2" s="59" t="str">
        <f>IF(CG2=4,"y","n")</f>
        <v>n</v>
      </c>
      <c r="CK2" s="59" t="str">
        <f>IF(CG2&gt;4,"y","n")</f>
        <v>n</v>
      </c>
      <c r="CL2" s="59" t="str">
        <f>IF(S2=0,"y","n")</f>
        <v>n</v>
      </c>
      <c r="CM2" s="59" t="str">
        <f>IF(S2=2,"y","n")</f>
        <v>n</v>
      </c>
      <c r="CN2" s="59" t="str">
        <f>IF(S2=3,"y","n")</f>
        <v>y</v>
      </c>
      <c r="CO2" s="59" t="str">
        <f>IF(S2&gt;=4,"y","n")</f>
        <v>n</v>
      </c>
      <c r="CP2" s="59" t="str">
        <f>IF(AT2=0,"y","n")</f>
        <v>y</v>
      </c>
      <c r="CQ2" s="59" t="str">
        <f>IF(AT2=1,"y","n")</f>
        <v>n</v>
      </c>
      <c r="CR2" s="59" t="str">
        <f>IF(AT2=2,"y","n")</f>
        <v>n</v>
      </c>
      <c r="CS2" s="59" t="str">
        <f>IF(AT2&gt;=3,"y","n")</f>
        <v>n</v>
      </c>
      <c r="CT2" s="69" t="str">
        <f>CHAR(34)&amp;A2&amp;CHAR(34)</f>
        <v>"Rwanda"</v>
      </c>
      <c r="CU2" s="70" t="str">
        <f>CHAR(34)&amp;"rgn_"&amp;R2&amp;CHAR(34)</f>
        <v>"rgn_Africa"</v>
      </c>
      <c r="CV2" s="48" t="str">
        <f>CHAR(34)&amp;D2&amp;CHAR(34)</f>
        <v>"https://i.ibb.co/p1Q2qcZ/Rwanda-Flag.png"</v>
      </c>
      <c r="CW2" s="48" t="str">
        <f>IF(CH2="y",CHAR(34)&amp;CH$1&amp;CHAR(34)&amp;",","")</f>
        <v/>
      </c>
      <c r="CX2" s="48" t="str">
        <f>IF(CI2="y",CHAR(34)&amp;CI$1&amp;CHAR(34)&amp;",","")</f>
        <v>"3Color",</v>
      </c>
      <c r="CY2" s="48" t="str">
        <f>IF(CJ2="y",CHAR(34)&amp;CJ$1&amp;CHAR(34)&amp;",","")</f>
        <v/>
      </c>
      <c r="CZ2" s="48" t="str">
        <f>IF(CK2="y",CHAR(34)&amp;CK$1&amp;CHAR(34)&amp;",","")</f>
        <v/>
      </c>
      <c r="DA2" s="48" t="str">
        <f>IF(Q2&gt;1,CHAR(34)&amp;"words2"&amp;CHAR(34)&amp;",","")</f>
        <v/>
      </c>
      <c r="DB2" s="48" t="str">
        <f>IF(Q2&gt;2,CHAR(34)&amp;"words3"&amp;CHAR(34)&amp;",","")</f>
        <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"lets06",</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"startR",</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"with_w",</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"LUREEL",</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
      </c>
      <c r="DP2" s="6" t="str">
        <f>IF(AND(ISNUMBER(SEARCH("20", O2)), ISERROR(SEARCH("1920", O2))), CHAR(34)&amp;"year00"&amp;CHAR(34)&amp;",", "")</f>
        <v>"year00",</v>
      </c>
      <c r="DQ2" s="6" t="str">
        <f>IF(CC2="y",CHAR(34)&amp;"soviet"&amp;CHAR(34)&amp;",","")</f>
        <v/>
      </c>
      <c r="DR2" s="6" t="str">
        <f>IF(BY2="y",CHAR(34)&amp;"dgband"&amp;CHAR(34)&amp;",","")</f>
        <v/>
      </c>
      <c r="DS2" s="6" t="str">
        <f>IF(W2="y",IF(AND(V2="n",BY2&lt;&gt;"y"),CHAR(34)&amp;"allver"&amp;CHAR(34)&amp;",",""),"")</f>
        <v/>
      </c>
      <c r="DT2" s="6" t="str">
        <f>IF(V2="y",IF(AND(W2="n",BY2&lt;&gt;"y"),CHAR(34)&amp;"allhor"&amp;CHAR(34)&amp;",",""),"")</f>
        <v>"allhor",</v>
      </c>
      <c r="DU2" s="6" t="str">
        <f>IF(BY2="y",IF(AND(W2="n",V2="n"),CHAR(34)&amp;"alldia"&amp;CHAR(34)&amp;",",""),"")</f>
        <v/>
      </c>
      <c r="DV2" s="48" t="str">
        <f>IF(IA2&lt;&gt;"",(IF(IA2="y",CHAR(34)&amp;"largec"&amp;CHAR(34)&amp;",",CHAR(34)&amp;"smallc"&amp;CHAR(34)&amp;",")),"")</f>
        <v/>
      </c>
      <c r="DW2" s="48" t="str">
        <f>IF(CL2="y",CHAR(34)&amp;CL$1&amp;CHAR(34)&amp;",","")</f>
        <v/>
      </c>
      <c r="DX2" s="48" t="str">
        <f>IF(CM2="y",CHAR(34)&amp;CM$1&amp;CHAR(34)&amp;",","")</f>
        <v/>
      </c>
      <c r="DY2" s="48" t="str">
        <f>IF(CN2="y",CHAR(34)&amp;CN$1&amp;CHAR(34)&amp;",","")</f>
        <v>"3Bands",</v>
      </c>
      <c r="DZ2" s="48" t="str">
        <f>IF(CO2="y",CHAR(34)&amp;CO$1&amp;CHAR(34)&amp;",","")</f>
        <v/>
      </c>
      <c r="EA2" s="48" t="str">
        <f>IF(T2="y",CHAR(34)&amp;T$1&amp;CHAR(34)&amp;",","")</f>
        <v/>
      </c>
      <c r="EB2" s="48" t="str">
        <f>IF(U2="y",CHAR(34)&amp;U$1&amp;CHAR(34)&amp;",","")</f>
        <v/>
      </c>
      <c r="EC2" s="48" t="str">
        <f>IF(V2="y",CHAR(34)&amp;V$1&amp;CHAR(34)&amp;",","")</f>
        <v>"Horizo",</v>
      </c>
      <c r="ED2" s="48" t="str">
        <f>IF(W2="y",CHAR(34)&amp;W$1&amp;CHAR(34)&amp;",","")</f>
        <v/>
      </c>
      <c r="EE2" s="48" t="str">
        <f>IF(X2="y",CHAR(34)&amp;X$1&amp;CHAR(34)&amp;",","")</f>
        <v>"Circle",</v>
      </c>
      <c r="EF2" s="48" t="str">
        <f>IF(AND(Y2&lt;&gt;"n",Y2&lt;&gt;""),CHAR(34)&amp;Y$1&amp;CHAR(34)&amp;",","")</f>
        <v/>
      </c>
      <c r="EG2" s="48" t="str">
        <f>IF(Z2="y",CHAR(34)&amp;Z$1&amp;CHAR(34)&amp;",","")</f>
        <v/>
      </c>
      <c r="EH2" s="48" t="str">
        <f>IF(AA2="y",CHAR(34)&amp;AA$1&amp;CHAR(34)&amp;",","")</f>
        <v/>
      </c>
      <c r="EI2" s="48" t="str">
        <f>IF(AB2="y",CHAR(34)&amp;AB$1&amp;CHAR(34)&amp;",","")</f>
        <v/>
      </c>
      <c r="EJ2" s="48" t="str">
        <f>IF(AC2="y",CHAR(34)&amp;AC$1&amp;CHAR(34)&amp;",","")</f>
        <v/>
      </c>
      <c r="EK2" s="48" t="str">
        <f>IF(AD2="y",CHAR(34)&amp;AD$1&amp;CHAR(34)&amp;",","")</f>
        <v>"HasSun",</v>
      </c>
      <c r="EL2" s="48" t="str">
        <f>IF(AE2="y",CHAR(34)&amp;AE$1&amp;CHAR(34)&amp;",","")</f>
        <v/>
      </c>
      <c r="EM2" s="48" t="str">
        <f>IF(AF2="y",CHAR(34)&amp;AF$1&amp;CHAR(34)&amp;",","")</f>
        <v/>
      </c>
      <c r="EN2" s="48" t="str">
        <f>IF(AG2="y",CHAR(34)&amp;AG$1&amp;CHAR(34)&amp;",","")</f>
        <v>"Unequa",</v>
      </c>
      <c r="EO2" s="48" t="str">
        <f>IF(AH2="y",CHAR(34)&amp;AH$1&amp;CHAR(34)&amp;",","")</f>
        <v/>
      </c>
      <c r="EP2" s="48" t="str">
        <f>IF(AI2="y",CHAR(34)&amp;AI$1&amp;CHAR(34)&amp;",","")</f>
        <v/>
      </c>
      <c r="EQ2" s="48" t="str">
        <f>IF(AJ2="y",CHAR(34)&amp;AJ$1&amp;CHAR(34)&amp;",","")</f>
        <v/>
      </c>
      <c r="ER2" s="48" t="str">
        <f>IF(AK2="y",CHAR(34)&amp;AK$1&amp;CHAR(34)&amp;",","")</f>
        <v/>
      </c>
      <c r="ES2" s="48" t="str">
        <f>IF(AL2="y",CHAR(34)&amp;AL$1&amp;CHAR(34)&amp;",","")</f>
        <v/>
      </c>
      <c r="ET2" s="48" t="str">
        <f>IF(AM2="y",CHAR(34)&amp;AM$1&amp;CHAR(34)&amp;",","")</f>
        <v/>
      </c>
      <c r="EU2" s="48" t="str">
        <f>IF(AN2="y",CHAR(34)&amp;AN$1&amp;CHAR(34)&amp;",","")</f>
        <v/>
      </c>
      <c r="EV2" s="48" t="str">
        <f>IF(AO2="y",CHAR(34)&amp;AO$1&amp;CHAR(34)&amp;",","")</f>
        <v/>
      </c>
      <c r="EW2" s="48" t="str">
        <f>IF(AP2="y",CHAR(34)&amp;AP$1&amp;CHAR(34)&amp;",","")</f>
        <v/>
      </c>
      <c r="EX2" s="48" t="str">
        <f>IF(AQ2="y",CHAR(34)&amp;AQ$1&amp;CHAR(34)&amp;",","")</f>
        <v/>
      </c>
      <c r="EY2" s="48" t="str">
        <f>IF(AR2="y",CHAR(34)&amp;AR$1&amp;CHAR(34)&amp;",","")</f>
        <v/>
      </c>
      <c r="EZ2" s="48" t="str">
        <f>IF(AS2="y",CHAR(34)&amp;AS$1&amp;CHAR(34)&amp;",","")</f>
        <v/>
      </c>
      <c r="FA2" s="48" t="str">
        <f>IF(AT2&gt;0,CHAR(34)&amp;"sta"&amp;AZ2&amp;CHAR(34)&amp;",","")</f>
        <v/>
      </c>
      <c r="FB2" s="48" t="str">
        <f>IF(AND(AT2&gt;0,BA2&lt;&gt;""),CHAR(34)&amp;"sta"&amp;BA2&amp;CHAR(34)&amp;",","")</f>
        <v/>
      </c>
      <c r="FC2" s="48" t="str">
        <f>IF(AND(AT2&gt;0,BB2&lt;&gt;""),CHAR(34)&amp;"sta"&amp;BB2&amp;CHAR(34)&amp;",","")</f>
        <v/>
      </c>
      <c r="FD2" s="48" t="str">
        <f>IF(BV2="n",CHAR(34)&amp;"tcWHYE"&amp;CHAR(34)&amp;",",IF(BV2="y",CHAR(34)&amp;FD$1&amp;CHAR(34)&amp;",",""))</f>
        <v/>
      </c>
      <c r="FE2" s="48" t="str">
        <f>IF(COUNTIF(BL2:BT2,"BLU")=0,CHAR(34)&amp;"NO_BLU"&amp;CHAR(34)&amp;",", "")</f>
        <v/>
      </c>
      <c r="FF2" s="48" t="str">
        <f>IF(COUNTIF(BL2:BT2,"WHI")=0,CHAR(34)&amp;"NO_WHI"&amp;CHAR(34)&amp;",", "")</f>
        <v>"NO_WHI",</v>
      </c>
      <c r="FG2" s="48" t="str">
        <f>IF(COUNTIF(BL2:BT2,"RED")=0,CHAR(34)&amp;"NO_RED"&amp;CHAR(34)&amp;",", "")</f>
        <v>"NO_RED",</v>
      </c>
      <c r="FH2" s="48" t="str">
        <f>IF(COUNTIF(BL2:BS2,"GRE")=0,CHAR(34)&amp;"NO_GRE"&amp;CHAR(34)&amp;",", "")</f>
        <v/>
      </c>
      <c r="FI2" s="48" t="str">
        <f>IF(COUNTIF(BL2:BT2,"YEL")=0,CHAR(34)&amp;"NO_YEL"&amp;CHAR(34)&amp;",", "")</f>
        <v/>
      </c>
      <c r="FJ2" s="48" t="str">
        <f>IF(COUNTIF(BL2:BT2,"BLA")=0,CHAR(34)&amp;"NO_BLA"&amp;CHAR(34)&amp;",", "")</f>
        <v>"NO_BLA",</v>
      </c>
      <c r="FK2" s="48" t="str">
        <f>IF(AND(FH2&lt;&gt;"",FF2&lt;&gt;""),CHAR(34)&amp;"WHGRNO"&amp;CHAR(34)&amp;",","")</f>
        <v/>
      </c>
      <c r="FL2" s="48" t="str">
        <f>IF(AND(FI2&lt;&gt;"",FF2&lt;&gt;""),CHAR(34)&amp;"WHYENO"&amp;CHAR(34)&amp;",","")</f>
        <v/>
      </c>
      <c r="FM2" s="48" t="str">
        <f>IF(AND(FJ2&lt;&gt;"",FF2&lt;&gt;""),CHAR(34)&amp;"BAWHNO"&amp;CHAR(34)&amp;",","")</f>
        <v>"BAWHNO",</v>
      </c>
      <c r="FN2" s="48" t="str">
        <f>IF(AND(FE2&lt;&gt;"",FF2&lt;&gt;""),CHAR(34)&amp;"BLWHNO"&amp;CHAR(34)&amp;",","")</f>
        <v/>
      </c>
      <c r="FO2" s="48" t="str">
        <f>IF(AND(FE2&lt;&gt;"",FG2&lt;&gt;""),CHAR(34)&amp;"BLRENO"&amp;CHAR(34)&amp;",","")</f>
        <v/>
      </c>
      <c r="FP2" s="48" t="str">
        <f>IF(AND(FF2&lt;&gt;"",FF2&lt;&gt;""),CHAR(34)&amp;"WHRENO"&amp;CHAR(34)&amp;",","")</f>
        <v>"WHRENO",</v>
      </c>
      <c r="FQ2" s="48" t="str">
        <f>IF(LEN(BF2)=3,CHAR(34)&amp;"001"&amp;BF2&amp;CHAR(34)&amp;",","")</f>
        <v>"001BLU",</v>
      </c>
      <c r="FR2" s="48" t="str">
        <f>IF(LEN(BG2)=3,CHAR(34)&amp;"002"&amp;BG2&amp;CHAR(34)&amp;",","")</f>
        <v>"002YEL",</v>
      </c>
      <c r="FS2" s="48" t="str">
        <f>IF(LEN(BH2)=3,CHAR(34)&amp;"003"&amp;BH2&amp;CHAR(34)&amp;",","")</f>
        <v>"003GRE",</v>
      </c>
      <c r="FT2" s="48" t="str">
        <f>CHAR(34)&amp;"myr"&amp;BD2&amp;CHAR(34)&amp;","</f>
        <v>"myrBLU",</v>
      </c>
      <c r="FU2" s="48" t="str">
        <f>IF(AY2="y",CHAR(34)&amp;"island"&amp;CHAR(34)&amp;",","")</f>
        <v/>
      </c>
      <c r="FV2" s="48" t="str">
        <f>IF(BZ2="y",CHAR(34)&amp;"landlo"&amp;CHAR(34)&amp;",","")</f>
        <v>"landlo",</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"englis",</v>
      </c>
      <c r="GA2" s="48" t="str">
        <f>IFERROR(IF(SEARCH("French",CB2)&gt;0,CHAR(34)&amp;"french"&amp;CHAR(34)&amp;",",""),"")</f>
        <v>"french",</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"NoStar",</v>
      </c>
      <c r="GK2" s="48" t="str">
        <f>IF(GJ2="",CHAR(34)&amp;"HasSta"&amp;CHAR(34)&amp;",","")</f>
        <v/>
      </c>
      <c r="GL2" s="48" t="str">
        <f>IF(CQ2="y",CHAR(34)&amp;CQ$1&amp;CHAR(34)&amp;",","")</f>
        <v/>
      </c>
      <c r="GM2" s="48" t="str">
        <f>IF(CR2="y",CHAR(34)&amp;CR$1&amp;CHAR(34)&amp;",","")</f>
        <v/>
      </c>
      <c r="GN2" s="48" t="str">
        <f>IF(CS2="y",CHAR(34)&amp;CS$1&amp;CHAR(34)&amp;",","")</f>
        <v/>
      </c>
      <c r="GP2" s="48" t="str">
        <f>CHAR(34)&amp;AU2&amp;CHAR(34)</f>
        <v>""</v>
      </c>
      <c r="GS2" s="48" t="str">
        <f>SUBSTITUTE("["&amp;_xlfn.CONCAT(CW2:GN2)&amp;"]",",]","]")</f>
        <v>["3Color","lets06","startR","with_w","LUREEL","year00","allhor","3Bands","Horizo","Circle","HasSun","Unequa","NO_WHI","NO_RED","NO_BLA","BAWHNO","WHRENO","001BLU","002YEL","003GRE","myrBLU","landlo","englis","french","NoStar"]</v>
      </c>
      <c r="GT2" s="48" t="str">
        <f>IF(BL2&lt;&gt;"",CHAR(34)&amp;"cl_"&amp;BL2&amp;CHAR(34)&amp;",","")</f>
        <v>"cl_BLU",</v>
      </c>
      <c r="GU2" s="48" t="str">
        <f>IF(BM2&lt;&gt;"",CHAR(34)&amp;"cl_"&amp;BM2&amp;CHAR(34)&amp;",","")</f>
        <v>"cl_YEL",</v>
      </c>
      <c r="GV2" s="48" t="str">
        <f>IF(BN2&lt;&gt;"",CHAR(34)&amp;"cl_"&amp;BN2&amp;CHAR(34)&amp;",","")</f>
        <v>"cl_GRE",</v>
      </c>
      <c r="GW2" s="48" t="str">
        <f>IF(BO2&lt;&gt;"",CHAR(34)&amp;"cl_"&amp;BO2&amp;CHAR(34)&amp;",","")</f>
        <v/>
      </c>
      <c r="GX2" s="48" t="str">
        <f>IF(BP2&lt;&gt;"",CHAR(34)&amp;"cl_"&amp;BP2&amp;CHAR(34)&amp;",","")</f>
        <v/>
      </c>
      <c r="GY2" s="48" t="str">
        <f>IF(BQ2&lt;&gt;"",CHAR(34)&amp;"cl_"&amp;BQ2&amp;CHAR(34)&amp;",","")</f>
        <v/>
      </c>
      <c r="GZ2" s="48" t="str">
        <f>IF(BR2&lt;&gt;"",CHAR(34)&amp;"cl_"&amp;BR2&amp;CHAR(34)&amp;",","")</f>
        <v/>
      </c>
      <c r="HA2" s="48" t="str">
        <f>IF(BS2&lt;&gt;"",CHAR(34)&amp;"cl_"&amp;BS2&amp;CHAR(34)&amp;",","")</f>
        <v/>
      </c>
      <c r="HB2" s="48" t="str">
        <f>IF(BT2&lt;&gt;"",CHAR(34)&amp;"cl_"&amp;BT2&amp;CHAR(34)&amp;",","")</f>
        <v/>
      </c>
      <c r="HC2" s="48" t="str">
        <f>SUBSTITUTE("["&amp;_xlfn.CONCAT(GT2:HB2)&amp;"]",",]","]")</f>
        <v>["cl_BLU","cl_YEL","cl_GRE"]</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{couname:"Rwanda",year:"2001 ",region:"rgn_Africa",Colors:["cl_BLU","cl_YEL","cl_GRE"],Items:["3Color","lets06","startR","with_w","LUREEL","year00","allhor","3Bands","Horizo","Circle","HasSun","Unequa","NO_WHI","NO_RED","NO_BLA","BAWHNO","WHRENO","001BLU","002YEL","003GRE","myrBLU","landlo","englis","french","NoStar"],Flag:"https://i.ibb.co/p1Q2qcZ/Rwanda-Flag.png",HDFlag:"https://upload.wikimedia.org/wikipedia/commons/thumb/1/17/Flag_of_Rwanda.svg/2560px-Flag_of_Rwanda.svg.png",type:"", describe: "\nThe light blue band represents happiness and peace, the yellow band symbolizes economic development, and the green band symbolizes the hope of prosperity. The yellow sun with 24 rays represents enlightenment.", isnew:".", links: "https://en.wikipedia.org/wiki/Flag_of_Rwanda"},</v>
      </c>
      <c r="HG2" s="73" t="str">
        <f>"{couname:"&amp;CT2&amp;(IF(HK2&lt;&gt;"",",subtype:"&amp;CHAR(34)&amp;HK2&amp;CHAR(34),""))&amp;",year:"&amp;HJ2&amp;",region:"&amp;CU2&amp;",Colors:"&amp;HC2&amp;",Items:"&amp;GS2&amp;",Flag:"&amp;CV2&amp;",HDFlag:"&amp;CHAR(34)&amp;E2&amp;CHAR(34)&amp;",type:"&amp;GP2&amp;", describe: "&amp;HI2&amp;", links: "&amp;HL2&amp;"},"</f>
        <v>{couname:"Rwanda",year:"2001 ",region:"rgn_Africa",Colors:["cl_BLU","cl_YEL","cl_GRE"],Items:["3Color","lets06","startR","with_w","LUREEL","year00","allhor","3Bands","Horizo","Circle","HasSun","Unequa","NO_WHI","NO_RED","NO_BLA","BAWHNO","WHRENO","001BLU","002YEL","003GRE","myrBLU","landlo","englis","french","NoStar"],Flag:"https://i.ibb.co/p1Q2qcZ/Rwanda-Flag.png",HDFlag:"https://upload.wikimedia.org/wikipedia/commons/thumb/1/17/Flag_of_Rwanda.svg/2560px-Flag_of_Rwanda.svg.png",type:"", describe: "\nThe light blue band represents happiness and peace, the yellow band symbolizes economic development, and the green band symbolizes the hope of prosperity. The yellow sun with 24 rays represents enlightenment.", links: "https://en.wikipedia.org/wiki/Flag_of_Rwanda"},</v>
      </c>
      <c r="HH2" s="48" t="str">
        <f>IF(P2&lt;&gt;"",CHAR(34)&amp;"\n"&amp;P2&amp;CHAR(34),CHAR(34)&amp;CHAR(34))</f>
        <v>"\nThe light blue band represents happiness and peace, the yellow band symbolizes economic development, and the green band symbolizes the hope of prosperity. The yellow sun with 24 rays represents enlightenment."</v>
      </c>
      <c r="HI2" s="48" t="str">
        <f>IF(J2=0,CHAR(34)&amp;CHAR(34),HH2)</f>
        <v>"\nThe light blue band represents happiness and peace, the yellow band symbolizes economic development, and the green band symbolizes the hope of prosperity. The yellow sun with 24 rays represents enlightenment."</v>
      </c>
      <c r="HJ2" s="48" t="str">
        <f>CHAR(34)&amp;O2&amp;CHAR(34)</f>
        <v>"2001 "</v>
      </c>
      <c r="HL2" s="48" t="str">
        <f>CHAR(34)&amp;I2&amp;CHAR(34)</f>
        <v>"https://en.wikipedia.org/wiki/Flag_of_Rwanda"</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{"couname":"Rwanda","year":"2001 ","region":"rgn_Africa","Colors":["cl_BLU","cl_YEL","cl_GRE"],"Items":["3Color","lets06","startR","with_w","LUREEL","year00","allhor","3Bands","Horizo","Circle","HasSun","Unequa","NO_WHI","NO_RED","NO_BLA","BAWHNO","WHRENO","001BLU","002YEL","003GRE","myrBLU","landlo","englis","french","NoStar"],"Flag":"https://i.ibb.co/p1Q2qcZ/Rwanda-Flag.png","HDFlag":"https://upload.wikimedia.org/wikipedia/commons/thumb/1/17/Flag_of_Rwanda.svg/2560px-Flag_of_Rwanda.svg.png","type":"", "describe": "\nThe light blue band represents happiness and peace, the yellow band symbolizes economic development, and the green band symbolizes the hope of prosperity. The yellow sun with 24 rays represents enlightenment.", "isnew": ".", "links": "https://en.wikipedia.org/wiki/Flag_of_Rwanda"},</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{"couname":"Rwanda","year":"2001 ","region":"rgn_Africa","Colors":["cl_BLU","cl_YEL","cl_GRE"],"Items":["3Color","lets06","startR","with_w","LUREEL","year00","allhor","3Bands","Horizo","Circle","HasSun","Unequa","NO_WHI","NO_RED","NO_BLA","BAWHNO","WHRENO","001BLU","002YEL","003GRE","myrBLU","landlo","englis","french","NoStar"],"Flag":"https://i.ibb.co/p1Q2qcZ/Rwanda-Flag.png","HDFlag":"https://upload.wikimedia.org/wikipedia/commons/thumb/1/17/Flag_of_Rwanda.svg/2560px-Flag_of_Rwanda.svg.png","type":"", "describe": "\nThe light blue band represents happiness and peace, the yellow band symbolizes economic development, and the green band symbolizes the hope of prosperity. The yellow sun with 24 rays represents enlightenment.", "isnew": ".", "links": "https://en.wikipedia.org/wiki/Flag_of_Rwanda"},</v>
      </c>
      <c r="HO2" s="75"/>
      <c r="HP2" s="48" t="str" cm="1">
        <f t="array" ref="HP2">IF(_xlfn.TEXTJOIN(", ", TRUE, IF(ISNUMBER(SEARCH("BLA", BL2:BT2)), COLUMN(BL2:BT2) - COLUMN(BL2) + 1, ""))&lt;&gt;"","BLA","")</f>
        <v/>
      </c>
      <c r="HQ2" s="48" t="str" cm="1">
        <f t="array" ref="HQ2">IF(_xlfn.TEXTJOIN(", ", TRUE, IF(ISNUMBER(SEARCH("BLU", BL2:BT2)), COLUMN(BL2:BT2) - COLUMN(BL2) + 1, ""))&lt;&gt;"","BLU","")</f>
        <v>BLU</v>
      </c>
      <c r="HR2" s="48" t="str" cm="1">
        <f t="array" ref="HR2">IF(_xlfn.TEXTJOIN(", ", TRUE, IF(ISNUMBER(SEARCH("GRE", BL2:BT2)), COLUMN(BL2:BT2) - COLUMN(BL2) + 1, ""))&lt;&gt;"","GRE","")</f>
        <v>GRE</v>
      </c>
      <c r="HS2" s="48" t="str" cm="1">
        <f t="array" ref="HS2">IF(_xlfn.TEXTJOIN(", ", TRUE, IF(ISNUMBER(SEARCH("RED", BL2:BT2)), COLUMN(BL2:BT2) - COLUMN(BL2) + 1, ""))&lt;&gt;"","RED","")</f>
        <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
      </c>
      <c r="HY2" s="76"/>
      <c r="HZ2" s="76"/>
      <c r="IA2" s="6"/>
      <c r="IB2" s="6"/>
      <c r="IC2" s="77"/>
      <c r="ID2" s="77"/>
      <c r="IE2" s="77"/>
      <c r="IF2" s="77"/>
      <c r="IG2" s="77"/>
      <c r="IH2" s="77"/>
      <c r="II2" s="77"/>
      <c r="IJ2" s="77"/>
      <c r="IK2" s="77"/>
      <c r="IL2" s="48">
        <f>SUM(IC2:IK2)</f>
        <v>0</v>
      </c>
      <c r="IM2" s="45">
        <f>COUNTIF(IC2:IK2,"&gt;0")-CG2</f>
        <v>-3</v>
      </c>
      <c r="IN2" s="78" t="str">
        <f>"http://mkweb.bcgsc.ca/color-summarizer/?url="&amp;D2&amp;"&amp;precision=low&amp;num_clusters="&amp;CG2&amp;"&amp;text=1"</f>
        <v>http://mkweb.bcgsc.ca/color-summarizer/?url=https://i.ibb.co/p1Q2qcZ/Rwanda-Flag.png&amp;precision=low&amp;num_clusters=3&amp;text=1</v>
      </c>
      <c r="IO2" s="48" t="str">
        <f>IF(HP2&lt;&gt;"",CHAR(34)&amp;"black"&amp;CHAR(34),"")</f>
        <v/>
      </c>
      <c r="IP2" s="48" t="str">
        <f>IF(HQ2&lt;&gt;"",CHAR(34)&amp;"blue"&amp;CHAR(34),"")</f>
        <v>"blue"</v>
      </c>
      <c r="IQ2" s="48" t="str">
        <f>IF(HR2&lt;&gt;"",CHAR(34)&amp;"green"&amp;CHAR(34),"")</f>
        <v>"green"</v>
      </c>
      <c r="IR2" s="48" t="str">
        <f>IF(HS2&lt;&gt;"",CHAR(34)&amp;"red"&amp;CHAR(34),"")</f>
        <v/>
      </c>
      <c r="IS2" s="48" t="str">
        <f>IF(HT2&lt;&gt;"",CHAR(34)&amp;"yellow"&amp;CHAR(34),"")</f>
        <v>"yellow"</v>
      </c>
      <c r="IT2" s="48" t="str">
        <f>IF(HU2&lt;&gt;"",CHAR(34)&amp;"orange"&amp;CHAR(34),"")</f>
        <v/>
      </c>
      <c r="IU2" s="48" t="str">
        <f>IF(HV2&lt;&gt;"",CHAR(34)&amp;"brown"&amp;CHAR(34),"")</f>
        <v/>
      </c>
      <c r="IV2" s="48" t="str">
        <f>IF(HW2&lt;&gt;"",CHAR(34)&amp;"purple"&amp;CHAR(34),"")</f>
        <v/>
      </c>
      <c r="IW2" s="48" t="str">
        <f>IF(HX2&lt;&gt;"",CHAR(34)&amp;"white"&amp;CHAR(34),"")</f>
        <v/>
      </c>
      <c r="IX2" s="48" t="str">
        <f>"{"&amp;CHAR(34)&amp;"url"&amp;CHAR(34)&amp;":"&amp;CHAR(34)&amp;IN2&amp;CHAR(34)&amp;","&amp;CHAR(34)&amp;"name"&amp;CHAR(34)&amp;":"&amp;CHAR(34)&amp;A2&amp;CHAR(34)&amp;"},"</f>
        <v>{"url":"http://mkweb.bcgsc.ca/color-summarizer/?url=https://i.ibb.co/p1Q2qcZ/Rwanda-Flag.png&amp;precision=low&amp;num_clusters=3&amp;text=1","name":"Rwanda"},</v>
      </c>
      <c r="IY2" s="48">
        <v>181</v>
      </c>
    </row>
    <row r="3" spans="1:259" s="48" customFormat="1" ht="38.4" customHeight="1" thickBot="1" x14ac:dyDescent="0.35">
      <c r="A3" s="80" t="s">
        <v>372</v>
      </c>
      <c r="B3" s="40" t="e" vm="93">
        <v>#VALUE!</v>
      </c>
      <c r="C3" s="41" t="s">
        <v>173</v>
      </c>
      <c r="D3" s="42" t="s">
        <v>373</v>
      </c>
      <c r="E3" s="43" t="s">
        <v>374</v>
      </c>
      <c r="F3" s="44" t="s">
        <v>163</v>
      </c>
      <c r="G3" s="45">
        <f>COUNTIF($A$1:$A$8399,A3)</f>
        <v>1</v>
      </c>
      <c r="H3" s="46" t="s">
        <v>385</v>
      </c>
      <c r="I3" s="47" t="s">
        <v>375</v>
      </c>
      <c r="J3" s="48" t="str">
        <f>""</f>
        <v/>
      </c>
      <c r="K3" s="49"/>
      <c r="L3" s="50"/>
      <c r="M3" s="50"/>
      <c r="N3" s="51" t="s">
        <v>180</v>
      </c>
      <c r="O3" s="52" t="s">
        <v>376</v>
      </c>
      <c r="P3" s="53" t="s">
        <v>377</v>
      </c>
      <c r="Q3" s="54">
        <v>1</v>
      </c>
      <c r="R3" s="55" t="s">
        <v>180</v>
      </c>
      <c r="S3" s="56">
        <v>3</v>
      </c>
      <c r="T3" s="57" t="s">
        <v>164</v>
      </c>
      <c r="U3" s="58" t="s">
        <v>164</v>
      </c>
      <c r="V3" s="58" t="s">
        <v>164</v>
      </c>
      <c r="W3" s="58" t="s">
        <v>167</v>
      </c>
      <c r="X3" s="58" t="s">
        <v>164</v>
      </c>
      <c r="Y3" s="58" t="s">
        <v>164</v>
      </c>
      <c r="Z3" s="58" t="s">
        <v>164</v>
      </c>
      <c r="AA3" s="58" t="s">
        <v>164</v>
      </c>
      <c r="AB3" s="58" t="s">
        <v>167</v>
      </c>
      <c r="AC3" s="58" t="s">
        <v>164</v>
      </c>
      <c r="AD3" s="58" t="s">
        <v>164</v>
      </c>
      <c r="AE3" s="58" t="s">
        <v>164</v>
      </c>
      <c r="AF3" s="59" t="s">
        <v>164</v>
      </c>
      <c r="AG3" s="59" t="s">
        <v>164</v>
      </c>
      <c r="AH3" s="59" t="s">
        <v>167</v>
      </c>
      <c r="AI3" s="59" t="s">
        <v>164</v>
      </c>
      <c r="AJ3" s="59" t="s">
        <v>164</v>
      </c>
      <c r="AK3" s="59" t="s">
        <v>164</v>
      </c>
      <c r="AL3" s="59" t="s">
        <v>164</v>
      </c>
      <c r="AM3" s="59" t="s">
        <v>164</v>
      </c>
      <c r="AN3" s="59" t="s">
        <v>164</v>
      </c>
      <c r="AO3" s="59" t="s">
        <v>164</v>
      </c>
      <c r="AP3" s="59" t="s">
        <v>164</v>
      </c>
      <c r="AQ3" s="59" t="s">
        <v>164</v>
      </c>
      <c r="AR3" s="59" t="s">
        <v>164</v>
      </c>
      <c r="AS3" s="59" t="s">
        <v>164</v>
      </c>
      <c r="AT3" s="60">
        <v>0</v>
      </c>
      <c r="AU3" s="59" t="s">
        <v>174</v>
      </c>
      <c r="AV3" s="59" t="str">
        <f>IF(LEFT(A3,1)="[",LEFT(A3,5)&amp;AU3&amp;A3,"")</f>
        <v>[RWA]Historical[RWA] Rwanda (1961-2001)</v>
      </c>
      <c r="AW3" s="59" t="str">
        <f t="shared" ref="AW3" si="1">C3&amp;H3&amp;A3</f>
        <v>3b[RWA] Other[RWA] Rwanda (1961-2001)</v>
      </c>
      <c r="AX3" s="61"/>
      <c r="AY3" s="61"/>
      <c r="AZ3" s="62"/>
      <c r="BA3" s="62"/>
      <c r="BB3" s="62"/>
      <c r="BC3" s="63"/>
      <c r="BD3" s="64" t="s">
        <v>169</v>
      </c>
      <c r="BE3" s="47"/>
      <c r="BF3" s="64" t="s">
        <v>154</v>
      </c>
      <c r="BG3" s="64" t="s">
        <v>155</v>
      </c>
      <c r="BH3" s="64" t="s">
        <v>153</v>
      </c>
      <c r="BI3" s="64"/>
      <c r="BJ3" s="64"/>
      <c r="BK3" s="47"/>
      <c r="BL3" s="64" t="s">
        <v>154</v>
      </c>
      <c r="BM3" s="64" t="s">
        <v>155</v>
      </c>
      <c r="BN3" s="64" t="s">
        <v>153</v>
      </c>
      <c r="BO3" s="64" t="s">
        <v>151</v>
      </c>
      <c r="BP3" s="64"/>
      <c r="BQ3" s="64"/>
      <c r="BR3" s="64"/>
      <c r="BS3" s="64"/>
      <c r="BT3" s="64"/>
      <c r="BU3" s="65"/>
      <c r="BV3" s="66"/>
      <c r="BW3" s="66">
        <v>0</v>
      </c>
      <c r="BX3" s="47"/>
      <c r="CB3" s="6"/>
      <c r="CC3" s="6"/>
      <c r="CD3" s="67">
        <v>0</v>
      </c>
      <c r="CE3" s="67">
        <v>0</v>
      </c>
      <c r="CF3" s="67" t="e">
        <v>#REF!</v>
      </c>
      <c r="CG3" s="68" cm="1">
        <f t="array" ref="CG3">SUMPRODUCT(--(LEN(TRIM(BL3:BT3))&gt;0))</f>
        <v>4</v>
      </c>
      <c r="CH3" s="59" t="str">
        <f>IF(CG3=2,"y","n")</f>
        <v>n</v>
      </c>
      <c r="CI3" s="59" t="str">
        <f>IF(CG3=3,"y","n")</f>
        <v>n</v>
      </c>
      <c r="CJ3" s="59" t="str">
        <f>IF(CG3=4,"y","n")</f>
        <v>y</v>
      </c>
      <c r="CK3" s="59" t="str">
        <f>IF(CG3&gt;4,"y","n")</f>
        <v>n</v>
      </c>
      <c r="CL3" s="59" t="str">
        <f>IF(S3=0,"y","n")</f>
        <v>n</v>
      </c>
      <c r="CM3" s="59" t="str">
        <f>IF(S3=2,"y","n")</f>
        <v>n</v>
      </c>
      <c r="CN3" s="59" t="str">
        <f>IF(S3=3,"y","n")</f>
        <v>y</v>
      </c>
      <c r="CO3" s="59" t="str">
        <f>IF(S3&gt;=4,"y","n")</f>
        <v>n</v>
      </c>
      <c r="CP3" s="59" t="str">
        <f>IF(AT3=0,"y","n")</f>
        <v>y</v>
      </c>
      <c r="CQ3" s="59" t="str">
        <f>IF(AT3=1,"y","n")</f>
        <v>n</v>
      </c>
      <c r="CR3" s="59" t="str">
        <f>IF(AT3=2,"y","n")</f>
        <v>n</v>
      </c>
      <c r="CS3" s="59" t="str">
        <f>IF(AT3&gt;=3,"y","n")</f>
        <v>n</v>
      </c>
      <c r="CT3" s="69" t="str">
        <f>CHAR(34)&amp;A3&amp;CHAR(34)</f>
        <v>"[RWA] Rwanda (1961-2001)"</v>
      </c>
      <c r="CU3" s="70" t="str">
        <f>CHAR(34)&amp;"rgn_"&amp;R3&amp;CHAR(34)</f>
        <v>"rgn_Africa"</v>
      </c>
      <c r="CV3" s="48" t="str">
        <f>CHAR(34)&amp;D3&amp;CHAR(34)</f>
        <v>"https://upload.wikimedia.org/wikipedia/commons/thumb/a/a8/Flag_of_Rwanda_%281961%E2%80%932001%29.svg/640px-Flag_of_Rwanda_%281961%E2%80%932001%29.svg.png"</v>
      </c>
      <c r="CW3" s="48" t="str">
        <f>IF(CH3="y",CHAR(34)&amp;CH$1&amp;CHAR(34)&amp;",","")</f>
        <v/>
      </c>
      <c r="CX3" s="48" t="str">
        <f>IF(CI3="y",CHAR(34)&amp;CI$1&amp;CHAR(34)&amp;",","")</f>
        <v/>
      </c>
      <c r="CY3" s="48" t="str">
        <f>IF(CJ3="y",CHAR(34)&amp;CJ$1&amp;CHAR(34)&amp;",","")</f>
        <v>"4Color",</v>
      </c>
      <c r="CZ3" s="48" t="str">
        <f>IF(CK3="y",CHAR(34)&amp;CK$1&amp;CHAR(34)&amp;",","")</f>
        <v/>
      </c>
      <c r="DA3" s="48" t="str">
        <f>IF(Q3&gt;1,CHAR(34)&amp;"words2"&amp;CHAR(34)&amp;",","")</f>
        <v/>
      </c>
      <c r="DB3" s="48" t="str">
        <f>IF(Q3&gt;2,CHAR(34)&amp;"words3"&amp;CHAR(34)&amp;",","")</f>
        <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"lets16",</v>
      </c>
      <c r="DE3" s="48" t="str">
        <f>CHAR(34)&amp;"start"&amp;IFERROR(LEFT(SUBSTITUTE(A3,"["&amp;MID(A3,FIND("[",A3)+1,FIND("]",A3)-FIND("[",A3)-1)&amp;"] ",""),1),LEFT(A3,1))&amp;CHAR(34)&amp;","</f>
        <v>"startR",</v>
      </c>
      <c r="DF3" s="48" t="str">
        <f>IFERROR(IF(SEARCH("tan",A3)&gt;0,CHAR(34)&amp;"withtn"&amp;CHAR(34)&amp;",",""),"")</f>
        <v/>
      </c>
      <c r="DG3" s="48" t="str">
        <f>IFERROR(IF(SEARCH("q",A3)&gt;0,CHAR(34)&amp;"with_q"&amp;CHAR(34)&amp;",",""),"")</f>
        <v/>
      </c>
      <c r="DH3" s="48" t="str">
        <f>IFERROR(IF(SEARCH("v",A3)&gt;0,CHAR(34)&amp;"with_v"&amp;CHAR(34)&amp;",",""),"")</f>
        <v/>
      </c>
      <c r="DI3" s="48" t="str">
        <f>IFERROR(IF(SEARCH("w",A3)&gt;0,CHAR(34)&amp;"with_w"&amp;CHAR(34)&amp;",",""),"")</f>
        <v>"with_w",</v>
      </c>
      <c r="DJ3" s="48" t="str">
        <f>IFERROR(IF(SEARCH("y",A3)&gt;0,CHAR(34)&amp;"with_y"&amp;CHAR(34)&amp;",",""),"")</f>
        <v/>
      </c>
      <c r="DK3" s="48" t="str">
        <f>IFERROR(IF(SEARCH("z",A3)&gt;0,CHAR(34)&amp;"with_z"&amp;CHAR(34)&amp;",",""),"")</f>
        <v/>
      </c>
      <c r="DL3" s="48" t="str">
        <f>IF(CG3=2, CHAR(34) &amp; _xlfn.TEXTJOIN("", TRUE, _xlfn._xlws.SORT(HP3:HX3)) &amp; CHAR(34) &amp; ",", "")</f>
        <v/>
      </c>
      <c r="DM3" s="48" t="str" cm="1">
        <f t="array" ref="DM3">IF(CG3=3,CHAR(34) &amp; _xlfn.TEXTJOIN("", TRUE, RIGHT(HP3:HX3, 2)) &amp; CHAR(34) &amp; ",", "")</f>
        <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"year19",</v>
      </c>
      <c r="DP3" s="6" t="str">
        <f>IF(AND(ISNUMBER(SEARCH("20", O3)), ISERROR(SEARCH("1920", O3))), CHAR(34)&amp;"year00"&amp;CHAR(34)&amp;",", "")</f>
        <v/>
      </c>
      <c r="DQ3" s="6" t="str">
        <f>IF(CC3="y",CHAR(34)&amp;"soviet"&amp;CHAR(34)&amp;",","")</f>
        <v/>
      </c>
      <c r="DR3" s="6" t="str">
        <f>IF(BY3="y",CHAR(34)&amp;"dgband"&amp;CHAR(34)&amp;",","")</f>
        <v/>
      </c>
      <c r="DS3" s="6" t="str">
        <f>IF(W3="y",IF(AND(V3="n",BY3&lt;&gt;"y"),CHAR(34)&amp;"allver"&amp;CHAR(34)&amp;",",""),"")</f>
        <v>"allver",</v>
      </c>
      <c r="DT3" s="6" t="str">
        <f>IF(V3="y",IF(AND(W3="n",BY3&lt;&gt;"y"),CHAR(34)&amp;"allhor"&amp;CHAR(34)&amp;",",""),"")</f>
        <v/>
      </c>
      <c r="DU3" s="6" t="str">
        <f>IF(BY3="y",IF(AND(W3="n",V3="n"),CHAR(34)&amp;"alldia"&amp;CHAR(34)&amp;",",""),"")</f>
        <v/>
      </c>
      <c r="DW3" s="48" t="str">
        <f>IF(CL3="y",CHAR(34)&amp;CL$1&amp;CHAR(34)&amp;",","")</f>
        <v/>
      </c>
      <c r="DX3" s="48" t="str">
        <f>IF(CM3="y",CHAR(34)&amp;CM$1&amp;CHAR(34)&amp;",","")</f>
        <v/>
      </c>
      <c r="DY3" s="48" t="str">
        <f>IF(CN3="y",CHAR(34)&amp;CN$1&amp;CHAR(34)&amp;",","")</f>
        <v>"3Bands",</v>
      </c>
      <c r="DZ3" s="48" t="str">
        <f>IF(CO3="y",CHAR(34)&amp;CO$1&amp;CHAR(34)&amp;",","")</f>
        <v/>
      </c>
      <c r="EA3" s="48" t="str">
        <f>IF(T3="y",CHAR(34)&amp;T$1&amp;CHAR(34)&amp;",","")</f>
        <v/>
      </c>
      <c r="EB3" s="48" t="str">
        <f>IF(U3="y",CHAR(34)&amp;U$1&amp;CHAR(34)&amp;",","")</f>
        <v/>
      </c>
      <c r="EC3" s="48" t="str">
        <f>IF(V3="y",CHAR(34)&amp;V$1&amp;CHAR(34)&amp;",","")</f>
        <v/>
      </c>
      <c r="ED3" s="48" t="str">
        <f>IF(W3="y",CHAR(34)&amp;W$1&amp;CHAR(34)&amp;",","")</f>
        <v>"Vertic",</v>
      </c>
      <c r="EE3" s="48" t="str">
        <f>IF(X3="y",CHAR(34)&amp;X$1&amp;CHAR(34)&amp;",","")</f>
        <v/>
      </c>
      <c r="EF3" s="48" t="str">
        <f>IF(AND(Y3&lt;&gt;"n",Y3&lt;&gt;""),CHAR(34)&amp;Y$1&amp;CHAR(34)&amp;",","")</f>
        <v/>
      </c>
      <c r="EG3" s="48" t="str">
        <f>IF(Z3="y",CHAR(34)&amp;Z$1&amp;CHAR(34)&amp;",","")</f>
        <v/>
      </c>
      <c r="EH3" s="48" t="str">
        <f>IF(AA3="y",CHAR(34)&amp;AA$1&amp;CHAR(34)&amp;",","")</f>
        <v/>
      </c>
      <c r="EI3" s="48" t="str">
        <f>IF(AB3="y",CHAR(34)&amp;AB$1&amp;CHAR(34)&amp;",","")</f>
        <v>"Texted",</v>
      </c>
      <c r="EJ3" s="48" t="str">
        <f>IF(AC3="y",CHAR(34)&amp;AC$1&amp;CHAR(34)&amp;",","")</f>
        <v/>
      </c>
      <c r="EK3" s="48" t="str">
        <f>IF(AD3="y",CHAR(34)&amp;AD$1&amp;CHAR(34)&amp;",","")</f>
        <v/>
      </c>
      <c r="EL3" s="48" t="str">
        <f>IF(AE3="y",CHAR(34)&amp;AE$1&amp;CHAR(34)&amp;",","")</f>
        <v/>
      </c>
      <c r="EM3" s="48" t="str">
        <f>IF(AF3="y",CHAR(34)&amp;AF$1&amp;CHAR(34)&amp;",","")</f>
        <v/>
      </c>
      <c r="EN3" s="48" t="str">
        <f>IF(AG3="y",CHAR(34)&amp;AG$1&amp;CHAR(34)&amp;",","")</f>
        <v/>
      </c>
      <c r="EO3" s="48" t="str">
        <f>IF(AH3="y",CHAR(34)&amp;AH$1&amp;CHAR(34)&amp;",","")</f>
        <v>"Center",</v>
      </c>
      <c r="EP3" s="48" t="str">
        <f>IF(AI3="y",CHAR(34)&amp;AI$1&amp;CHAR(34)&amp;",","")</f>
        <v/>
      </c>
      <c r="EQ3" s="48" t="str">
        <f>IF(AJ3="y",CHAR(34)&amp;AJ$1&amp;CHAR(34)&amp;",","")</f>
        <v/>
      </c>
      <c r="ER3" s="48" t="str">
        <f>IF(AK3="y",CHAR(34)&amp;AK$1&amp;CHAR(34)&amp;",","")</f>
        <v/>
      </c>
      <c r="ES3" s="48" t="str">
        <f>IF(AL3="y",CHAR(34)&amp;AL$1&amp;CHAR(34)&amp;",","")</f>
        <v/>
      </c>
      <c r="ET3" s="48" t="str">
        <f>IF(AM3="y",CHAR(34)&amp;AM$1&amp;CHAR(34)&amp;",","")</f>
        <v/>
      </c>
      <c r="EU3" s="48" t="str">
        <f>IF(AN3="y",CHAR(34)&amp;AN$1&amp;CHAR(34)&amp;",","")</f>
        <v/>
      </c>
      <c r="EV3" s="48" t="str">
        <f>IF(AO3="y",CHAR(34)&amp;AO$1&amp;CHAR(34)&amp;",","")</f>
        <v/>
      </c>
      <c r="EW3" s="48" t="str">
        <f>IF(AP3="y",CHAR(34)&amp;AP$1&amp;CHAR(34)&amp;",","")</f>
        <v/>
      </c>
      <c r="EX3" s="48" t="str">
        <f>IF(AQ3="y",CHAR(34)&amp;AQ$1&amp;CHAR(34)&amp;",","")</f>
        <v/>
      </c>
      <c r="EY3" s="48" t="str">
        <f>IF(AR3="y",CHAR(34)&amp;AR$1&amp;CHAR(34)&amp;",","")</f>
        <v/>
      </c>
      <c r="EZ3" s="48" t="str">
        <f>IF(AS3="y",CHAR(34)&amp;AS$1&amp;CHAR(34)&amp;",","")</f>
        <v/>
      </c>
      <c r="FA3" s="48" t="str">
        <f>IF(AT3&gt;0,CHAR(34)&amp;"sta"&amp;AZ3&amp;CHAR(34)&amp;",","")</f>
        <v/>
      </c>
      <c r="FB3" s="48" t="str">
        <f>IF(AND(AT3&gt;0,BA3&lt;&gt;""),CHAR(34)&amp;"sta"&amp;BA3&amp;CHAR(34)&amp;",","")</f>
        <v/>
      </c>
      <c r="FD3" s="48" t="str">
        <f>IF(BV3="n",CHAR(34)&amp;"tcWHYE"&amp;CHAR(34)&amp;",",IF(BV3="y",CHAR(34)&amp;FD$1&amp;CHAR(34)&amp;",",""))</f>
        <v/>
      </c>
      <c r="FE3" s="48" t="str">
        <f>IF(COUNTIF(BL3:BT3,"BLU")=0,CHAR(34)&amp;"NO_BLU"&amp;CHAR(34)&amp;",", "")</f>
        <v>"NO_BLU",</v>
      </c>
      <c r="FF3" s="48" t="str">
        <f>IF(COUNTIF(BL3:BT3,"WHI")=0,CHAR(34)&amp;"NO_WHI"&amp;CHAR(34)&amp;",", "")</f>
        <v>"NO_WHI",</v>
      </c>
      <c r="FG3" s="48" t="str">
        <f>IF(COUNTIF(BL3:BT3,"RED")=0,CHAR(34)&amp;"NO_RED"&amp;CHAR(34)&amp;",", "")</f>
        <v/>
      </c>
      <c r="FH3" s="48" t="str">
        <f>IF(COUNTIF(BL3:BS3,"GRE")=0,CHAR(34)&amp;"NO_GRE"&amp;CHAR(34)&amp;",", "")</f>
        <v/>
      </c>
      <c r="FI3" s="48" t="str">
        <f>IF(COUNTIF(BL3:BT3,"YEL")=0,CHAR(34)&amp;"NO_YEL"&amp;CHAR(34)&amp;",", "")</f>
        <v/>
      </c>
      <c r="FJ3" s="48" t="str">
        <f>IF(COUNTIF(BL3:BT3,"BLA")=0,CHAR(34)&amp;"NO_BLA"&amp;CHAR(34)&amp;",", "")</f>
        <v/>
      </c>
      <c r="FK3" s="48" t="str">
        <f>IF(AND(FH3&lt;&gt;"",FF3&lt;&gt;""),CHAR(34)&amp;"WHGRNO"&amp;CHAR(34)&amp;",","")</f>
        <v/>
      </c>
      <c r="FL3" s="48" t="str">
        <f>IF(AND(FI3&lt;&gt;"",FF3&lt;&gt;""),CHAR(34)&amp;"WHYENO"&amp;CHAR(34)&amp;",","")</f>
        <v/>
      </c>
      <c r="FM3" s="48" t="str">
        <f>IF(AND(FJ3&lt;&gt;"",FF3&lt;&gt;""),CHAR(34)&amp;"BAWHNO"&amp;CHAR(34)&amp;",","")</f>
        <v/>
      </c>
      <c r="FN3" s="48" t="str">
        <f>IF(AND(FE3&lt;&gt;"",FF3&lt;&gt;""),CHAR(34)&amp;"BLWHNO"&amp;CHAR(34)&amp;",","")</f>
        <v>"BLWHNO",</v>
      </c>
      <c r="FO3" s="48" t="str">
        <f>IF(AND(FE3&lt;&gt;"",FG3&lt;&gt;""),CHAR(34)&amp;"BLRENO"&amp;CHAR(34)&amp;",","")</f>
        <v/>
      </c>
      <c r="FP3" s="48" t="str">
        <f>IF(AND(FF3&lt;&gt;"",FF3&lt;&gt;""),CHAR(34)&amp;"WHRENO"&amp;CHAR(34)&amp;",","")</f>
        <v>"WHRENO",</v>
      </c>
      <c r="FQ3" s="48" t="str">
        <f>IF(LEN(BF3)=3,CHAR(34)&amp;"001"&amp;BF3&amp;CHAR(34)&amp;",","")</f>
        <v>"001RED",</v>
      </c>
      <c r="FR3" s="48" t="str">
        <f>IF(LEN(BG3)=3,CHAR(34)&amp;"002"&amp;BG3&amp;CHAR(34)&amp;",","")</f>
        <v>"002YEL",</v>
      </c>
      <c r="FS3" s="48" t="str">
        <f>IF(LEN(BH3)=3,CHAR(34)&amp;"003"&amp;BH3&amp;CHAR(34)&amp;",","")</f>
        <v>"003GRE",</v>
      </c>
      <c r="FT3" s="48" t="str">
        <f>CHAR(34)&amp;"myr"&amp;BD3&amp;CHAR(34)&amp;","</f>
        <v>"myrEQ",</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"histor",</v>
      </c>
      <c r="GG3" s="48" t="str">
        <f>IF(BU3="y",CHAR(34)&amp;"unjack"&amp;CHAR(34)&amp;",","")</f>
        <v/>
      </c>
      <c r="GH3" s="48" t="str">
        <f>IF(CD3=1,CHAR(34)&amp;"southc"&amp;CHAR(34)&amp;",","")</f>
        <v/>
      </c>
      <c r="GI3" s="48" t="str">
        <f>IF(CE3=1,CHAR(34)&amp;"hasmap"&amp;CHAR(34)&amp;",","")</f>
        <v/>
      </c>
      <c r="GJ3" s="48" t="str">
        <f>IF(CP3="y",CHAR(34)&amp;CP$1&amp;CHAR(34)&amp;",","")</f>
        <v>"NoStar",</v>
      </c>
      <c r="GK3" s="48" t="str">
        <f>IF(GJ3="",CHAR(34)&amp;"HasSta"&amp;CHAR(34)&amp;",","")</f>
        <v/>
      </c>
      <c r="GL3" s="48" t="str">
        <f>IF(CQ3="y",CHAR(34)&amp;CQ$1&amp;CHAR(34)&amp;",","")</f>
        <v/>
      </c>
      <c r="GM3" s="48" t="str">
        <f>IF(CR3="y",CHAR(34)&amp;CR$1&amp;CHAR(34)&amp;",","")</f>
        <v/>
      </c>
      <c r="GN3" s="48" t="str">
        <f>IF(CS3="y",CHAR(34)&amp;CS$1&amp;CHAR(34)&amp;",","")</f>
        <v/>
      </c>
      <c r="GP3" s="48" t="str">
        <f>CHAR(34)&amp;AU3&amp;CHAR(34)</f>
        <v>"Historical"</v>
      </c>
      <c r="GS3" s="48" t="str">
        <f>SUBSTITUTE("["&amp;_xlfn.CONCAT(CW3:GN3)&amp;"]",",]","]")</f>
        <v>["4Color","lets16","startR","with_w","year19","allver","3Bands","Vertic","Texted","Center","NO_BLU","NO_WHI","BLWHNO","WHRENO","001RED","002YEL","003GRE","myrEQ","histor","NoStar"]</v>
      </c>
      <c r="GT3" s="48" t="str">
        <f>IF(BL3&lt;&gt;"",CHAR(34)&amp;"cl_"&amp;BL3&amp;CHAR(34)&amp;",","")</f>
        <v>"cl_RED",</v>
      </c>
      <c r="GU3" s="48" t="str">
        <f>IF(BM3&lt;&gt;"",CHAR(34)&amp;"cl_"&amp;BM3&amp;CHAR(34)&amp;",","")</f>
        <v>"cl_YEL",</v>
      </c>
      <c r="GV3" s="48" t="str">
        <f>IF(BN3&lt;&gt;"",CHAR(34)&amp;"cl_"&amp;BN3&amp;CHAR(34)&amp;",","")</f>
        <v>"cl_GRE",</v>
      </c>
      <c r="GW3" s="48" t="str">
        <f>IF(BO3&lt;&gt;"",CHAR(34)&amp;"cl_"&amp;BO3&amp;CHAR(34)&amp;",","")</f>
        <v>"cl_BLA",</v>
      </c>
      <c r="GX3" s="48" t="str">
        <f>IF(BP3&lt;&gt;"",CHAR(34)&amp;"cl_"&amp;BP3&amp;CHAR(34)&amp;",","")</f>
        <v/>
      </c>
      <c r="GY3" s="48" t="str">
        <f>IF(BQ3&lt;&gt;"",CHAR(34)&amp;"cl_"&amp;BQ3&amp;CHAR(34)&amp;",","")</f>
        <v/>
      </c>
      <c r="GZ3" s="48" t="str">
        <f>IF(BR3&lt;&gt;"",CHAR(34)&amp;"cl_"&amp;BR3&amp;CHAR(34)&amp;",","")</f>
        <v/>
      </c>
      <c r="HA3" s="48" t="str">
        <f>IF(BS3&lt;&gt;"",CHAR(34)&amp;"cl_"&amp;BS3&amp;CHAR(34)&amp;",","")</f>
        <v/>
      </c>
      <c r="HB3" s="48" t="str">
        <f>IF(BT3&lt;&gt;"",CHAR(34)&amp;"cl_"&amp;BT3&amp;CHAR(34)&amp;",","")</f>
        <v/>
      </c>
      <c r="HC3" s="48" t="str">
        <f>SUBSTITUTE("["&amp;_xlfn.CONCAT(GT3:HB3)&amp;"]",",]","]")</f>
        <v>["cl_RED","cl_YEL","cl_GRE","cl_BLA"]</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{couname:"[RWA] Rwanda (1961-2001)",year:"1961",region:"rgn_Africa",Colors:["cl_RED","cl_YEL","cl_GRE","cl_BLA"],Items:["4Color","lets16","startR","with_w","year19","allver","3Bands","Vertic","Texted","Center","NO_BLU","NO_WHI","BLWHNO","WHRENO","001RED","002YEL","003GRE","myrEQ","histor","NoStar"],Flag:"https://upload.wikimedia.org/wikipedia/commons/thumb/a/a8/Flag_of_Rwanda_%281961%E2%80%932001%29.svg/640px-Flag_of_Rwanda_%281961%E2%80%932001%29.svg.png",HDFlag:"https://upload.wikimedia.org/wikipedia/commons/thumb/a/a8/Flag_of_Rwanda_%281961%E2%80%932001%29.svg/2560px-Flag_of_Rwanda_%281961%E2%80%932001%29.svg.png",type:"Historical", describe: "\nThe colours of the flag held the following significance: red represented the blood shed for liberation, yellow represented peace and tranquillity, green represented hope and optimism, and black represented gloom and mourning. The 'R' stood for Rwanda, revolution, and referendum.", isnew:".", links: "https://en.wikipedia.org/wiki/Flag_of_Rwanda"},</v>
      </c>
      <c r="HG3" s="73" t="str">
        <f>"{couname:"&amp;CT3&amp;(IF(HK3&lt;&gt;"",",subtype:"&amp;CHAR(34)&amp;HK3&amp;CHAR(34),""))&amp;",year:"&amp;HJ3&amp;",region:"&amp;CU3&amp;",Colors:"&amp;HC3&amp;",Items:"&amp;GS3&amp;",Flag:"&amp;CV3&amp;",HDFlag:"&amp;CHAR(34)&amp;E3&amp;CHAR(34)&amp;",type:"&amp;GP3&amp;", describe: "&amp;HI3&amp;", links: "&amp;HL3&amp;"},"</f>
        <v>{couname:"[RWA] Rwanda (1961-2001)",year:"1961",region:"rgn_Africa",Colors:["cl_RED","cl_YEL","cl_GRE","cl_BLA"],Items:["4Color","lets16","startR","with_w","year19","allver","3Bands","Vertic","Texted","Center","NO_BLU","NO_WHI","BLWHNO","WHRENO","001RED","002YEL","003GRE","myrEQ","histor","NoStar"],Flag:"https://upload.wikimedia.org/wikipedia/commons/thumb/a/a8/Flag_of_Rwanda_%281961%E2%80%932001%29.svg/640px-Flag_of_Rwanda_%281961%E2%80%932001%29.svg.png",HDFlag:"https://upload.wikimedia.org/wikipedia/commons/thumb/a/a8/Flag_of_Rwanda_%281961%E2%80%932001%29.svg/2560px-Flag_of_Rwanda_%281961%E2%80%932001%29.svg.png",type:"Historical", describe: "\nThe colours of the flag held the following significance: red represented the blood shed for liberation, yellow represented peace and tranquillity, green represented hope and optimism, and black represented gloom and mourning. The 'R' stood for Rwanda, revolution, and referendum.", links: "https://en.wikipedia.org/wiki/Flag_of_Rwanda"},</v>
      </c>
      <c r="HH3" s="48" t="str">
        <f>IF(P3&lt;&gt;"",CHAR(34)&amp;"\n"&amp;P3&amp;CHAR(34),CHAR(34)&amp;CHAR(34))</f>
        <v>"\nThe colours of the flag held the following significance: red represented the blood shed for liberation, yellow represented peace and tranquillity, green represented hope and optimism, and black represented gloom and mourning. The 'R' stood for Rwanda, revolution, and referendum."</v>
      </c>
      <c r="HI3" s="48" t="str">
        <f>IF(J3=0,CHAR(34)&amp;CHAR(34),HH3)</f>
        <v>"\nThe colours of the flag held the following significance: red represented the blood shed for liberation, yellow represented peace and tranquillity, green represented hope and optimism, and black represented gloom and mourning. The 'R' stood for Rwanda, revolution, and referendum."</v>
      </c>
      <c r="HJ3" s="48" t="str">
        <f>CHAR(34)&amp;O3&amp;CHAR(34)</f>
        <v>"1961"</v>
      </c>
      <c r="HL3" s="48" t="str">
        <f>CHAR(34)&amp;I3&amp;CHAR(34)</f>
        <v>"https://en.wikipedia.org/wiki/Flag_of_Rwanda"</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{"couname":"[RWA] Rwanda (1961-2001)","subtype":"[RWA] Other","year":"1961","region":"rgn_Africa","Colors":["cl_RED","cl_YEL","cl_GRE","cl_BLA"],"Items":["4Color","lets16","startR","with_w","year19","allver","3Bands","Vertic","Texted","Center","NO_BLU","NO_WHI","BLWHNO","WHRENO","001RED","002YEL","003GRE","myrEQ","histor","NoStar"],"Flag":"https://upload.wikimedia.org/wikipedia/commons/thumb/a/a8/Flag_of_Rwanda_%281961%E2%80%932001%29.svg/640px-Flag_of_Rwanda_%281961%E2%80%932001%29.svg.png","HDFlag":"https://upload.wikimedia.org/wikipedia/commons/thumb/a/a8/Flag_of_Rwanda_%281961%E2%80%932001%29.svg/2560px-Flag_of_Rwanda_%281961%E2%80%932001%29.svg.png","type":"Historical", "describe": "\nThe colours of the flag held the following significance: red represented the blood shed for liberation, yellow represented peace and tranquillity, green represented hope and optimism, and black represented gloom and mourning. The 'R' stood for Rwanda, revolution, and referendum.", "isnew": ".", "links": "https://en.wikipedia.org/wiki/Flag_of_Rwanda"},</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{"couname":"[RWA] Rwanda (1961-2001)","subtype":"[RWA] Other","year":"1961","region":"rgn_Africa","Colors":["cl_RED","cl_YEL","cl_GRE","cl_BLA"],"Items":["4Color","lets16","startR","with_w","year19","allver","3Bands","Vertic","Texted","Center","NO_BLU","NO_WHI","BLWHNO","WHRENO","001RED","002YEL","003GRE","myrEQ","histor","NoStar"],"Flag":"https://upload.wikimedia.org/wikipedia/commons/thumb/a/a8/Flag_of_Rwanda_%281961%E2%80%932001%29.svg/640px-Flag_of_Rwanda_%281961%E2%80%932001%29.svg.png","HDFlag":"https://upload.wikimedia.org/wikipedia/commons/thumb/a/a8/Flag_of_Rwanda_%281961%E2%80%932001%29.svg/2560px-Flag_of_Rwanda_%281961%E2%80%932001%29.svg.png","type":"Historical", "describe": "\nThe colours of the flag held the following significance: red represented the blood shed for liberation, yellow represented peace and tranquillity, green represented hope and optimism, and black represented gloom and mourning. The 'R' stood for Rwanda, revolution, and referendum.", "isnew": ".", "links": "https://en.wikipedia.org/wiki/Flag_of_Rwanda"},</v>
      </c>
      <c r="HO3" s="75">
        <v>45596</v>
      </c>
      <c r="HP3" s="48" t="str" cm="1">
        <f t="array" ref="HP3">IF(_xlfn.TEXTJOIN(", ", TRUE, IF(ISNUMBER(SEARCH("BLA", BL3:BT3)), COLUMN(BL3:BT3) - COLUMN(BL3) + 1, ""))&lt;&gt;"","BLA","")</f>
        <v>BLA</v>
      </c>
      <c r="HQ3" s="48" t="str" cm="1">
        <f t="array" ref="HQ3">IF(_xlfn.TEXTJOIN(", ", TRUE, IF(ISNUMBER(SEARCH("BLU", BL3:BT3)), COLUMN(BL3:BT3) - COLUMN(BL3) + 1, ""))&lt;&gt;"","BLU","")</f>
        <v/>
      </c>
      <c r="HR3" s="48" t="str" cm="1">
        <f t="array" ref="HR3">IF(_xlfn.TEXTJOIN(", ", TRUE, IF(ISNUMBER(SEARCH("GRE", BL3:BT3)), COLUMN(BL3:BT3) - COLUMN(BL3) + 1, ""))&lt;&gt;"","GRE","")</f>
        <v>GRE</v>
      </c>
      <c r="HS3" s="48" t="str" cm="1">
        <f t="array" ref="HS3">IF(_xlfn.TEXTJOIN(", ", TRUE, IF(ISNUMBER(SEARCH("RED", BL3:BT3)), COLUMN(BL3:BT3) - COLUMN(BL3) + 1, ""))&lt;&gt;"","RED","")</f>
        <v>RED</v>
      </c>
      <c r="HT3" s="48" t="str" cm="1">
        <f t="array" ref="HT3">IF(_xlfn.TEXTJOIN(", ", TRUE, IF(ISNUMBER(SEARCH("YEL", BL3:BT3)), COLUMN(BL3:BT3) - COLUMN(BL3) + 1, ""))&lt;&gt;"","YEL","")</f>
        <v>YEL</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
      </c>
      <c r="HY3" s="76"/>
      <c r="HZ3" s="76"/>
      <c r="IA3" s="6"/>
      <c r="IB3" s="6"/>
      <c r="IC3" s="77"/>
      <c r="ID3" s="77"/>
      <c r="IE3" s="77"/>
      <c r="IF3" s="77"/>
      <c r="IG3" s="77"/>
      <c r="IH3" s="77"/>
      <c r="II3" s="77"/>
      <c r="IJ3" s="77"/>
      <c r="IK3" s="77"/>
      <c r="IM3" s="45">
        <f>COUNTIF(IC3:IK3,"&gt;0")-CG3</f>
        <v>-4</v>
      </c>
      <c r="IN3" s="78" t="str">
        <f>"http://mkweb.bcgsc.ca/color-summarizer/?url="&amp;D3&amp;"&amp;precision=low&amp;num_clusters="&amp;CG3&amp;"&amp;text=1"</f>
        <v>http://mkweb.bcgsc.ca/color-summarizer/?url=https://upload.wikimedia.org/wikipedia/commons/thumb/a/a8/Flag_of_Rwanda_%281961%E2%80%932001%29.svg/640px-Flag_of_Rwanda_%281961%E2%80%932001%29.svg.png&amp;precision=low&amp;num_clusters=4&amp;text=1</v>
      </c>
      <c r="IO3" s="48" t="str">
        <f>IF(HP3&lt;&gt;"",CHAR(34)&amp;"black"&amp;CHAR(34),"")</f>
        <v>"black"</v>
      </c>
      <c r="IP3" s="48" t="str">
        <f>IF(HQ3&lt;&gt;"",CHAR(34)&amp;"blue"&amp;CHAR(34),"")</f>
        <v/>
      </c>
      <c r="IQ3" s="48" t="str">
        <f>IF(HR3&lt;&gt;"",CHAR(34)&amp;"green"&amp;CHAR(34),"")</f>
        <v>"green"</v>
      </c>
      <c r="IR3" s="48" t="str">
        <f>IF(HS3&lt;&gt;"",CHAR(34)&amp;"red"&amp;CHAR(34),"")</f>
        <v>"red"</v>
      </c>
      <c r="IS3" s="48" t="str">
        <f>IF(HT3&lt;&gt;"",CHAR(34)&amp;"yellow"&amp;CHAR(34),"")</f>
        <v>"yellow"</v>
      </c>
      <c r="IT3" s="48" t="str">
        <f>IF(HU3&lt;&gt;"",CHAR(34)&amp;"orange"&amp;CHAR(34),"")</f>
        <v/>
      </c>
      <c r="IU3" s="48" t="str">
        <f>IF(HV3&lt;&gt;"",CHAR(34)&amp;"brown"&amp;CHAR(34),"")</f>
        <v/>
      </c>
      <c r="IV3" s="48" t="str">
        <f>IF(HW3&lt;&gt;"",CHAR(34)&amp;"purple"&amp;CHAR(34),"")</f>
        <v/>
      </c>
      <c r="IW3" s="48" t="str">
        <f>IF(HX3&lt;&gt;"",CHAR(34)&amp;"white"&amp;CHAR(34),"")</f>
        <v/>
      </c>
      <c r="IX3" s="48" t="str">
        <f>"{"&amp;CHAR(34)&amp;"url"&amp;CHAR(34)&amp;":"&amp;CHAR(34)&amp;IN3&amp;CHAR(34)&amp;","&amp;CHAR(34)&amp;"name"&amp;CHAR(34)&amp;":"&amp;CHAR(34)&amp;A3&amp;CHAR(34)&amp;"},"</f>
        <v>{"url":"http://mkweb.bcgsc.ca/color-summarizer/?url=https://upload.wikimedia.org/wikipedia/commons/thumb/a/a8/Flag_of_Rwanda_%281961%E2%80%932001%29.svg/640px-Flag_of_Rwanda_%281961%E2%80%932001%29.svg.png&amp;precision=low&amp;num_clusters=4&amp;text=1","name":"[RWA] Rwanda (1961-2001)"},</v>
      </c>
      <c r="IY3" s="48">
        <v>1402</v>
      </c>
    </row>
    <row r="4" spans="1:259" ht="38.4" customHeight="1" x14ac:dyDescent="0.3">
      <c r="F4" s="82"/>
      <c r="G4" s="82"/>
      <c r="H4" s="82"/>
      <c r="I4" s="82"/>
      <c r="J4" s="82"/>
      <c r="K4" s="82"/>
    </row>
    <row r="5" spans="1:259" ht="38.4" customHeight="1" x14ac:dyDescent="0.3">
      <c r="F5" s="82"/>
      <c r="G5" s="82"/>
      <c r="H5" s="82"/>
      <c r="I5" s="82"/>
      <c r="J5" s="82"/>
      <c r="K5" s="82"/>
    </row>
    <row r="6" spans="1:259" ht="38.4" customHeight="1" x14ac:dyDescent="0.3">
      <c r="F6" s="82"/>
      <c r="G6" s="82"/>
      <c r="H6" s="82"/>
      <c r="I6" s="82"/>
      <c r="J6" s="82"/>
      <c r="K6" s="82"/>
    </row>
  </sheetData>
  <autoFilter ref="A1:IY1" xr:uid="{A1051193-A95B-4CFB-A73C-F0184620C81F}">
    <sortState xmlns:xlrd2="http://schemas.microsoft.com/office/spreadsheetml/2017/richdata2" ref="A2:IY5">
      <sortCondition ref="AW1"/>
    </sortState>
  </autoFilter>
  <conditionalFormatting sqref="H1 CW1:GS1 IA1:IB1">
    <cfRule type="cellIs" dxfId="2084" priority="118" operator="greaterThan">
      <formula>0</formula>
    </cfRule>
  </conditionalFormatting>
  <conditionalFormatting sqref="H1 H7:H1048576">
    <cfRule type="cellIs" dxfId="2083" priority="84" stopIfTrue="1" operator="notEqual">
      <formula>""</formula>
    </cfRule>
  </conditionalFormatting>
  <conditionalFormatting sqref="T1:BK1">
    <cfRule type="cellIs" dxfId="2082" priority="121" operator="greaterThan">
      <formula>0</formula>
    </cfRule>
  </conditionalFormatting>
  <conditionalFormatting sqref="BV1:BW1 BV4:BW1048576">
    <cfRule type="cellIs" dxfId="2081" priority="120" operator="equal">
      <formula>"nc"</formula>
    </cfRule>
  </conditionalFormatting>
  <conditionalFormatting sqref="HF1:HG1">
    <cfRule type="cellIs" dxfId="2080" priority="122" operator="greaterThan">
      <formula>0</formula>
    </cfRule>
  </conditionalFormatting>
  <conditionalFormatting sqref="HK1">
    <cfRule type="cellIs" dxfId="2079" priority="119" operator="greaterThan">
      <formula>0</formula>
    </cfRule>
  </conditionalFormatting>
  <conditionalFormatting sqref="HP1:HX1">
    <cfRule type="cellIs" dxfId="2078" priority="96" operator="equal">
      <formula>"PIN"</formula>
    </cfRule>
    <cfRule type="cellIs" dxfId="2077" priority="97" operator="equal">
      <formula>"ORA"</formula>
    </cfRule>
    <cfRule type="cellIs" dxfId="2076" priority="98" operator="equal">
      <formula>"GRA"</formula>
    </cfRule>
    <cfRule type="cellIs" dxfId="2075" priority="99" operator="equal">
      <formula>"PUR"</formula>
    </cfRule>
    <cfRule type="cellIs" dxfId="2074" priority="100" operator="equal">
      <formula>"BRO"</formula>
    </cfRule>
    <cfRule type="cellIs" dxfId="2073" priority="101" operator="equal">
      <formula>"YEL"</formula>
    </cfRule>
    <cfRule type="cellIs" dxfId="2072" priority="102" operator="equal">
      <formula>"BLU"</formula>
    </cfRule>
    <cfRule type="cellIs" dxfId="2071" priority="103" operator="equal">
      <formula>"WHI"</formula>
    </cfRule>
    <cfRule type="cellIs" dxfId="2070" priority="104" operator="equal">
      <formula>"GRE"</formula>
    </cfRule>
    <cfRule type="cellIs" dxfId="2069" priority="105" operator="equal">
      <formula>"RED"</formula>
    </cfRule>
    <cfRule type="cellIs" dxfId="2068" priority="106" operator="equal">
      <formula>"BLA"</formula>
    </cfRule>
  </conditionalFormatting>
  <conditionalFormatting sqref="IC1:IK1">
    <cfRule type="cellIs" dxfId="2067" priority="107" operator="equal">
      <formula>"PIN"</formula>
    </cfRule>
    <cfRule type="cellIs" dxfId="2066" priority="108" operator="equal">
      <formula>"ORA"</formula>
    </cfRule>
    <cfRule type="cellIs" dxfId="2065" priority="109" operator="equal">
      <formula>"GRA"</formula>
    </cfRule>
    <cfRule type="cellIs" dxfId="2064" priority="110" operator="equal">
      <formula>"PUR"</formula>
    </cfRule>
    <cfRule type="cellIs" dxfId="2063" priority="111" operator="equal">
      <formula>"BRO"</formula>
    </cfRule>
    <cfRule type="cellIs" dxfId="2062" priority="112" operator="equal">
      <formula>"YEL"</formula>
    </cfRule>
    <cfRule type="cellIs" dxfId="2061" priority="113" operator="equal">
      <formula>"BLU"</formula>
    </cfRule>
    <cfRule type="cellIs" dxfId="2060" priority="114" operator="equal">
      <formula>"WHI"</formula>
    </cfRule>
    <cfRule type="cellIs" dxfId="2059" priority="115" operator="equal">
      <formula>"GRE"</formula>
    </cfRule>
    <cfRule type="cellIs" dxfId="2058" priority="116" operator="equal">
      <formula>"RED"</formula>
    </cfRule>
    <cfRule type="cellIs" dxfId="2057" priority="117" operator="equal">
      <formula>"BLA"</formula>
    </cfRule>
  </conditionalFormatting>
  <conditionalFormatting sqref="IO1:IW1">
    <cfRule type="cellIs" dxfId="2056" priority="85" operator="equal">
      <formula>"PIN"</formula>
    </cfRule>
    <cfRule type="cellIs" dxfId="2055" priority="86" operator="equal">
      <formula>"ORA"</formula>
    </cfRule>
    <cfRule type="cellIs" dxfId="2054" priority="87" operator="equal">
      <formula>"GRA"</formula>
    </cfRule>
    <cfRule type="cellIs" dxfId="2053" priority="88" operator="equal">
      <formula>"PUR"</formula>
    </cfRule>
    <cfRule type="cellIs" dxfId="2052" priority="89" operator="equal">
      <formula>"BRO"</formula>
    </cfRule>
    <cfRule type="cellIs" dxfId="2051" priority="90" operator="equal">
      <formula>"YEL"</formula>
    </cfRule>
    <cfRule type="cellIs" dxfId="2050" priority="91" operator="equal">
      <formula>"BLU"</formula>
    </cfRule>
    <cfRule type="cellIs" dxfId="2049" priority="92" operator="equal">
      <formula>"WHI"</formula>
    </cfRule>
    <cfRule type="cellIs" dxfId="2048" priority="93" operator="equal">
      <formula>"GRE"</formula>
    </cfRule>
    <cfRule type="cellIs" dxfId="2047" priority="94" operator="equal">
      <formula>"RED"</formula>
    </cfRule>
    <cfRule type="cellIs" dxfId="2046" priority="95" operator="equal">
      <formula>"BLA"</formula>
    </cfRule>
  </conditionalFormatting>
  <conditionalFormatting sqref="H3">
    <cfRule type="cellIs" dxfId="2045" priority="76" stopIfTrue="1" operator="notEqual">
      <formula>""</formula>
    </cfRule>
  </conditionalFormatting>
  <conditionalFormatting sqref="R3 CU3">
    <cfRule type="cellIs" dxfId="2044" priority="79" operator="greaterThan">
      <formula>0</formula>
    </cfRule>
  </conditionalFormatting>
  <conditionalFormatting sqref="T3:AS3 CH3:CS3">
    <cfRule type="cellIs" dxfId="2043" priority="73" stopIfTrue="1" operator="equal">
      <formula>"n"</formula>
    </cfRule>
    <cfRule type="cellIs" dxfId="2042" priority="74" stopIfTrue="1" operator="equal">
      <formula>"y"</formula>
    </cfRule>
    <cfRule type="cellIs" dxfId="2041" priority="75" operator="greaterThan">
      <formula>0</formula>
    </cfRule>
  </conditionalFormatting>
  <conditionalFormatting sqref="AZ3:BB3">
    <cfRule type="expression" dxfId="2040" priority="60">
      <formula>$AT3=0</formula>
    </cfRule>
  </conditionalFormatting>
  <conditionalFormatting sqref="CD3:CF3 BX3:CA3 AZ3:BU3">
    <cfRule type="cellIs" dxfId="2039" priority="61" operator="equal">
      <formula>"PIN"</formula>
    </cfRule>
    <cfRule type="cellIs" dxfId="2038" priority="62" operator="equal">
      <formula>"ORA"</formula>
    </cfRule>
    <cfRule type="cellIs" dxfId="2037" priority="63" operator="equal">
      <formula>"GRA"</formula>
    </cfRule>
    <cfRule type="cellIs" dxfId="2036" priority="64" operator="equal">
      <formula>"PUR"</formula>
    </cfRule>
    <cfRule type="cellIs" dxfId="2035" priority="65" operator="equal">
      <formula>"BRO"</formula>
    </cfRule>
    <cfRule type="cellIs" dxfId="2034" priority="66" operator="equal">
      <formula>"YEL"</formula>
    </cfRule>
    <cfRule type="cellIs" dxfId="2033" priority="67" operator="equal">
      <formula>"BLU"</formula>
    </cfRule>
    <cfRule type="cellIs" dxfId="2032" priority="68" operator="equal">
      <formula>"WHI"</formula>
    </cfRule>
    <cfRule type="cellIs" dxfId="2031" priority="69" operator="equal">
      <formula>"GRE"</formula>
    </cfRule>
    <cfRule type="cellIs" dxfId="2030" priority="70" operator="equal">
      <formula>"RED"</formula>
    </cfRule>
    <cfRule type="cellIs" dxfId="2029" priority="71" operator="equal">
      <formula>"BLA"</formula>
    </cfRule>
  </conditionalFormatting>
  <conditionalFormatting sqref="BV3">
    <cfRule type="cellIs" dxfId="2028" priority="78" operator="equal">
      <formula>"nc"</formula>
    </cfRule>
  </conditionalFormatting>
  <conditionalFormatting sqref="CD3:CF3 BX3:CA3">
    <cfRule type="cellIs" dxfId="2027" priority="77" operator="equal">
      <formula>"y"</formula>
    </cfRule>
  </conditionalFormatting>
  <conditionalFormatting sqref="CD3:CF3 BZ3:CA3">
    <cfRule type="cellIs" dxfId="2026" priority="72" operator="greaterThan">
      <formula>0</formula>
    </cfRule>
  </conditionalFormatting>
  <conditionalFormatting sqref="IC3:IK3">
    <cfRule type="expression" dxfId="2025" priority="59">
      <formula>$IL3&gt;0</formula>
    </cfRule>
  </conditionalFormatting>
  <conditionalFormatting sqref="IC3">
    <cfRule type="cellIs" dxfId="2024" priority="53" stopIfTrue="1" operator="greaterThan">
      <formula>0</formula>
    </cfRule>
  </conditionalFormatting>
  <conditionalFormatting sqref="ID3">
    <cfRule type="cellIs" dxfId="2023" priority="51" stopIfTrue="1" operator="greaterThan">
      <formula>0</formula>
    </cfRule>
  </conditionalFormatting>
  <conditionalFormatting sqref="II3 IE3:IF3">
    <cfRule type="cellIs" dxfId="2022" priority="58" operator="greaterThan">
      <formula>0</formula>
    </cfRule>
  </conditionalFormatting>
  <conditionalFormatting sqref="II3 IF3">
    <cfRule type="cellIs" dxfId="2021" priority="52" stopIfTrue="1" operator="greaterThan">
      <formula>0</formula>
    </cfRule>
  </conditionalFormatting>
  <conditionalFormatting sqref="IG3">
    <cfRule type="cellIs" dxfId="2020" priority="57" operator="greaterThan">
      <formula>0</formula>
    </cfRule>
  </conditionalFormatting>
  <conditionalFormatting sqref="IH3:II3">
    <cfRule type="cellIs" dxfId="2019" priority="56" operator="greaterThan">
      <formula>0</formula>
    </cfRule>
  </conditionalFormatting>
  <conditionalFormatting sqref="IJ3">
    <cfRule type="cellIs" dxfId="2018" priority="55" operator="greaterThan">
      <formula>0</formula>
    </cfRule>
  </conditionalFormatting>
  <conditionalFormatting sqref="IK3">
    <cfRule type="cellIs" dxfId="2017" priority="54" operator="greaterThan">
      <formula>0</formula>
    </cfRule>
  </conditionalFormatting>
  <conditionalFormatting sqref="IF3">
    <cfRule type="cellIs" dxfId="2016" priority="50" stopIfTrue="1" operator="greaterThan">
      <formula>0</formula>
    </cfRule>
  </conditionalFormatting>
  <conditionalFormatting sqref="IM3">
    <cfRule type="cellIs" dxfId="2015" priority="49" operator="equal">
      <formula>0</formula>
    </cfRule>
  </conditionalFormatting>
  <conditionalFormatting sqref="BX3:CA3 CD3:CF3">
    <cfRule type="cellIs" dxfId="2014" priority="37" operator="equal">
      <formula>"y"</formula>
    </cfRule>
    <cfRule type="cellIs" dxfId="2013" priority="38" operator="equal">
      <formula>"PIN"</formula>
    </cfRule>
    <cfRule type="cellIs" dxfId="2012" priority="39" operator="equal">
      <formula>"ORA"</formula>
    </cfRule>
    <cfRule type="cellIs" dxfId="2011" priority="40" operator="equal">
      <formula>"GRA"</formula>
    </cfRule>
    <cfRule type="cellIs" dxfId="2010" priority="41" operator="equal">
      <formula>"PUR"</formula>
    </cfRule>
    <cfRule type="cellIs" dxfId="2009" priority="42" operator="equal">
      <formula>"BRO"</formula>
    </cfRule>
    <cfRule type="cellIs" dxfId="2008" priority="43" operator="equal">
      <formula>"YEL"</formula>
    </cfRule>
    <cfRule type="cellIs" dxfId="2007" priority="44" operator="equal">
      <formula>"BLU"</formula>
    </cfRule>
    <cfRule type="cellIs" dxfId="2006" priority="45" operator="equal">
      <formula>"WHI"</formula>
    </cfRule>
    <cfRule type="cellIs" dxfId="2005" priority="46" operator="equal">
      <formula>"GRE"</formula>
    </cfRule>
    <cfRule type="cellIs" dxfId="2004" priority="47" operator="equal">
      <formula>"RED"</formula>
    </cfRule>
    <cfRule type="cellIs" dxfId="2003" priority="48" operator="equal">
      <formula>"BLA"</formula>
    </cfRule>
  </conditionalFormatting>
  <conditionalFormatting sqref="AT3">
    <cfRule type="colorScale" priority="80">
      <colorScale>
        <cfvo type="min"/>
        <cfvo type="max"/>
        <color rgb="FFFCFCFF"/>
        <color theme="8" tint="0.39997558519241921"/>
      </colorScale>
    </cfRule>
  </conditionalFormatting>
  <conditionalFormatting sqref="S3">
    <cfRule type="colorScale" priority="81">
      <colorScale>
        <cfvo type="min"/>
        <cfvo type="max"/>
        <color rgb="FFFCFCFF"/>
        <color rgb="FF754BFB"/>
      </colorScale>
    </cfRule>
  </conditionalFormatting>
  <conditionalFormatting sqref="J3">
    <cfRule type="colorScale" priority="82">
      <colorScale>
        <cfvo type="min"/>
        <cfvo type="percentile" val="50"/>
        <cfvo type="max"/>
        <color rgb="FFF8696B"/>
        <color rgb="FFFFEB84"/>
        <color rgb="FF63BE7B"/>
      </colorScale>
    </cfRule>
  </conditionalFormatting>
  <conditionalFormatting sqref="CG3">
    <cfRule type="colorScale" priority="83">
      <colorScale>
        <cfvo type="min"/>
        <cfvo type="max"/>
        <color rgb="FFFCFCFF"/>
        <color rgb="FF63BE7B"/>
      </colorScale>
    </cfRule>
  </conditionalFormatting>
  <conditionalFormatting sqref="H2">
    <cfRule type="cellIs" dxfId="2002" priority="30" stopIfTrue="1" operator="notEqual">
      <formula>""</formula>
    </cfRule>
  </conditionalFormatting>
  <conditionalFormatting sqref="R2 CU2">
    <cfRule type="cellIs" dxfId="2001" priority="32" operator="greaterThan">
      <formula>0</formula>
    </cfRule>
  </conditionalFormatting>
  <conditionalFormatting sqref="T2:AS2 CH2:CS2">
    <cfRule type="cellIs" dxfId="2000" priority="27" stopIfTrue="1" operator="equal">
      <formula>"n"</formula>
    </cfRule>
    <cfRule type="cellIs" dxfId="1999" priority="28" stopIfTrue="1" operator="equal">
      <formula>"y"</formula>
    </cfRule>
    <cfRule type="cellIs" dxfId="1998" priority="29" operator="greaterThan">
      <formula>0</formula>
    </cfRule>
  </conditionalFormatting>
  <conditionalFormatting sqref="AZ2:BB2">
    <cfRule type="expression" dxfId="1997" priority="14">
      <formula>$AT2=0</formula>
    </cfRule>
  </conditionalFormatting>
  <conditionalFormatting sqref="AZ2:BU2">
    <cfRule type="cellIs" dxfId="1996" priority="15" operator="equal">
      <formula>"PIN"</formula>
    </cfRule>
    <cfRule type="cellIs" dxfId="1995" priority="16" operator="equal">
      <formula>"ORA"</formula>
    </cfRule>
    <cfRule type="cellIs" dxfId="1994" priority="17" operator="equal">
      <formula>"GRA"</formula>
    </cfRule>
    <cfRule type="cellIs" dxfId="1993" priority="18" operator="equal">
      <formula>"PUR"</formula>
    </cfRule>
    <cfRule type="cellIs" dxfId="1992" priority="19" operator="equal">
      <formula>"BRO"</formula>
    </cfRule>
    <cfRule type="cellIs" dxfId="1991" priority="20" operator="equal">
      <formula>"YEL"</formula>
    </cfRule>
    <cfRule type="cellIs" dxfId="1990" priority="21" operator="equal">
      <formula>"BLU"</formula>
    </cfRule>
    <cfRule type="cellIs" dxfId="1989" priority="22" operator="equal">
      <formula>"WHI"</formula>
    </cfRule>
    <cfRule type="cellIs" dxfId="1988" priority="23" operator="equal">
      <formula>"GRE"</formula>
    </cfRule>
    <cfRule type="cellIs" dxfId="1987" priority="24" operator="equal">
      <formula>"RED"</formula>
    </cfRule>
    <cfRule type="cellIs" dxfId="1986" priority="25" operator="equal">
      <formula>"BLA"</formula>
    </cfRule>
  </conditionalFormatting>
  <conditionalFormatting sqref="BV2">
    <cfRule type="cellIs" dxfId="1985" priority="31" operator="equal">
      <formula>"nc"</formula>
    </cfRule>
  </conditionalFormatting>
  <conditionalFormatting sqref="CD2:CF2 BZ2:CA2">
    <cfRule type="cellIs" dxfId="1984" priority="26" operator="greaterThan">
      <formula>0</formula>
    </cfRule>
  </conditionalFormatting>
  <conditionalFormatting sqref="IC2:IK2">
    <cfRule type="expression" dxfId="1983" priority="13">
      <formula>$IL2&gt;0</formula>
    </cfRule>
  </conditionalFormatting>
  <conditionalFormatting sqref="BX2:CA2 CD2:CF2">
    <cfRule type="cellIs" dxfId="1982" priority="1" operator="equal">
      <formula>"y"</formula>
    </cfRule>
    <cfRule type="cellIs" dxfId="1981" priority="2" operator="equal">
      <formula>"PIN"</formula>
    </cfRule>
    <cfRule type="cellIs" dxfId="1980" priority="3" operator="equal">
      <formula>"ORA"</formula>
    </cfRule>
    <cfRule type="cellIs" dxfId="1979" priority="4" operator="equal">
      <formula>"GRA"</formula>
    </cfRule>
    <cfRule type="cellIs" dxfId="1978" priority="5" operator="equal">
      <formula>"PUR"</formula>
    </cfRule>
    <cfRule type="cellIs" dxfId="1977" priority="6" operator="equal">
      <formula>"BRO"</formula>
    </cfRule>
    <cfRule type="cellIs" dxfId="1976" priority="7" operator="equal">
      <formula>"YEL"</formula>
    </cfRule>
    <cfRule type="cellIs" dxfId="1975" priority="8" operator="equal">
      <formula>"BLU"</formula>
    </cfRule>
    <cfRule type="cellIs" dxfId="1974" priority="9" operator="equal">
      <formula>"WHI"</formula>
    </cfRule>
    <cfRule type="cellIs" dxfId="1973" priority="10" operator="equal">
      <formula>"GRE"</formula>
    </cfRule>
    <cfRule type="cellIs" dxfId="1972" priority="11" operator="equal">
      <formula>"RED"</formula>
    </cfRule>
    <cfRule type="cellIs" dxfId="1971" priority="12" operator="equal">
      <formula>"BLA"</formula>
    </cfRule>
  </conditionalFormatting>
  <conditionalFormatting sqref="J2">
    <cfRule type="colorScale" priority="33">
      <colorScale>
        <cfvo type="min"/>
        <cfvo type="percentile" val="50"/>
        <cfvo type="max"/>
        <color rgb="FFF8696B"/>
        <color rgb="FFFFEB84"/>
        <color rgb="FF63BE7B"/>
      </colorScale>
    </cfRule>
  </conditionalFormatting>
  <conditionalFormatting sqref="S2">
    <cfRule type="colorScale" priority="34">
      <colorScale>
        <cfvo type="min"/>
        <cfvo type="max"/>
        <color rgb="FFFCFCFF"/>
        <color rgb="FF754BFB"/>
      </colorScale>
    </cfRule>
  </conditionalFormatting>
  <conditionalFormatting sqref="AT2">
    <cfRule type="colorScale" priority="35">
      <colorScale>
        <cfvo type="min"/>
        <cfvo type="max"/>
        <color rgb="FFFCFCFF"/>
        <color theme="8" tint="0.39997558519241921"/>
      </colorScale>
    </cfRule>
  </conditionalFormatting>
  <conditionalFormatting sqref="CG2">
    <cfRule type="colorScale" priority="36">
      <colorScale>
        <cfvo type="min"/>
        <cfvo type="max"/>
        <color rgb="FFFCFCFF"/>
        <color rgb="FF63BE7B"/>
      </colorScale>
    </cfRule>
  </conditionalFormatting>
  <hyperlinks>
    <hyperlink ref="I3" r:id="rId1" xr:uid="{6F023DFB-5300-4C65-8D8C-4BF2F3BCA7FC}"/>
    <hyperlink ref="A2" r:id="rId2" display="https://fbref.com/en/country/RWA/Rwanda-Football" xr:uid="{7A01275F-08E1-4B64-A6F4-25DE9B1872DB}"/>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21505" r:id="rId6"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21506" r:id="rId7"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21507" r:id="rId8"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7BD2A-EFCB-42DB-A6E1-A40319E84226}">
  <sheetPr codeName="Sheet33"/>
  <dimension ref="A1:IY12"/>
  <sheetViews>
    <sheetView zoomScale="70" zoomScaleNormal="70" workbookViewId="0">
      <pane xSplit="5" ySplit="1" topLeftCell="F2" activePane="bottomRight" state="frozen"/>
      <selection pane="topRight" activeCell="F1" sqref="F1"/>
      <selection pane="bottomLeft" activeCell="A2" sqref="A2"/>
      <selection pane="bottomRight" activeCell="M3" sqref="M3"/>
    </sheetView>
  </sheetViews>
  <sheetFormatPr defaultRowHeight="38.4" customHeight="1" x14ac:dyDescent="0.3"/>
  <cols>
    <col min="1" max="1" width="52.44140625" style="81" bestFit="1" customWidth="1"/>
    <col min="2" max="2" width="10.109375" style="81" customWidth="1"/>
    <col min="3" max="3" width="7.44140625" style="82" customWidth="1"/>
    <col min="4" max="4" width="4.77734375" style="83" customWidth="1"/>
    <col min="5" max="5" width="4.5546875" style="83" customWidth="1"/>
    <col min="6" max="6" width="5.77734375" style="83" customWidth="1"/>
    <col min="7" max="7" width="7.44140625" style="81" customWidth="1"/>
    <col min="8" max="8" width="11.44140625" style="81" customWidth="1"/>
    <col min="9" max="9" width="10" style="81" customWidth="1"/>
    <col min="10" max="10" width="4.21875" style="81" customWidth="1"/>
    <col min="11" max="11" width="5.6640625" style="83" customWidth="1"/>
    <col min="12" max="12" width="2.88671875" style="83" customWidth="1"/>
    <col min="13" max="13" width="6.44140625" style="83" customWidth="1"/>
    <col min="14" max="14" width="4.5546875" style="83" customWidth="1"/>
    <col min="15" max="15" width="10.5546875" style="84" customWidth="1"/>
    <col min="16" max="16" width="6.88671875" style="83" customWidth="1"/>
    <col min="17" max="17" width="4.77734375" style="83" customWidth="1"/>
    <col min="18" max="18" width="13.109375" style="82" customWidth="1"/>
    <col min="19" max="19" width="6.77734375" style="82" customWidth="1"/>
    <col min="20" max="46" width="8.44140625" style="81" customWidth="1"/>
    <col min="47" max="47" width="24.5546875" style="81" customWidth="1"/>
    <col min="48" max="51" width="16.6640625" style="81" customWidth="1"/>
    <col min="52" max="52" width="6.5546875" style="81" customWidth="1"/>
    <col min="53" max="54" width="5.88671875" style="81" customWidth="1"/>
    <col min="55" max="55" width="1.33203125" style="81" customWidth="1"/>
    <col min="56" max="56" width="7.44140625" style="81" customWidth="1"/>
    <col min="57" max="57" width="2.33203125" style="81" customWidth="1"/>
    <col min="58" max="62" width="6.109375" style="81" customWidth="1"/>
    <col min="63" max="63" width="2.33203125" style="81" customWidth="1"/>
    <col min="64" max="64" width="7" style="81" bestFit="1" customWidth="1"/>
    <col min="65" max="65" width="6.44140625" style="81" bestFit="1" customWidth="1"/>
    <col min="66" max="66" width="7.109375" style="81" bestFit="1" customWidth="1"/>
    <col min="67" max="71" width="6.44140625" style="81" bestFit="1" customWidth="1"/>
    <col min="72" max="73" width="6.44140625" style="81" customWidth="1"/>
    <col min="74" max="75" width="13.44140625" style="81" customWidth="1"/>
    <col min="76" max="84" width="14.6640625" style="81" customWidth="1"/>
    <col min="85" max="85" width="6.44140625" style="81" customWidth="1"/>
    <col min="86" max="87" width="11.6640625" style="81" bestFit="1" customWidth="1"/>
    <col min="88" max="88" width="11.6640625" style="81" customWidth="1"/>
    <col min="89" max="89" width="12.77734375" style="81" bestFit="1" customWidth="1"/>
    <col min="90" max="90" width="16.44140625" style="82" bestFit="1" customWidth="1"/>
    <col min="91" max="92" width="14.88671875" style="82" bestFit="1" customWidth="1"/>
    <col min="93" max="93" width="16" style="82" bestFit="1" customWidth="1"/>
    <col min="94" max="97" width="7.77734375" style="81" customWidth="1"/>
    <col min="98" max="98" width="33.21875" style="81" customWidth="1"/>
    <col min="99" max="99" width="18" style="81" customWidth="1"/>
    <col min="100" max="100" width="75.6640625" style="81" customWidth="1"/>
    <col min="101" max="125" width="33" style="81" customWidth="1"/>
    <col min="126" max="126" width="8.88671875" style="81"/>
    <col min="127" max="128" width="9.44140625" style="81" bestFit="1" customWidth="1"/>
    <col min="129" max="129" width="10.77734375" style="81" bestFit="1" customWidth="1"/>
    <col min="130" max="134" width="10.77734375" style="81" customWidth="1"/>
    <col min="135" max="135" width="10.109375" style="81" bestFit="1" customWidth="1"/>
    <col min="136" max="136" width="7.77734375" style="81" bestFit="1" customWidth="1"/>
    <col min="137" max="137" width="7.77734375" style="81" customWidth="1"/>
    <col min="138" max="138" width="9" style="81" bestFit="1" customWidth="1"/>
    <col min="139" max="139" width="11.33203125" style="81" bestFit="1" customWidth="1"/>
    <col min="140" max="140" width="9.109375" style="81" bestFit="1" customWidth="1"/>
    <col min="141" max="141" width="9" style="81" bestFit="1" customWidth="1"/>
    <col min="142" max="142" width="12" style="81" bestFit="1" customWidth="1"/>
    <col min="143" max="166" width="12" style="81" customWidth="1"/>
    <col min="167" max="167" width="17.21875" style="81" customWidth="1"/>
    <col min="168" max="191" width="12" style="81" customWidth="1"/>
    <col min="192" max="192" width="8.5546875" style="81" bestFit="1" customWidth="1"/>
    <col min="193" max="193" width="8.5546875" style="81" customWidth="1"/>
    <col min="194" max="194" width="7.109375" style="81" bestFit="1" customWidth="1"/>
    <col min="195" max="195" width="7.5546875" style="81" bestFit="1" customWidth="1"/>
    <col min="196" max="196" width="8.5546875" style="81" bestFit="1" customWidth="1"/>
    <col min="197" max="200" width="8.5546875" style="81" customWidth="1"/>
    <col min="201" max="201" width="188.88671875" style="81" customWidth="1"/>
    <col min="202" max="202" width="9.5546875" style="81" bestFit="1" customWidth="1"/>
    <col min="203" max="203" width="10.44140625" style="81" bestFit="1" customWidth="1"/>
    <col min="204" max="204" width="11.109375" style="81" bestFit="1" customWidth="1"/>
    <col min="205" max="205" width="10.44140625" style="81" bestFit="1" customWidth="1"/>
    <col min="206" max="210" width="10.44140625" style="81" customWidth="1"/>
    <col min="211" max="211" width="45.44140625" style="81" customWidth="1"/>
    <col min="212" max="212" width="47.5546875" style="81" bestFit="1" customWidth="1"/>
    <col min="213" max="213" width="9.33203125" style="85" customWidth="1"/>
    <col min="214" max="214" width="119.5546875" style="81" customWidth="1"/>
    <col min="215" max="215" width="69.6640625" style="81" customWidth="1"/>
    <col min="216" max="218" width="8.88671875" style="81"/>
    <col min="219" max="219" width="37.109375" style="81" customWidth="1"/>
    <col min="220" max="220" width="16.33203125" style="81" customWidth="1"/>
    <col min="221" max="222" width="8.88671875" style="81"/>
    <col min="223" max="223" width="10.109375" style="81" bestFit="1" customWidth="1"/>
    <col min="224" max="232" width="10.88671875" style="81" customWidth="1"/>
    <col min="233" max="234" width="30.77734375" style="81" customWidth="1"/>
    <col min="235" max="235" width="5.109375" style="81" customWidth="1"/>
    <col min="236" max="236" width="3" style="81" customWidth="1"/>
    <col min="237" max="245" width="6.77734375" style="86" customWidth="1"/>
    <col min="246" max="247" width="8.88671875" style="81"/>
    <col min="248" max="248" width="61.5546875" style="81" customWidth="1"/>
    <col min="249" max="253" width="8.88671875" style="81"/>
    <col min="254" max="254" width="9" style="81" customWidth="1"/>
    <col min="255" max="16384" width="8.88671875" style="8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330</v>
      </c>
      <c r="B2" s="40" t="e" vm="94">
        <v>#VALUE!</v>
      </c>
      <c r="C2" s="41">
        <v>1</v>
      </c>
      <c r="D2" s="42" t="s">
        <v>331</v>
      </c>
      <c r="E2" s="43" t="s">
        <v>332</v>
      </c>
      <c r="F2" s="44" t="s">
        <v>163</v>
      </c>
      <c r="G2" s="45">
        <f>COUNTIF($A$1:$A$8385,A2)</f>
        <v>1</v>
      </c>
      <c r="H2" s="46"/>
      <c r="I2" s="47" t="s">
        <v>333</v>
      </c>
      <c r="J2" s="48" t="str">
        <f>""</f>
        <v/>
      </c>
      <c r="K2" s="49">
        <v>60000000</v>
      </c>
      <c r="L2" s="50">
        <v>8500000</v>
      </c>
      <c r="M2" s="50" t="s">
        <v>1116</v>
      </c>
      <c r="N2" s="51" t="s">
        <v>180</v>
      </c>
      <c r="O2" s="52" t="s">
        <v>334</v>
      </c>
      <c r="P2" s="53" t="s">
        <v>335</v>
      </c>
      <c r="Q2" s="54">
        <v>2</v>
      </c>
      <c r="R2" s="55" t="s">
        <v>180</v>
      </c>
      <c r="S2" s="56">
        <v>6</v>
      </c>
      <c r="T2" s="57" t="s">
        <v>167</v>
      </c>
      <c r="U2" s="58" t="s">
        <v>164</v>
      </c>
      <c r="V2" s="58" t="s">
        <v>167</v>
      </c>
      <c r="W2" s="58" t="s">
        <v>164</v>
      </c>
      <c r="X2" s="58" t="s">
        <v>164</v>
      </c>
      <c r="Y2" s="58" t="s">
        <v>164</v>
      </c>
      <c r="Z2" s="58" t="s">
        <v>164</v>
      </c>
      <c r="AA2" s="58" t="s">
        <v>164</v>
      </c>
      <c r="AB2" s="58" t="s">
        <v>164</v>
      </c>
      <c r="AC2" s="58" t="s">
        <v>164</v>
      </c>
      <c r="AD2" s="58" t="s">
        <v>164</v>
      </c>
      <c r="AE2" s="58" t="s">
        <v>164</v>
      </c>
      <c r="AF2" s="59" t="s">
        <v>167</v>
      </c>
      <c r="AG2" s="59" t="s">
        <v>164</v>
      </c>
      <c r="AH2" s="59" t="s">
        <v>164</v>
      </c>
      <c r="AI2" s="59" t="s">
        <v>164</v>
      </c>
      <c r="AJ2" s="59" t="s">
        <v>164</v>
      </c>
      <c r="AK2" s="59" t="s">
        <v>164</v>
      </c>
      <c r="AL2" s="59" t="s">
        <v>164</v>
      </c>
      <c r="AM2" s="59" t="s">
        <v>164</v>
      </c>
      <c r="AN2" s="59" t="s">
        <v>164</v>
      </c>
      <c r="AO2" s="59" t="s">
        <v>164</v>
      </c>
      <c r="AP2" s="59" t="s">
        <v>164</v>
      </c>
      <c r="AQ2" s="59" t="s">
        <v>164</v>
      </c>
      <c r="AR2" s="59" t="s">
        <v>164</v>
      </c>
      <c r="AS2" s="59" t="s">
        <v>164</v>
      </c>
      <c r="AT2" s="60">
        <v>0</v>
      </c>
      <c r="AU2" s="59"/>
      <c r="AV2" s="59" t="str">
        <f>IF(LEFT(A2,1)="[",LEFT(A2,5)&amp;AU2&amp;A2,"")</f>
        <v/>
      </c>
      <c r="AW2" s="59" t="str">
        <f>C2&amp;H2&amp;A2</f>
        <v>1South Africa</v>
      </c>
      <c r="AX2" s="61" t="str">
        <f>_xlfn.TEXTJOIN(";",TRUE,AU2:AW2)</f>
        <v>1South Africa</v>
      </c>
      <c r="AY2" s="61"/>
      <c r="AZ2" s="62"/>
      <c r="BA2" s="62"/>
      <c r="BB2" s="62"/>
      <c r="BC2" s="63"/>
      <c r="BD2" s="64" t="s">
        <v>153</v>
      </c>
      <c r="BE2" s="47"/>
      <c r="BF2" s="64" t="s">
        <v>154</v>
      </c>
      <c r="BG2" s="64" t="s">
        <v>153</v>
      </c>
      <c r="BH2" s="64" t="s">
        <v>152</v>
      </c>
      <c r="BI2" s="64" t="s">
        <v>159</v>
      </c>
      <c r="BJ2" s="64"/>
      <c r="BK2" s="47"/>
      <c r="BL2" s="64" t="s">
        <v>151</v>
      </c>
      <c r="BM2" s="64" t="s">
        <v>155</v>
      </c>
      <c r="BN2" s="64" t="s">
        <v>153</v>
      </c>
      <c r="BO2" s="64" t="s">
        <v>152</v>
      </c>
      <c r="BP2" s="64" t="s">
        <v>154</v>
      </c>
      <c r="BQ2" s="64" t="s">
        <v>159</v>
      </c>
      <c r="BR2" s="64"/>
      <c r="BS2" s="64"/>
      <c r="BT2" s="64"/>
      <c r="BU2" s="65"/>
      <c r="BV2" s="66" t="s">
        <v>167</v>
      </c>
      <c r="BW2" s="66" t="s">
        <v>166</v>
      </c>
      <c r="BX2" s="47"/>
      <c r="BY2" s="48" t="s">
        <v>164</v>
      </c>
      <c r="CB2" s="6" t="s">
        <v>336</v>
      </c>
      <c r="CC2" s="6"/>
      <c r="CD2" s="67">
        <v>0</v>
      </c>
      <c r="CE2" s="67">
        <v>0</v>
      </c>
      <c r="CF2" s="67" t="e">
        <v>#REF!</v>
      </c>
      <c r="CG2" s="68" cm="1">
        <f t="array" ref="CG2">SUMPRODUCT(--(LEN(TRIM(BL2:BT2))&gt;0))</f>
        <v>6</v>
      </c>
      <c r="CH2" s="59" t="str">
        <f>IF(CG2=2,"y","n")</f>
        <v>n</v>
      </c>
      <c r="CI2" s="59" t="str">
        <f>IF(CG2=3,"y","n")</f>
        <v>n</v>
      </c>
      <c r="CJ2" s="59" t="str">
        <f>IF(CG2=4,"y","n")</f>
        <v>n</v>
      </c>
      <c r="CK2" s="59" t="str">
        <f>IF(CG2&gt;4,"y","n")</f>
        <v>y</v>
      </c>
      <c r="CL2" s="59" t="str">
        <f>IF(S2=0,"y","n")</f>
        <v>n</v>
      </c>
      <c r="CM2" s="59" t="str">
        <f>IF(S2=2,"y","n")</f>
        <v>n</v>
      </c>
      <c r="CN2" s="59" t="str">
        <f>IF(S2=3,"y","n")</f>
        <v>n</v>
      </c>
      <c r="CO2" s="59" t="str">
        <f>IF(S2&gt;=4,"y","n")</f>
        <v>y</v>
      </c>
      <c r="CP2" s="59" t="str">
        <f>IF(AT2=0,"y","n")</f>
        <v>y</v>
      </c>
      <c r="CQ2" s="59" t="str">
        <f>IF(AT2=1,"y","n")</f>
        <v>n</v>
      </c>
      <c r="CR2" s="59" t="str">
        <f>IF(AT2=2,"y","n")</f>
        <v>n</v>
      </c>
      <c r="CS2" s="59" t="str">
        <f>IF(AT2&gt;=3,"y","n")</f>
        <v>n</v>
      </c>
      <c r="CT2" s="69" t="str">
        <f>CHAR(34)&amp;A2&amp;CHAR(34)</f>
        <v>"South Africa"</v>
      </c>
      <c r="CU2" s="70" t="str">
        <f>CHAR(34)&amp;"rgn_"&amp;R2&amp;CHAR(34)</f>
        <v>"rgn_Africa"</v>
      </c>
      <c r="CV2" s="48" t="str">
        <f>CHAR(34)&amp;D2&amp;CHAR(34)</f>
        <v>"https://i.ibb.co/VQ3fwGS/South-Africa-Flag.png"</v>
      </c>
      <c r="CW2" s="48" t="str">
        <f>IF(CH2="y",CHAR(34)&amp;CH$1&amp;CHAR(34)&amp;",","")</f>
        <v/>
      </c>
      <c r="CX2" s="48" t="str">
        <f>IF(CI2="y",CHAR(34)&amp;CI$1&amp;CHAR(34)&amp;",","")</f>
        <v/>
      </c>
      <c r="CY2" s="48" t="str">
        <f>IF(CJ2="y",CHAR(34)&amp;CJ$1&amp;CHAR(34)&amp;",","")</f>
        <v/>
      </c>
      <c r="CZ2" s="48" t="str">
        <f>IF(CK2="y",CHAR(34)&amp;CK$1&amp;CHAR(34)&amp;",","")</f>
        <v>"5+Colo",</v>
      </c>
      <c r="DA2" s="48" t="str">
        <f>IF(Q2&gt;1,CHAR(34)&amp;"words2"&amp;CHAR(34)&amp;",","")</f>
        <v>"words2",</v>
      </c>
      <c r="DB2" s="48" t="str">
        <f>IF(Q2&gt;2,CHAR(34)&amp;"words3"&amp;CHAR(34)&amp;",","")</f>
        <v/>
      </c>
      <c r="DC2" s="48" t="str">
        <f>IF(Q2=2,CHAR(34)&amp;"exact2"&amp;CHAR(34)&amp;",","")</f>
        <v>"exact2",</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"lets11",</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"startS",</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
      </c>
      <c r="DS2" s="6" t="str">
        <f>IF(W2="y",IF(AND(V2="n",BY2&lt;&gt;"y"),CHAR(34)&amp;"allver"&amp;CHAR(34)&amp;",",""),"")</f>
        <v/>
      </c>
      <c r="DT2" s="6" t="str">
        <f>IF(V2="y",IF(AND(W2="n",BY2&lt;&gt;"y"),CHAR(34)&amp;"allhor"&amp;CHAR(34)&amp;",",""),"")</f>
        <v>"allhor",</v>
      </c>
      <c r="DU2" s="6" t="str">
        <f>IF(BY2="y",IF(AND(W2="n",V2="n"),CHAR(34)&amp;"alldia"&amp;CHAR(34)&amp;",",""),"")</f>
        <v/>
      </c>
      <c r="DV2" s="48" t="str">
        <f>IF(IA2&lt;&gt;"",(IF(IA2="y",CHAR(34)&amp;"largec"&amp;CHAR(34)&amp;",",CHAR(34)&amp;"smallc"&amp;CHAR(34)&amp;",")),"")</f>
        <v/>
      </c>
      <c r="DW2" s="48" t="str">
        <f>IF(CL2="y",CHAR(34)&amp;CL$1&amp;CHAR(34)&amp;",","")</f>
        <v/>
      </c>
      <c r="DX2" s="48" t="str">
        <f>IF(CM2="y",CHAR(34)&amp;CM$1&amp;CHAR(34)&amp;",","")</f>
        <v/>
      </c>
      <c r="DY2" s="48" t="str">
        <f>IF(CN2="y",CHAR(34)&amp;CN$1&amp;CHAR(34)&amp;",","")</f>
        <v/>
      </c>
      <c r="DZ2" s="48" t="str">
        <f>IF(CO2="y",CHAR(34)&amp;CO$1&amp;CHAR(34)&amp;",","")</f>
        <v>"4+Band",</v>
      </c>
      <c r="EA2" s="48" t="str">
        <f>IF(T2="y",CHAR(34)&amp;T$1&amp;CHAR(34)&amp;",","")</f>
        <v>"Diagon",</v>
      </c>
      <c r="EB2" s="48" t="str">
        <f>IF(U2="y",CHAR(34)&amp;U$1&amp;CHAR(34)&amp;",","")</f>
        <v/>
      </c>
      <c r="EC2" s="48" t="str">
        <f>IF(V2="y",CHAR(34)&amp;V$1&amp;CHAR(34)&amp;",","")</f>
        <v>"Horizo",</v>
      </c>
      <c r="ED2" s="48" t="str">
        <f>IF(W2="y",CHAR(34)&amp;W$1&amp;CHAR(34)&amp;",","")</f>
        <v/>
      </c>
      <c r="EE2" s="48" t="str">
        <f>IF(X2="y",CHAR(34)&amp;X$1&amp;CHAR(34)&amp;",","")</f>
        <v/>
      </c>
      <c r="EF2" s="48" t="str">
        <f>IF(AND(Y2&lt;&gt;"n",Y2&lt;&gt;""),CHAR(34)&amp;Y$1&amp;CHAR(34)&amp;",","")</f>
        <v/>
      </c>
      <c r="EG2" s="48" t="str">
        <f>IF(Z2="y",CHAR(34)&amp;Z$1&amp;CHAR(34)&amp;",","")</f>
        <v/>
      </c>
      <c r="EH2" s="48" t="str">
        <f>IF(AA2="y",CHAR(34)&amp;AA$1&amp;CHAR(34)&amp;",","")</f>
        <v/>
      </c>
      <c r="EI2" s="48" t="str">
        <f>IF(AB2="y",CHAR(34)&amp;AB$1&amp;CHAR(34)&amp;",","")</f>
        <v/>
      </c>
      <c r="EJ2" s="48" t="str">
        <f>IF(AC2="y",CHAR(34)&amp;AC$1&amp;CHAR(34)&amp;",","")</f>
        <v/>
      </c>
      <c r="EK2" s="48" t="str">
        <f>IF(AD2="y",CHAR(34)&amp;AD$1&amp;CHAR(34)&amp;",","")</f>
        <v/>
      </c>
      <c r="EL2" s="48" t="str">
        <f>IF(AE2="y",CHAR(34)&amp;AE$1&amp;CHAR(34)&amp;",","")</f>
        <v/>
      </c>
      <c r="EM2" s="48" t="str">
        <f>IF(AF2="y",CHAR(34)&amp;AF$1&amp;CHAR(34)&amp;",","")</f>
        <v>"Trside",</v>
      </c>
      <c r="EN2" s="48" t="str">
        <f>IF(AG2="y",CHAR(34)&amp;AG$1&amp;CHAR(34)&amp;",","")</f>
        <v/>
      </c>
      <c r="EO2" s="48" t="str">
        <f>IF(AH2="y",CHAR(34)&amp;AH$1&amp;CHAR(34)&amp;",","")</f>
        <v/>
      </c>
      <c r="EP2" s="48" t="str">
        <f>IF(AI2="y",CHAR(34)&amp;AI$1&amp;CHAR(34)&amp;",","")</f>
        <v/>
      </c>
      <c r="EQ2" s="48" t="str">
        <f>IF(AJ2="y",CHAR(34)&amp;AJ$1&amp;CHAR(34)&amp;",","")</f>
        <v/>
      </c>
      <c r="ER2" s="48" t="str">
        <f>IF(AK2="y",CHAR(34)&amp;AK$1&amp;CHAR(34)&amp;",","")</f>
        <v/>
      </c>
      <c r="ES2" s="48" t="str">
        <f>IF(AL2="y",CHAR(34)&amp;AL$1&amp;CHAR(34)&amp;",","")</f>
        <v/>
      </c>
      <c r="ET2" s="48" t="str">
        <f>IF(AM2="y",CHAR(34)&amp;AM$1&amp;CHAR(34)&amp;",","")</f>
        <v/>
      </c>
      <c r="EU2" s="48" t="str">
        <f>IF(AN2="y",CHAR(34)&amp;AN$1&amp;CHAR(34)&amp;",","")</f>
        <v/>
      </c>
      <c r="EV2" s="48" t="str">
        <f>IF(AO2="y",CHAR(34)&amp;AO$1&amp;CHAR(34)&amp;",","")</f>
        <v/>
      </c>
      <c r="EW2" s="48" t="str">
        <f>IF(AP2="y",CHAR(34)&amp;AP$1&amp;CHAR(34)&amp;",","")</f>
        <v/>
      </c>
      <c r="EX2" s="48" t="str">
        <f>IF(AQ2="y",CHAR(34)&amp;AQ$1&amp;CHAR(34)&amp;",","")</f>
        <v/>
      </c>
      <c r="EY2" s="48" t="str">
        <f>IF(AR2="y",CHAR(34)&amp;AR$1&amp;CHAR(34)&amp;",","")</f>
        <v/>
      </c>
      <c r="EZ2" s="48" t="str">
        <f>IF(AS2="y",CHAR(34)&amp;AS$1&amp;CHAR(34)&amp;",","")</f>
        <v/>
      </c>
      <c r="FA2" s="48" t="str">
        <f>IF(AT2&gt;0,CHAR(34)&amp;"sta"&amp;AZ2&amp;CHAR(34)&amp;",","")</f>
        <v/>
      </c>
      <c r="FB2" s="48" t="str">
        <f>IF(AND(AT2&gt;0,BA2&lt;&gt;""),CHAR(34)&amp;"sta"&amp;BA2&amp;CHAR(34)&amp;",","")</f>
        <v/>
      </c>
      <c r="FC2" s="48" t="str">
        <f>IF(AND(AT2&gt;0,BB2&lt;&gt;""),CHAR(34)&amp;"sta"&amp;BB2&amp;CHAR(34)&amp;",","")</f>
        <v/>
      </c>
      <c r="FD2" s="48" t="str">
        <f>IF(BV2="n",CHAR(34)&amp;"tcWHYE"&amp;CHAR(34)&amp;",",IF(BV2="y",CHAR(34)&amp;FD$1&amp;CHAR(34)&amp;",",""))</f>
        <v>"ntWHYE",</v>
      </c>
      <c r="FE2" s="48" t="str">
        <f>IF(COUNTIF(BL2:BT2,"BLU")=0,CHAR(34)&amp;"NO_BLU"&amp;CHAR(34)&amp;",", "")</f>
        <v/>
      </c>
      <c r="FF2" s="48" t="str">
        <f>IF(COUNTIF(BL2:BT2,"WHI")=0,CHAR(34)&amp;"NO_WHI"&amp;CHAR(34)&amp;",", "")</f>
        <v/>
      </c>
      <c r="FG2" s="48" t="str">
        <f>IF(COUNTIF(BL2:BT2,"RED")=0,CHAR(34)&amp;"NO_RED"&amp;CHAR(34)&amp;",", "")</f>
        <v/>
      </c>
      <c r="FH2" s="48" t="str">
        <f>IF(COUNTIF(BL2:BS2,"GRE")=0,CHAR(34)&amp;"NO_GRE"&amp;CHAR(34)&amp;",", "")</f>
        <v/>
      </c>
      <c r="FI2" s="48" t="str">
        <f>IF(COUNTIF(BL2:BT2,"YEL")=0,CHAR(34)&amp;"NO_YEL"&amp;CHAR(34)&amp;",", "")</f>
        <v/>
      </c>
      <c r="FJ2" s="48" t="str">
        <f>IF(COUNTIF(BL2:BT2,"BLA")=0,CHAR(34)&amp;"NO_BLA"&amp;CHAR(34)&amp;",", "")</f>
        <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
      </c>
      <c r="FP2" s="48" t="str">
        <f>IF(AND(FF2&lt;&gt;"",FF2&lt;&gt;""),CHAR(34)&amp;"WHRENO"&amp;CHAR(34)&amp;",","")</f>
        <v/>
      </c>
      <c r="FQ2" s="48" t="str">
        <f>IF(LEN(BF2)=3,CHAR(34)&amp;"001"&amp;BF2&amp;CHAR(34)&amp;",","")</f>
        <v>"001RED",</v>
      </c>
      <c r="FR2" s="48" t="str">
        <f>IF(LEN(BG2)=3,CHAR(34)&amp;"002"&amp;BG2&amp;CHAR(34)&amp;",","")</f>
        <v>"002GRE",</v>
      </c>
      <c r="FS2" s="48" t="str">
        <f>IF(LEN(BH2)=3,CHAR(34)&amp;"003"&amp;BH2&amp;CHAR(34)&amp;",","")</f>
        <v>"003BLU",</v>
      </c>
      <c r="FT2" s="48" t="str">
        <f>CHAR(34)&amp;"myr"&amp;BD2&amp;CHAR(34)&amp;","</f>
        <v>"myrGRE",</v>
      </c>
      <c r="FU2" s="48" t="str">
        <f>IF(AY2="y",CHAR(34)&amp;"island"&amp;CHAR(34)&amp;",","")</f>
        <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"englis",</v>
      </c>
      <c r="GA2" s="48" t="str">
        <f>IFERROR(IF(SEARCH("French",CB2)&gt;0,CHAR(34)&amp;"french"&amp;CHAR(34)&amp;",",""),"")</f>
        <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"NoStar",</v>
      </c>
      <c r="GK2" s="48" t="str">
        <f>IF(GJ2="",CHAR(34)&amp;"HasSta"&amp;CHAR(34)&amp;",","")</f>
        <v/>
      </c>
      <c r="GL2" s="48" t="str">
        <f>IF(CQ2="y",CHAR(34)&amp;CQ$1&amp;CHAR(34)&amp;",","")</f>
        <v/>
      </c>
      <c r="GM2" s="48" t="str">
        <f>IF(CR2="y",CHAR(34)&amp;CR$1&amp;CHAR(34)&amp;",","")</f>
        <v/>
      </c>
      <c r="GN2" s="48" t="str">
        <f>IF(CS2="y",CHAR(34)&amp;CS$1&amp;CHAR(34)&amp;",","")</f>
        <v/>
      </c>
      <c r="GP2" s="48" t="str">
        <f>CHAR(34)&amp;AU2&amp;CHAR(34)</f>
        <v>""</v>
      </c>
      <c r="GS2" s="48" t="str">
        <f>SUBSTITUTE("["&amp;_xlfn.CONCAT(CW2:GN2)&amp;"]",",]","]")</f>
        <v>["5+Colo","words2","exact2","lets11","startS","year19","allhor","4+Band","Diagon","Horizo","Trside","ntWHYE","001RED","002GRE","003BLU","myrGRE","englis","NoStar"]</v>
      </c>
      <c r="GT2" s="48" t="str">
        <f>IF(BL2&lt;&gt;"",CHAR(34)&amp;"cl_"&amp;BL2&amp;CHAR(34)&amp;",","")</f>
        <v>"cl_BLA",</v>
      </c>
      <c r="GU2" s="48" t="str">
        <f>IF(BM2&lt;&gt;"",CHAR(34)&amp;"cl_"&amp;BM2&amp;CHAR(34)&amp;",","")</f>
        <v>"cl_YEL",</v>
      </c>
      <c r="GV2" s="48" t="str">
        <f>IF(BN2&lt;&gt;"",CHAR(34)&amp;"cl_"&amp;BN2&amp;CHAR(34)&amp;",","")</f>
        <v>"cl_GRE",</v>
      </c>
      <c r="GW2" s="48" t="str">
        <f>IF(BO2&lt;&gt;"",CHAR(34)&amp;"cl_"&amp;BO2&amp;CHAR(34)&amp;",","")</f>
        <v>"cl_BLU",</v>
      </c>
      <c r="GX2" s="48" t="str">
        <f>IF(BP2&lt;&gt;"",CHAR(34)&amp;"cl_"&amp;BP2&amp;CHAR(34)&amp;",","")</f>
        <v>"cl_RED",</v>
      </c>
      <c r="GY2" s="48" t="str">
        <f>IF(BQ2&lt;&gt;"",CHAR(34)&amp;"cl_"&amp;BQ2&amp;CHAR(34)&amp;",","")</f>
        <v>"cl_WHI",</v>
      </c>
      <c r="GZ2" s="48" t="str">
        <f>IF(BR2&lt;&gt;"",CHAR(34)&amp;"cl_"&amp;BR2&amp;CHAR(34)&amp;",","")</f>
        <v/>
      </c>
      <c r="HA2" s="48" t="str">
        <f>IF(BS2&lt;&gt;"",CHAR(34)&amp;"cl_"&amp;BS2&amp;CHAR(34)&amp;",","")</f>
        <v/>
      </c>
      <c r="HB2" s="48" t="str">
        <f>IF(BT2&lt;&gt;"",CHAR(34)&amp;"cl_"&amp;BT2&amp;CHAR(34)&amp;",","")</f>
        <v/>
      </c>
      <c r="HC2" s="48" t="str">
        <f>SUBSTITUTE("["&amp;_xlfn.CONCAT(GT2:HB2)&amp;"]",",]","]")</f>
        <v>["cl_BLA","cl_YEL","cl_GRE","cl_BLU","cl_RED","cl_WHI"]</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{couname:"South Africa",year:"1994 ",region:"rgn_Africa",Colors:["cl_BLA","cl_YEL","cl_GRE","cl_BLU","cl_RED","cl_WHI"],Items:["5+Colo","words2","exact2","lets11","startS","year19","allhor","4+Band","Diagon","Horizo","Trside","ntWHYE","001RED","002GRE","003BLU","myrGRE","englis","NoStar"],Flag:"https://i.ibb.co/VQ3fwGS/South-Africa-Flag.png",HDFlag:"https://upload.wikimedia.org/wikipedia/commons/thumb/a/af/Flag_of_South_Africa.svg/2560px-Flag_of_South_Africa.svg.png",type:"", describe: "\nAccording to official South African government information, the South African flag is a synopsis of principal elements of the country's flag history. Although different people may attribute personal symbolism to the individual colours or colour combinations, no universal symbolism should be attached to any of the colours. The only symbolism in the flag is the V or Y shape, which can be interpreted as the convergence of diverse elements within South African society, taking the road ahead in unity. Frederick Gordon Brownell who created the flag has said that the green Y-shaped part of the flag was influenced by the chasubles worn by Anglican priests, and stated that he was influenced to include it as he grew up Anglican.\n\nFrom time to time explanations of the meanings or symbolism of the flag's colours are published in various media, including official government publications and speeches by government officials.\n\nThe flag consists of the four colours of the Vierkleur, expanded by the addition of black and gold signifying South Africa's mineral wealth. Three of the colours – black, green and gold – are found in the flag of the African National Congress. The other three – red, white and blue – are used in the modern flag of the Netherlands and the flag of the United Kingdom; the colours white and blue were also found in the old flag of South Africa. ", isnew:".", links: "https://en.wikipedia.org/wiki/Flag_of_South_Africa"},</v>
      </c>
      <c r="HG2" s="73" t="str">
        <f>"{couname:"&amp;CT2&amp;(IF(HK2&lt;&gt;"",",subtype:"&amp;CHAR(34)&amp;HK2&amp;CHAR(34),""))&amp;",year:"&amp;HJ2&amp;",region:"&amp;CU2&amp;",Colors:"&amp;HC2&amp;",Items:"&amp;GS2&amp;",Flag:"&amp;CV2&amp;",HDFlag:"&amp;CHAR(34)&amp;E2&amp;CHAR(34)&amp;",type:"&amp;GP2&amp;", describe: "&amp;HI2&amp;", links: "&amp;HL2&amp;"},"</f>
        <v>{couname:"South Africa",year:"1994 ",region:"rgn_Africa",Colors:["cl_BLA","cl_YEL","cl_GRE","cl_BLU","cl_RED","cl_WHI"],Items:["5+Colo","words2","exact2","lets11","startS","year19","allhor","4+Band","Diagon","Horizo","Trside","ntWHYE","001RED","002GRE","003BLU","myrGRE","englis","NoStar"],Flag:"https://i.ibb.co/VQ3fwGS/South-Africa-Flag.png",HDFlag:"https://upload.wikimedia.org/wikipedia/commons/thumb/a/af/Flag_of_South_Africa.svg/2560px-Flag_of_South_Africa.svg.png",type:"", describe: "\nAccording to official South African government information, the South African flag is a synopsis of principal elements of the country's flag history. Although different people may attribute personal symbolism to the individual colours or colour combinations, no universal symbolism should be attached to any of the colours. The only symbolism in the flag is the V or Y shape, which can be interpreted as the convergence of diverse elements within South African society, taking the road ahead in unity. Frederick Gordon Brownell who created the flag has said that the green Y-shaped part of the flag was influenced by the chasubles worn by Anglican priests, and stated that he was influenced to include it as he grew up Anglican.\n\nFrom time to time explanations of the meanings or symbolism of the flag's colours are published in various media, including official government publications and speeches by government officials.\n\nThe flag consists of the four colours of the Vierkleur, expanded by the addition of black and gold signifying South Africa's mineral wealth. Three of the colours – black, green and gold – are found in the flag of the African National Congress. The other three – red, white and blue – are used in the modern flag of the Netherlands and the flag of the United Kingdom; the colours white and blue were also found in the old flag of South Africa. ", links: "https://en.wikipedia.org/wiki/Flag_of_South_Africa"},</v>
      </c>
      <c r="HH2" s="48" t="str">
        <f>IF(P2&lt;&gt;"",CHAR(34)&amp;"\n"&amp;P2&amp;CHAR(34),CHAR(34)&amp;CHAR(34))</f>
        <v>"\nAccording to official South African government information, the South African flag is a synopsis of principal elements of the country's flag history. Although different people may attribute personal symbolism to the individual colours or colour combinations, no universal symbolism should be attached to any of the colours. The only symbolism in the flag is the V or Y shape, which can be interpreted as the convergence of diverse elements within South African society, taking the road ahead in unity. Frederick Gordon Brownell who created the flag has said that the green Y-shaped part of the flag was influenced by the chasubles worn by Anglican priests, and stated that he was influenced to include it as he grew up Anglican.\n\nFrom time to time explanations of the meanings or symbolism of the flag's colours are published in various media, including official government publications and speeches by government officials.\n\nThe flag consists of the four colours of the Vierkleur, expanded by the addition of black and gold signifying South Africa's mineral wealth. Three of the colours – black, green and gold – are found in the flag of the African National Congress. The other three – red, white and blue – are used in the modern flag of the Netherlands and the flag of the United Kingdom; the colours white and blue were also found in the old flag of South Africa. "</v>
      </c>
      <c r="HI2" s="48" t="str">
        <f>IF(J2=0,CHAR(34)&amp;CHAR(34),HH2)</f>
        <v>"\nAccording to official South African government information, the South African flag is a synopsis of principal elements of the country's flag history. Although different people may attribute personal symbolism to the individual colours or colour combinations, no universal symbolism should be attached to any of the colours. The only symbolism in the flag is the V or Y shape, which can be interpreted as the convergence of diverse elements within South African society, taking the road ahead in unity. Frederick Gordon Brownell who created the flag has said that the green Y-shaped part of the flag was influenced by the chasubles worn by Anglican priests, and stated that he was influenced to include it as he grew up Anglican.\n\nFrom time to time explanations of the meanings or symbolism of the flag's colours are published in various media, including official government publications and speeches by government officials.\n\nThe flag consists of the four colours of the Vierkleur, expanded by the addition of black and gold signifying South Africa's mineral wealth. Three of the colours – black, green and gold – are found in the flag of the African National Congress. The other three – red, white and blue – are used in the modern flag of the Netherlands and the flag of the United Kingdom; the colours white and blue were also found in the old flag of South Africa. "</v>
      </c>
      <c r="HJ2" s="48" t="str">
        <f>CHAR(34)&amp;O2&amp;CHAR(34)</f>
        <v>"1994 "</v>
      </c>
      <c r="HL2" s="48" t="str">
        <f>CHAR(34)&amp;I2&amp;CHAR(34)</f>
        <v>"https://en.wikipedia.org/wiki/Flag_of_South_Africa"</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{"couname":"South Africa","year":"1994 ","region":"rgn_Africa","Colors":["cl_BLA","cl_YEL","cl_GRE","cl_BLU","cl_RED","cl_WHI"],"Items":["5+Colo","words2","exact2","lets11","startS","year19","allhor","4+Band","Diagon","Horizo","Trside","ntWHYE","001RED","002GRE","003BLU","myrGRE","englis","NoStar"],"Flag":"https://i.ibb.co/VQ3fwGS/South-Africa-Flag.png","HDFlag":"https://upload.wikimedia.org/wikipedia/commons/thumb/a/af/Flag_of_South_Africa.svg/2560px-Flag_of_South_Africa.svg.png","type":"", "describe": "\nAccording to official South African government information, the South African flag is a synopsis of principal elements of the country's flag history. Although different people may attribute personal symbolism to the individual colours or colour combinations, no universal symbolism should be attached to any of the colours. The only symbolism in the flag is the V or Y shape, which can be interpreted as the convergence of diverse elements within South African society, taking the road ahead in unity. Frederick Gordon Brownell who created the flag has said that the green Y-shaped part of the flag was influenced by the chasubles worn by Anglican priests, and stated that he was influenced to include it as he grew up Anglican.\n\nFrom time to time explanations of the meanings or symbolism of the flag's colours are published in various media, including official government publications and speeches by government officials.\n\nThe flag consists of the four colours of the Vierkleur, expanded by the addition of black and gold signifying South Africa's mineral wealth. Three of the colours – black, green and gold – are found in the flag of the African National Congress. The other three – red, white and blue – are used in the modern flag of the Netherlands and the flag of the United Kingdom; the colours white and blue were also found in the old flag of South Africa. ", "isnew": ".", "links": "https://en.wikipedia.org/wiki/Flag_of_South_Africa"},</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{"couname":"South Africa","year":"1994 ","region":"rgn_Africa","Colors":["cl_BLA","cl_YEL","cl_GRE","cl_BLU","cl_RED","cl_WHI"],"Items":["5+Colo","words2","exact2","lets11","startS","year19","allhor","4+Band","Diagon","Horizo","Trside","ntWHYE","001RED","002GRE","003BLU","myrGRE","englis","NoStar"],"Flag":"https://i.ibb.co/VQ3fwGS/South-Africa-Flag.png","HDFlag":"https://upload.wikimedia.org/wikipedia/commons/thumb/a/af/Flag_of_South_Africa.svg/2560px-Flag_of_South_Africa.svg.png","type":"", "describe": "\nAccording to official South African government information, the South African flag is a synopsis of principal elements of the country's flag history. Although different people may attribute personal symbolism to the individual colours or colour combinations, no universal symbolism should be attached to any of the colours. The only symbolism in the flag is the V or Y shape, which can be interpreted as the convergence of diverse elements within South African society, taking the road ahead in unity. Frederick Gordon Brownell who created the flag has said that the green Y-shaped part of the flag was influenced by the chasubles worn by Anglican priests, and stated that he was influenced to include it as he grew up Anglican.\n\nFrom time to time explanations of the meanings or symbolism of the flag's colours are published in various media, including official government publications and speeches by government officials.\n\nThe flag consists of the four colours of the Vierkleur, expanded by the addition of black and gold signifying South Africa's mineral wealth. Three of the colours – black, green and gold – are found in the flag of the African National Congress. The other three – red, white and blue – are used in the modern flag of the Netherlands and the flag of the United Kingdom; the colours white and blue were also found in the old flag of South Africa. ", "isnew": ".", "links": "https://en.wikipedia.org/wiki/Flag_of_South_Africa"},</v>
      </c>
      <c r="HO2" s="75"/>
      <c r="HP2" s="48" t="str" cm="1">
        <f t="array" ref="HP2">IF(_xlfn.TEXTJOIN(", ", TRUE, IF(ISNUMBER(SEARCH("BLA", BL2:BT2)), COLUMN(BL2:BT2) - COLUMN(BL2) + 1, ""))&lt;&gt;"","BLA","")</f>
        <v>BLA</v>
      </c>
      <c r="HQ2" s="48" t="str" cm="1">
        <f t="array" ref="HQ2">IF(_xlfn.TEXTJOIN(", ", TRUE, IF(ISNUMBER(SEARCH("BLU", BL2:BT2)), COLUMN(BL2:BT2) - COLUMN(BL2) + 1, ""))&lt;&gt;"","BLU","")</f>
        <v>BLU</v>
      </c>
      <c r="HR2" s="48" t="str" cm="1">
        <f t="array" ref="HR2">IF(_xlfn.TEXTJOIN(", ", TRUE, IF(ISNUMBER(SEARCH("GRE", BL2:BT2)), COLUMN(BL2:BT2) - COLUMN(BL2) + 1, ""))&lt;&gt;"","GRE","")</f>
        <v>GRE</v>
      </c>
      <c r="HS2" s="48" t="str" cm="1">
        <f t="array" ref="HS2">IF(_xlfn.TEXTJOIN(", ", TRUE, IF(ISNUMBER(SEARCH("RED", BL2:BT2)), COLUMN(BL2:BT2) - COLUMN(BL2) + 1, ""))&lt;&gt;"","RED","")</f>
        <v>RED</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c r="IB2" s="6"/>
      <c r="IC2" s="77"/>
      <c r="ID2" s="77"/>
      <c r="IE2" s="77"/>
      <c r="IF2" s="77"/>
      <c r="IG2" s="77"/>
      <c r="IH2" s="77"/>
      <c r="II2" s="77"/>
      <c r="IJ2" s="77"/>
      <c r="IK2" s="77"/>
      <c r="IL2" s="48">
        <f>SUM(IC2:IK2)</f>
        <v>0</v>
      </c>
      <c r="IM2" s="45">
        <f>COUNTIF(IC2:IK2,"&gt;0")-CG2</f>
        <v>-6</v>
      </c>
      <c r="IN2" s="78" t="str">
        <f>"http://mkweb.bcgsc.ca/color-summarizer/?url="&amp;D2&amp;"&amp;precision=low&amp;num_clusters="&amp;CG2&amp;"&amp;text=1"</f>
        <v>http://mkweb.bcgsc.ca/color-summarizer/?url=https://i.ibb.co/VQ3fwGS/South-Africa-Flag.png&amp;precision=low&amp;num_clusters=6&amp;text=1</v>
      </c>
      <c r="IO2" s="48" t="str">
        <f>IF(HP2&lt;&gt;"",CHAR(34)&amp;"black"&amp;CHAR(34),"")</f>
        <v>"black"</v>
      </c>
      <c r="IP2" s="48" t="str">
        <f>IF(HQ2&lt;&gt;"",CHAR(34)&amp;"blue"&amp;CHAR(34),"")</f>
        <v>"blue"</v>
      </c>
      <c r="IQ2" s="48" t="str">
        <f>IF(HR2&lt;&gt;"",CHAR(34)&amp;"green"&amp;CHAR(34),"")</f>
        <v>"green"</v>
      </c>
      <c r="IR2" s="48" t="str">
        <f>IF(HS2&lt;&gt;"",CHAR(34)&amp;"red"&amp;CHAR(34),"")</f>
        <v>"red"</v>
      </c>
      <c r="IS2" s="48" t="str">
        <f>IF(HT2&lt;&gt;"",CHAR(34)&amp;"yellow"&amp;CHAR(34),"")</f>
        <v>"yellow"</v>
      </c>
      <c r="IT2" s="48" t="str">
        <f>IF(HU2&lt;&gt;"",CHAR(34)&amp;"orange"&amp;CHAR(34),"")</f>
        <v/>
      </c>
      <c r="IU2" s="48" t="str">
        <f>IF(HV2&lt;&gt;"",CHAR(34)&amp;"brown"&amp;CHAR(34),"")</f>
        <v/>
      </c>
      <c r="IV2" s="48" t="str">
        <f>IF(HW2&lt;&gt;"",CHAR(34)&amp;"purple"&amp;CHAR(34),"")</f>
        <v/>
      </c>
      <c r="IW2" s="48" t="str">
        <f>IF(HX2&lt;&gt;"",CHAR(34)&amp;"white"&amp;CHAR(34),"")</f>
        <v>"white"</v>
      </c>
      <c r="IX2" s="48" t="str">
        <f>"{"&amp;CHAR(34)&amp;"url"&amp;CHAR(34)&amp;":"&amp;CHAR(34)&amp;IN2&amp;CHAR(34)&amp;","&amp;CHAR(34)&amp;"name"&amp;CHAR(34)&amp;":"&amp;CHAR(34)&amp;A2&amp;CHAR(34)&amp;"},"</f>
        <v>{"url":"http://mkweb.bcgsc.ca/color-summarizer/?url=https://i.ibb.co/VQ3fwGS/South-Africa-Flag.png&amp;precision=low&amp;num_clusters=6&amp;text=1","name":"South Africa"},</v>
      </c>
      <c r="IY2" s="48">
        <v>203</v>
      </c>
    </row>
    <row r="3" spans="1:259" s="48" customFormat="1" ht="38.4" customHeight="1" thickBot="1" x14ac:dyDescent="0.35">
      <c r="A3" s="79" t="s">
        <v>342</v>
      </c>
      <c r="B3" s="40" t="e" vm="95">
        <v>#VALUE!</v>
      </c>
      <c r="C3" s="41">
        <v>2</v>
      </c>
      <c r="D3" s="42" t="s">
        <v>343</v>
      </c>
      <c r="E3" s="43" t="s">
        <v>344</v>
      </c>
      <c r="F3" s="44" t="s">
        <v>163</v>
      </c>
      <c r="G3" s="45">
        <f>COUNTIF($A$1:$A$8405,A3)</f>
        <v>1</v>
      </c>
      <c r="H3" s="46"/>
      <c r="I3" s="47" t="s">
        <v>345</v>
      </c>
      <c r="J3" s="48" t="str">
        <f>""</f>
        <v/>
      </c>
      <c r="K3" s="49"/>
      <c r="L3" s="50"/>
      <c r="M3" s="50"/>
      <c r="N3" s="51" t="s">
        <v>180</v>
      </c>
      <c r="O3" s="52" t="s">
        <v>346</v>
      </c>
      <c r="P3" s="53" t="s">
        <v>347</v>
      </c>
      <c r="Q3" s="54">
        <v>1</v>
      </c>
      <c r="R3" s="55" t="s">
        <v>180</v>
      </c>
      <c r="S3" s="56">
        <v>4</v>
      </c>
      <c r="T3" s="57" t="s">
        <v>167</v>
      </c>
      <c r="U3" s="58" t="s">
        <v>164</v>
      </c>
      <c r="V3" s="58" t="s">
        <v>167</v>
      </c>
      <c r="W3" s="58" t="s">
        <v>164</v>
      </c>
      <c r="X3" s="58" t="s">
        <v>167</v>
      </c>
      <c r="Y3" s="58" t="s">
        <v>164</v>
      </c>
      <c r="Z3" s="58" t="s">
        <v>164</v>
      </c>
      <c r="AA3" s="58" t="s">
        <v>167</v>
      </c>
      <c r="AB3" s="58" t="s">
        <v>164</v>
      </c>
      <c r="AC3" s="58" t="s">
        <v>164</v>
      </c>
      <c r="AD3" s="58" t="s">
        <v>164</v>
      </c>
      <c r="AE3" s="58" t="s">
        <v>164</v>
      </c>
      <c r="AF3" s="59" t="s">
        <v>164</v>
      </c>
      <c r="AG3" s="59" t="s">
        <v>167</v>
      </c>
      <c r="AH3" s="59" t="s">
        <v>164</v>
      </c>
      <c r="AI3" s="59" t="s">
        <v>164</v>
      </c>
      <c r="AJ3" s="59" t="s">
        <v>164</v>
      </c>
      <c r="AK3" s="59" t="s">
        <v>164</v>
      </c>
      <c r="AL3" s="59" t="s">
        <v>167</v>
      </c>
      <c r="AM3" s="59" t="s">
        <v>164</v>
      </c>
      <c r="AN3" s="59" t="s">
        <v>164</v>
      </c>
      <c r="AO3" s="59" t="s">
        <v>164</v>
      </c>
      <c r="AP3" s="59" t="s">
        <v>164</v>
      </c>
      <c r="AQ3" s="59" t="s">
        <v>164</v>
      </c>
      <c r="AR3" s="59" t="s">
        <v>164</v>
      </c>
      <c r="AS3" s="59" t="s">
        <v>164</v>
      </c>
      <c r="AT3" s="60">
        <v>0</v>
      </c>
      <c r="AU3" s="59" t="s">
        <v>168</v>
      </c>
      <c r="AV3" s="59" t="str">
        <f>IF(LEFT(A3,1)="[",LEFT(A3,5)&amp;AU3&amp;A3,"")</f>
        <v>[RSA]Province[RSA] Mpumalanga</v>
      </c>
      <c r="AW3" s="59" t="str">
        <f>C3&amp;H3&amp;A3</f>
        <v>2[RSA] Mpumalanga</v>
      </c>
      <c r="AX3" s="61" t="str">
        <f>_xlfn.TEXTJOIN(";",TRUE,AU3:AW3)</f>
        <v>Province;[RSA]Province[RSA] Mpumalanga;2[RSA] Mpumalanga</v>
      </c>
      <c r="AY3" s="61"/>
      <c r="AZ3" s="62"/>
      <c r="BA3" s="62"/>
      <c r="BB3" s="62"/>
      <c r="BC3" s="63"/>
      <c r="BD3" s="64" t="s">
        <v>169</v>
      </c>
      <c r="BE3" s="47"/>
      <c r="BF3" s="64" t="s">
        <v>155</v>
      </c>
      <c r="BG3" s="64"/>
      <c r="BH3" s="64" t="s">
        <v>153</v>
      </c>
      <c r="BI3" s="64" t="s">
        <v>159</v>
      </c>
      <c r="BJ3" s="64" t="s">
        <v>152</v>
      </c>
      <c r="BK3" s="47"/>
      <c r="BL3" s="64" t="s">
        <v>152</v>
      </c>
      <c r="BM3" s="64" t="s">
        <v>153</v>
      </c>
      <c r="BN3" s="64" t="s">
        <v>159</v>
      </c>
      <c r="BO3" s="64" t="s">
        <v>155</v>
      </c>
      <c r="BP3" s="64" t="s">
        <v>154</v>
      </c>
      <c r="BQ3" s="64"/>
      <c r="BR3" s="64"/>
      <c r="BS3" s="64"/>
      <c r="BT3" s="64"/>
      <c r="BU3" s="65"/>
      <c r="BV3" s="66"/>
      <c r="BW3" s="66">
        <v>0</v>
      </c>
      <c r="BX3" s="47"/>
      <c r="BY3" s="48" t="s">
        <v>164</v>
      </c>
      <c r="CB3" s="6"/>
      <c r="CC3" s="6"/>
      <c r="CD3" s="67">
        <v>0</v>
      </c>
      <c r="CE3" s="67">
        <v>0</v>
      </c>
      <c r="CF3" s="67" t="e">
        <v>#REF!</v>
      </c>
      <c r="CG3" s="68" cm="1">
        <f t="array" ref="CG3">SUMPRODUCT(--(LEN(TRIM(BL3:BT3))&gt;0))</f>
        <v>5</v>
      </c>
      <c r="CH3" s="59" t="str">
        <f>IF(CG3=2,"y","n")</f>
        <v>n</v>
      </c>
      <c r="CI3" s="59" t="str">
        <f>IF(CG3=3,"y","n")</f>
        <v>n</v>
      </c>
      <c r="CJ3" s="59" t="str">
        <f>IF(CG3=4,"y","n")</f>
        <v>n</v>
      </c>
      <c r="CK3" s="59" t="str">
        <f>IF(CG3&gt;4,"y","n")</f>
        <v>y</v>
      </c>
      <c r="CL3" s="59" t="str">
        <f>IF(S3=0,"y","n")</f>
        <v>n</v>
      </c>
      <c r="CM3" s="59" t="str">
        <f>IF(S3=2,"y","n")</f>
        <v>n</v>
      </c>
      <c r="CN3" s="59" t="str">
        <f>IF(S3=3,"y","n")</f>
        <v>n</v>
      </c>
      <c r="CO3" s="59" t="str">
        <f>IF(S3&gt;=4,"y","n")</f>
        <v>y</v>
      </c>
      <c r="CP3" s="59" t="str">
        <f>IF(AT3=0,"y","n")</f>
        <v>y</v>
      </c>
      <c r="CQ3" s="59" t="str">
        <f>IF(AT3=1,"y","n")</f>
        <v>n</v>
      </c>
      <c r="CR3" s="59" t="str">
        <f>IF(AT3=2,"y","n")</f>
        <v>n</v>
      </c>
      <c r="CS3" s="59" t="str">
        <f>IF(AT3&gt;=3,"y","n")</f>
        <v>n</v>
      </c>
      <c r="CT3" s="69" t="str">
        <f>CHAR(34)&amp;A3&amp;CHAR(34)</f>
        <v>"[RSA] Mpumalanga"</v>
      </c>
      <c r="CU3" s="70" t="str">
        <f>CHAR(34)&amp;"rgn_"&amp;R3&amp;CHAR(34)</f>
        <v>"rgn_Africa"</v>
      </c>
      <c r="CV3" s="48" t="str">
        <f>CHAR(34)&amp;D3&amp;CHAR(34)</f>
        <v>"https://upload.wikimedia.org/wikipedia/commons/thumb/9/93/Flag_of_Mpumalanga_Province.svg/640px-Flag_of_Mpumalanga_Province.svg.png"</v>
      </c>
      <c r="CW3" s="48" t="str">
        <f>IF(CH3="y",CHAR(34)&amp;CH$1&amp;CHAR(34)&amp;",","")</f>
        <v/>
      </c>
      <c r="CX3" s="48" t="str">
        <f>IF(CI3="y",CHAR(34)&amp;CI$1&amp;CHAR(34)&amp;",","")</f>
        <v/>
      </c>
      <c r="CY3" s="48" t="str">
        <f>IF(CJ3="y",CHAR(34)&amp;CJ$1&amp;CHAR(34)&amp;",","")</f>
        <v/>
      </c>
      <c r="CZ3" s="48" t="str">
        <f>IF(CK3="y",CHAR(34)&amp;CK$1&amp;CHAR(34)&amp;",","")</f>
        <v>"5+Colo",</v>
      </c>
      <c r="DA3" s="48" t="str">
        <f>IF(Q3&gt;1,CHAR(34)&amp;"words2"&amp;CHAR(34)&amp;",","")</f>
        <v/>
      </c>
      <c r="DB3" s="48" t="str">
        <f>IF(Q3&gt;2,CHAR(34)&amp;"words3"&amp;CHAR(34)&amp;",","")</f>
        <v/>
      </c>
      <c r="DC3" s="48" t="str">
        <f>IF(Q3=2,CHAR(34)&amp;"exact2"&amp;CHAR(34)&amp;",","")</f>
        <v/>
      </c>
      <c r="DD3" s="48" t="str">
        <f>IF(LEN(CHAR(34)&amp;"lets"&amp;LEN(SUBSTITUTE(SUBSTITUTE(IFERROR(TRIM(SUBSTITUTE(SUBSTITUTE(SUBSTITUTE(IFERROR(TRIM(SUBSTITUTE(A3,MID(A3,FIND("(",A3),FIND(")",A3)-FIND("(",A3)+1),"")),A3),"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",""),"-",""))&amp;CHAR(34)&amp;",")=9,CHAR(34)&amp;"lets"&amp;LEN(SUBSTITUTE(SUBSTITUTE(IFERROR(TRIM(SUBSTITUTE(SUBSTITUTE(SUBSTITUTE(IFERROR(TRIM(SUBSTITUTE(A3,MID(A3,FIND("(",A3),FIND(")",A3)-FIND("(",A3)+1),"")),A3),"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",""),"-",""))&amp;CHAR(34)&amp;",",CHAR(34)&amp;"lets0"&amp;LEN(SUBSTITUTE(SUBSTITUTE(IFERROR(TRIM(SUBSTITUTE(SUBSTITUTE(SUBSTITUTE(IFERROR(TRIM(SUBSTITUTE(A3,MID(A3,FIND("(",A3),FIND(")",A3)-FIND("(",A3)+1),"")),A3),"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f>
        <v>"lets10",</v>
      </c>
      <c r="DE3" s="48" t="str">
        <f>IFERROR(CHAR(34)&amp;"start"&amp;LEFT(TRIM(SUBSTITUTE(SUBSTITUTE(TRIM(SUBSTITUTE(SUBSTITUTE(A3, MID(A3, FIND("[", A3), FIND("]", A3) - FIND("[", A3) + 1), ""), "  ", " ")), MID(TRIM(SUBSTITUTE(SUBSTITUTE(A3, MID(A3, FIND("[", A3), FIND("]", A3) - FIND("[", A3) + 1), ""), "  ", " ")), FIND("[", TRIM(SUBSTITUTE(SUBSTITUTE(A3, MID(A3, FIND("[", A3), FIND("]", A3) - FIND("[", A3) + 1), ""), "  ", " "))), FIND("]", TRIM(SUBSTITUTE(SUBSTITUTE(A3, MID(A3, FIND("[", A3), FIND("]", A3) - FIND("[", A3) + 1), ""), "  ", " "))) - FIND("[", TRIM(SUBSTITUTE(SUBSTITUTE(A3, MID(A3, FIND("[", A3), FIND("]", A3) - FIND("[", A3) + 1), ""), "  ", " "))) + 1), ""), "  ", " ")),1)&amp;CHAR(34)&amp;",",CHAR(34)&amp;"start"&amp;IFERROR(LEFT(SUBSTITUTE(A3,"["&amp;MID(A3,FIND("[",A3)+1,FIND("]",A3)-FIND("[",A3)-1)&amp;"] ",""),1),LEFT(A3,1))&amp;CHAR(34)&amp;",")</f>
        <v>"startM",</v>
      </c>
      <c r="DF3" s="48" t="str">
        <f>IFERROR(IF(SEARCH("tan",A3)&gt;0,CHAR(34)&amp;"withtn"&amp;CHAR(34)&amp;",",""),"")</f>
        <v/>
      </c>
      <c r="DG3" s="48" t="str">
        <f>IFERROR(IF(SEARCH("q",A3)&gt;0,CHAR(34)&amp;"with_q"&amp;CHAR(34)&amp;",",""),"")</f>
        <v/>
      </c>
      <c r="DH3" s="48" t="str">
        <f>IFERROR(IF(SEARCH("v",A3)&gt;0,CHAR(34)&amp;"with_v"&amp;CHAR(34)&amp;",",""),"")</f>
        <v/>
      </c>
      <c r="DI3" s="48" t="str">
        <f>IFERROR(IF(SEARCH("w",A3)&gt;0,CHAR(34)&amp;"with_w"&amp;CHAR(34)&amp;",",""),"")</f>
        <v/>
      </c>
      <c r="DJ3" s="48" t="str">
        <f>IFERROR(IF(SEARCH("y",A3)&gt;0,CHAR(34)&amp;"with_y"&amp;CHAR(34)&amp;",",""),"")</f>
        <v/>
      </c>
      <c r="DK3" s="48" t="str">
        <f>IFERROR(IF(SEARCH("z",A3)&gt;0,CHAR(34)&amp;"with_z"&amp;CHAR(34)&amp;",",""),"")</f>
        <v/>
      </c>
      <c r="DL3" s="48" t="str">
        <f>IF(CG3=2, CHAR(34) &amp; _xlfn.TEXTJOIN("", TRUE, _xlfn._xlws.SORT(HP3:HX3)) &amp; CHAR(34) &amp; ",", "")</f>
        <v/>
      </c>
      <c r="DM3" s="48" t="str" cm="1">
        <f t="array" ref="DM3">IF(CG3=3,CHAR(34) &amp; _xlfn.TEXTJOIN("", TRUE, RIGHT(HP3:HX3, 2)) &amp; CHAR(34) &amp; ",", "")</f>
        <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"year19",</v>
      </c>
      <c r="DP3" s="6" t="str">
        <f>IF(AND(ISNUMBER(SEARCH("20", O3)), ISERROR(SEARCH("1920", O3))), CHAR(34)&amp;"year00"&amp;CHAR(34)&amp;",", "")</f>
        <v/>
      </c>
      <c r="DQ3" s="6" t="str">
        <f>IF(CC3="y",CHAR(34)&amp;"soviet"&amp;CHAR(34)&amp;",","")</f>
        <v/>
      </c>
      <c r="DR3" s="6" t="str">
        <f>IF(BY3="y",CHAR(34)&amp;"dgband"&amp;CHAR(34)&amp;",","")</f>
        <v/>
      </c>
      <c r="DS3" s="6" t="str">
        <f>IF(W3="y",IF(AND(V3="n",BY3&lt;&gt;"y"),CHAR(34)&amp;"allver"&amp;CHAR(34)&amp;",",""),"")</f>
        <v/>
      </c>
      <c r="DT3" s="6" t="str">
        <f>IF(V3="y",IF(AND(W3="n",BY3&lt;&gt;"y"),CHAR(34)&amp;"allhor"&amp;CHAR(34)&amp;",",""),"")</f>
        <v>"allhor",</v>
      </c>
      <c r="DU3" s="6" t="str">
        <f>IF(BY3="y",IF(AND(W3="n",V3="n"),CHAR(34)&amp;"alldia"&amp;CHAR(34)&amp;",",""),"")</f>
        <v/>
      </c>
      <c r="DV3" s="48" t="str">
        <f>IF(IA3&lt;&gt;"",(IF(IA3="y",CHAR(34)&amp;"largec"&amp;CHAR(34)&amp;",",CHAR(34)&amp;"smallc"&amp;CHAR(34)&amp;",")),"")</f>
        <v/>
      </c>
      <c r="DW3" s="48" t="str">
        <f>IF(CL3="y",CHAR(34)&amp;CL$1&amp;CHAR(34)&amp;",","")</f>
        <v/>
      </c>
      <c r="DX3" s="48" t="str">
        <f>IF(CM3="y",CHAR(34)&amp;CM$1&amp;CHAR(34)&amp;",","")</f>
        <v/>
      </c>
      <c r="DY3" s="48" t="str">
        <f>IF(CN3="y",CHAR(34)&amp;CN$1&amp;CHAR(34)&amp;",","")</f>
        <v/>
      </c>
      <c r="DZ3" s="48" t="str">
        <f>IF(CO3="y",CHAR(34)&amp;CO$1&amp;CHAR(34)&amp;",","")</f>
        <v>"4+Band",</v>
      </c>
      <c r="EA3" s="48" t="str">
        <f>IF(T3="y",CHAR(34)&amp;T$1&amp;CHAR(34)&amp;",","")</f>
        <v>"Diagon",</v>
      </c>
      <c r="EB3" s="48" t="str">
        <f>IF(U3="y",CHAR(34)&amp;U$1&amp;CHAR(34)&amp;",","")</f>
        <v/>
      </c>
      <c r="EC3" s="48" t="str">
        <f>IF(V3="y",CHAR(34)&amp;V$1&amp;CHAR(34)&amp;",","")</f>
        <v>"Horizo",</v>
      </c>
      <c r="ED3" s="48" t="str">
        <f>IF(W3="y",CHAR(34)&amp;W$1&amp;CHAR(34)&amp;",","")</f>
        <v/>
      </c>
      <c r="EE3" s="48" t="str">
        <f>IF(X3="y",CHAR(34)&amp;X$1&amp;CHAR(34)&amp;",","")</f>
        <v>"Circle",</v>
      </c>
      <c r="EF3" s="48" t="str">
        <f>IF(AND(Y3&lt;&gt;"n",Y3&lt;&gt;""),CHAR(34)&amp;Y$1&amp;CHAR(34)&amp;",","")</f>
        <v/>
      </c>
      <c r="EG3" s="48" t="str">
        <f>IF(Z3="y",CHAR(34)&amp;Z$1&amp;CHAR(34)&amp;",","")</f>
        <v/>
      </c>
      <c r="EH3" s="48" t="str">
        <f>IF(AA3="y",CHAR(34)&amp;AA$1&amp;CHAR(34)&amp;",","")</f>
        <v>"Plants",</v>
      </c>
      <c r="EI3" s="48" t="str">
        <f>IF(AB3="y",CHAR(34)&amp;AB$1&amp;CHAR(34)&amp;",","")</f>
        <v/>
      </c>
      <c r="EJ3" s="48" t="str">
        <f>IF(AC3="y",CHAR(34)&amp;AC$1&amp;CHAR(34)&amp;",","")</f>
        <v/>
      </c>
      <c r="EK3" s="48" t="str">
        <f>IF(AD3="y",CHAR(34)&amp;AD$1&amp;CHAR(34)&amp;",","")</f>
        <v/>
      </c>
      <c r="EL3" s="48" t="str">
        <f>IF(AE3="y",CHAR(34)&amp;AE$1&amp;CHAR(34)&amp;",","")</f>
        <v/>
      </c>
      <c r="EM3" s="48" t="str">
        <f>IF(AF3="y",CHAR(34)&amp;AF$1&amp;CHAR(34)&amp;",","")</f>
        <v/>
      </c>
      <c r="EN3" s="48" t="str">
        <f>IF(AG3="y",CHAR(34)&amp;AG$1&amp;CHAR(34)&amp;",","")</f>
        <v>"Unequa",</v>
      </c>
      <c r="EO3" s="48" t="str">
        <f>IF(AH3="y",CHAR(34)&amp;AH$1&amp;CHAR(34)&amp;",","")</f>
        <v/>
      </c>
      <c r="EP3" s="48" t="str">
        <f>IF(AI3="y",CHAR(34)&amp;AI$1&amp;CHAR(34)&amp;",","")</f>
        <v/>
      </c>
      <c r="EQ3" s="48" t="str">
        <f>IF(AJ3="y",CHAR(34)&amp;AJ$1&amp;CHAR(34)&amp;",","")</f>
        <v/>
      </c>
      <c r="ER3" s="48" t="str">
        <f>IF(AK3="y",CHAR(34)&amp;AK$1&amp;CHAR(34)&amp;",","")</f>
        <v/>
      </c>
      <c r="ES3" s="48" t="str">
        <f>IF(AL3="y",CHAR(34)&amp;AL$1&amp;CHAR(34)&amp;",","")</f>
        <v>"Wavess",</v>
      </c>
      <c r="ET3" s="48" t="str">
        <f>IF(AM3="y",CHAR(34)&amp;AM$1&amp;CHAR(34)&amp;",","")</f>
        <v/>
      </c>
      <c r="EU3" s="48" t="str">
        <f>IF(AN3="y",CHAR(34)&amp;AN$1&amp;CHAR(34)&amp;",","")</f>
        <v/>
      </c>
      <c r="EV3" s="48" t="str">
        <f>IF(AO3="y",CHAR(34)&amp;AO$1&amp;CHAR(34)&amp;",","")</f>
        <v/>
      </c>
      <c r="EW3" s="48" t="str">
        <f>IF(AP3="y",CHAR(34)&amp;AP$1&amp;CHAR(34)&amp;",","")</f>
        <v/>
      </c>
      <c r="EX3" s="48" t="str">
        <f>IF(AQ3="y",CHAR(34)&amp;AQ$1&amp;CHAR(34)&amp;",","")</f>
        <v/>
      </c>
      <c r="EY3" s="48" t="str">
        <f>IF(AR3="y",CHAR(34)&amp;AR$1&amp;CHAR(34)&amp;",","")</f>
        <v/>
      </c>
      <c r="EZ3" s="48" t="str">
        <f>IF(AS3="y",CHAR(34)&amp;AS$1&amp;CHAR(34)&amp;",","")</f>
        <v/>
      </c>
      <c r="FA3" s="48" t="str">
        <f>IF(AT3&gt;0,CHAR(34)&amp;"sta"&amp;AZ3&amp;CHAR(34)&amp;",","")</f>
        <v/>
      </c>
      <c r="FB3" s="48" t="str">
        <f>IF(AND(AT3&gt;0,BA3&lt;&gt;""),CHAR(34)&amp;"sta"&amp;BA3&amp;CHAR(34)&amp;",","")</f>
        <v/>
      </c>
      <c r="FC3" s="48" t="str">
        <f>IF(AND(AT3&gt;0,BB3&lt;&gt;""),CHAR(34)&amp;"sta"&amp;BB3&amp;CHAR(34)&amp;",","")</f>
        <v/>
      </c>
      <c r="FD3" s="48" t="str">
        <f>IF(BV3="n",CHAR(34)&amp;"tcWHYE"&amp;CHAR(34)&amp;",",IF(BV3="y",CHAR(34)&amp;FD$1&amp;CHAR(34)&amp;",",""))</f>
        <v/>
      </c>
      <c r="FE3" s="48" t="str">
        <f>IF(COUNTIF(BL3:BT3,"BLU")=0,CHAR(34)&amp;"NO_BLU"&amp;CHAR(34)&amp;",", "")</f>
        <v/>
      </c>
      <c r="FF3" s="48" t="str">
        <f>IF(COUNTIF(BL3:BT3,"WHI")=0,CHAR(34)&amp;"NO_WHI"&amp;CHAR(34)&amp;",", "")</f>
        <v/>
      </c>
      <c r="FG3" s="48" t="str">
        <f>IF(COUNTIF(BL3:BT3,"RED")=0,CHAR(34)&amp;"NO_RED"&amp;CHAR(34)&amp;",", "")</f>
        <v/>
      </c>
      <c r="FH3" s="48" t="str">
        <f>IF(COUNTIF(BL3:BS3,"GRE")=0,CHAR(34)&amp;"NO_GRE"&amp;CHAR(34)&amp;",", "")</f>
        <v/>
      </c>
      <c r="FI3" s="48" t="str">
        <f>IF(COUNTIF(BL3:BT3,"YEL")=0,CHAR(34)&amp;"NO_YEL"&amp;CHAR(34)&amp;",", "")</f>
        <v/>
      </c>
      <c r="FJ3" s="48" t="str">
        <f>IF(COUNTIF(BL3:BT3,"BLA")=0,CHAR(34)&amp;"NO_BLA"&amp;CHAR(34)&amp;",", "")</f>
        <v>"NO_BLA",</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
      </c>
      <c r="FQ3" s="48" t="str">
        <f>IF(LEN(BF3)=3,CHAR(34)&amp;"001"&amp;BF3&amp;CHAR(34)&amp;",","")</f>
        <v>"001YEL",</v>
      </c>
      <c r="FR3" s="48" t="str">
        <f>IF(LEN(BG3)=3,CHAR(34)&amp;"002"&amp;BG3&amp;CHAR(34)&amp;",","")</f>
        <v/>
      </c>
      <c r="FS3" s="48" t="str">
        <f>IF(LEN(BH3)=3,CHAR(34)&amp;"003"&amp;BH3&amp;CHAR(34)&amp;",","")</f>
        <v>"003GRE",</v>
      </c>
      <c r="FT3" s="48" t="str">
        <f>CHAR(34)&amp;"myr"&amp;BD3&amp;CHAR(34)&amp;","</f>
        <v>"myrEQ",</v>
      </c>
      <c r="FU3" s="48" t="str">
        <f>IF(AY3="y",CHAR(34)&amp;"island"&amp;CHAR(34)&amp;",","")</f>
        <v/>
      </c>
      <c r="FV3" s="48" t="str">
        <f>IF(BZ3="y",CHAR(34)&amp;"landlo"&amp;CHAR(34)&amp;",","")</f>
        <v/>
      </c>
      <c r="FW3" s="48" t="str">
        <f>IF(CA3="y",CHAR(34)&amp;"eunion"&amp;CHAR(34)&amp;",","")</f>
        <v/>
      </c>
      <c r="FX3" s="48" t="str">
        <f>SUBSTITUTE(IFERROR(SEARCH("[",A3),IFERROR(IF(AND(CA3&lt;&gt;"y",SEARCH("Europe",R3)&gt;0),CHAR(34)&amp;"noeuni"&amp;CHAR(34)&amp;",",""),"")),"1","")</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C3" s="48" t="str">
        <f>IFERROR(IF(SEARCH("Portuguese",CB3)&gt;0,CHAR(34)&amp;"portug"&amp;CHAR(34)&amp;",",""),"")</f>
        <v/>
      </c>
      <c r="GD3" s="48" t="str">
        <f>IFERROR(IF(SEARCH("German",CB3)&gt;0,CHAR(34)&amp;"german"&amp;CHAR(34)&amp;",",""),"")</f>
        <v/>
      </c>
      <c r="GE3" s="48" t="str">
        <f>IFERROR(IF(SEARCH("Dutch",CB3)&gt;0,CHAR(34)&amp;"dutchs"&amp;CHAR(34)&amp;",",""),"")</f>
        <v/>
      </c>
      <c r="GF3" s="48" t="str">
        <f>IFERROR(IF(SEARCH("Historical",AU3)&gt;0,CHAR(34)&amp;"histor"&amp;CHAR(34)&amp;",",""),"")</f>
        <v/>
      </c>
      <c r="GG3" s="48" t="str">
        <f>IF(BU3="y",CHAR(34)&amp;"unjack"&amp;CHAR(34)&amp;",","")</f>
        <v/>
      </c>
      <c r="GH3" s="48" t="str">
        <f>IF(CD3=1,CHAR(34)&amp;"southc"&amp;CHAR(34)&amp;",","")</f>
        <v/>
      </c>
      <c r="GI3" s="48" t="str">
        <f>IF(CE3=1,CHAR(34)&amp;"hasmap"&amp;CHAR(34)&amp;",","")</f>
        <v/>
      </c>
      <c r="GJ3" s="48" t="str">
        <f>IF(CP3="y",CHAR(34)&amp;CP$1&amp;CHAR(34)&amp;",","")</f>
        <v>"NoStar",</v>
      </c>
      <c r="GK3" s="48" t="str">
        <f>IF(GJ3="",CHAR(34)&amp;"HasSta"&amp;CHAR(34)&amp;",","")</f>
        <v/>
      </c>
      <c r="GL3" s="48" t="str">
        <f>IF(CQ3="y",CHAR(34)&amp;CQ$1&amp;CHAR(34)&amp;",","")</f>
        <v/>
      </c>
      <c r="GM3" s="48" t="str">
        <f>IF(CR3="y",CHAR(34)&amp;CR$1&amp;CHAR(34)&amp;",","")</f>
        <v/>
      </c>
      <c r="GN3" s="48" t="str">
        <f>IF(CS3="y",CHAR(34)&amp;CS$1&amp;CHAR(34)&amp;",","")</f>
        <v/>
      </c>
      <c r="GP3" s="48" t="str">
        <f>CHAR(34)&amp;AU3&amp;CHAR(34)</f>
        <v>"Province"</v>
      </c>
      <c r="GS3" s="48" t="str">
        <f>SUBSTITUTE("["&amp;_xlfn.CONCAT(CW3:GN3)&amp;"]",",]","]")</f>
        <v>["5+Colo","lets10","startM","year19","allhor","4+Band","Diagon","Horizo","Circle","Plants","Unequa","Wavess","NO_BLA","001YEL","003GRE","myrEQ","NoStar"]</v>
      </c>
      <c r="GT3" s="48" t="str">
        <f>IF(BL3&lt;&gt;"",CHAR(34)&amp;"cl_"&amp;BL3&amp;CHAR(34)&amp;",","")</f>
        <v>"cl_BLU",</v>
      </c>
      <c r="GU3" s="48" t="str">
        <f>IF(BM3&lt;&gt;"",CHAR(34)&amp;"cl_"&amp;BM3&amp;CHAR(34)&amp;",","")</f>
        <v>"cl_GRE",</v>
      </c>
      <c r="GV3" s="48" t="str">
        <f>IF(BN3&lt;&gt;"",CHAR(34)&amp;"cl_"&amp;BN3&amp;CHAR(34)&amp;",","")</f>
        <v>"cl_WHI",</v>
      </c>
      <c r="GW3" s="48" t="str">
        <f>IF(BO3&lt;&gt;"",CHAR(34)&amp;"cl_"&amp;BO3&amp;CHAR(34)&amp;",","")</f>
        <v>"cl_YEL",</v>
      </c>
      <c r="GX3" s="48" t="str">
        <f>IF(BP3&lt;&gt;"",CHAR(34)&amp;"cl_"&amp;BP3&amp;CHAR(34)&amp;",","")</f>
        <v>"cl_RED",</v>
      </c>
      <c r="GY3" s="48" t="str">
        <f>IF(BQ3&lt;&gt;"",CHAR(34)&amp;"cl_"&amp;BQ3&amp;CHAR(34)&amp;",","")</f>
        <v/>
      </c>
      <c r="GZ3" s="48" t="str">
        <f>IF(BR3&lt;&gt;"",CHAR(34)&amp;"cl_"&amp;BR3&amp;CHAR(34)&amp;",","")</f>
        <v/>
      </c>
      <c r="HA3" s="48" t="str">
        <f>IF(BS3&lt;&gt;"",CHAR(34)&amp;"cl_"&amp;BS3&amp;CHAR(34)&amp;",","")</f>
        <v/>
      </c>
      <c r="HB3" s="48" t="str">
        <f>IF(BT3&lt;&gt;"",CHAR(34)&amp;"cl_"&amp;BT3&amp;CHAR(34)&amp;",","")</f>
        <v/>
      </c>
      <c r="HC3" s="48" t="str">
        <f>SUBSTITUTE("["&amp;_xlfn.CONCAT(GT3:HB3)&amp;"]",",]","]")</f>
        <v>["cl_BLU","cl_GRE","cl_WHI","cl_YEL","cl_RED"]</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{couname:"[RSA] Mpumalanga",year:"1996 ",region:"rgn_Africa",Colors:["cl_BLU","cl_GRE","cl_WHI","cl_YEL","cl_RED"],Items:["5+Colo","lets10","startM","year19","allhor","4+Band","Diagon","Horizo","Circle","Plants","Unequa","Wavess","NO_BLA","001YEL","003GRE","myrEQ","NoStar"],Flag:"https://upload.wikimedia.org/wikipedia/commons/thumb/9/93/Flag_of_Mpumalanga_Province.svg/640px-Flag_of_Mpumalanga_Province.svg.png",HDFlag:"https://upload.wikimedia.org/wikipedia/commons/thumb/9/93/Flag_of_Mpumalanga_Province.svg/2560px-Flag_of_Mpumalanga_Province.svg.png",type:"Province", describe: "\nThe canton of the flag is dominated by a stylized red Barberton daisy, a plant which is indigenous to the province. The diagonal strip of blue and white separating the green and gold bars is meant to represent the escarpment of the province's topology.", isnew:".", links: "https://en.wikipedia.org/wiki/Flag_of_Mpumalanga"},</v>
      </c>
      <c r="HG3" s="73" t="str">
        <f>"{couname:"&amp;CT3&amp;(IF(HK3&lt;&gt;"",",subtype:"&amp;CHAR(34)&amp;HK3&amp;CHAR(34),""))&amp;",year:"&amp;HJ3&amp;",region:"&amp;CU3&amp;",Colors:"&amp;HC3&amp;",Items:"&amp;GS3&amp;",Flag:"&amp;CV3&amp;",HDFlag:"&amp;CHAR(34)&amp;E3&amp;CHAR(34)&amp;",type:"&amp;GP3&amp;", describe: "&amp;HI3&amp;", links: "&amp;HL3&amp;"},"</f>
        <v>{couname:"[RSA] Mpumalanga",year:"1996 ",region:"rgn_Africa",Colors:["cl_BLU","cl_GRE","cl_WHI","cl_YEL","cl_RED"],Items:["5+Colo","lets10","startM","year19","allhor","4+Band","Diagon","Horizo","Circle","Plants","Unequa","Wavess","NO_BLA","001YEL","003GRE","myrEQ","NoStar"],Flag:"https://upload.wikimedia.org/wikipedia/commons/thumb/9/93/Flag_of_Mpumalanga_Province.svg/640px-Flag_of_Mpumalanga_Province.svg.png",HDFlag:"https://upload.wikimedia.org/wikipedia/commons/thumb/9/93/Flag_of_Mpumalanga_Province.svg/2560px-Flag_of_Mpumalanga_Province.svg.png",type:"Province", describe: "\nThe canton of the flag is dominated by a stylized red Barberton daisy, a plant which is indigenous to the province. The diagonal strip of blue and white separating the green and gold bars is meant to represent the escarpment of the province's topology.", links: "https://en.wikipedia.org/wiki/Flag_of_Mpumalanga"},</v>
      </c>
      <c r="HH3" s="48" t="str">
        <f>IF(P3&lt;&gt;"",CHAR(34)&amp;"\n"&amp;P3&amp;CHAR(34),CHAR(34)&amp;CHAR(34))</f>
        <v>"\nThe canton of the flag is dominated by a stylized red Barberton daisy, a plant which is indigenous to the province. The diagonal strip of blue and white separating the green and gold bars is meant to represent the escarpment of the province's topology."</v>
      </c>
      <c r="HI3" s="48" t="str">
        <f>IF(J3=0,CHAR(34)&amp;CHAR(34),HH3)</f>
        <v>"\nThe canton of the flag is dominated by a stylized red Barberton daisy, a plant which is indigenous to the province. The diagonal strip of blue and white separating the green and gold bars is meant to represent the escarpment of the province's topology."</v>
      </c>
      <c r="HJ3" s="48" t="str">
        <f>CHAR(34)&amp;O3&amp;CHAR(34)</f>
        <v>"1996 "</v>
      </c>
      <c r="HL3" s="48" t="str">
        <f>CHAR(34)&amp;I3&amp;CHAR(34)</f>
        <v>"https://en.wikipedia.org/wiki/Flag_of_Mpumalanga"</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{"couname":"[RSA] Mpumalanga","year":"1996 ","region":"rgn_Africa","Colors":["cl_BLU","cl_GRE","cl_WHI","cl_YEL","cl_RED"],"Items":["5+Colo","lets10","startM","year19","allhor","4+Band","Diagon","Horizo","Circle","Plants","Unequa","Wavess","NO_BLA","001YEL","003GRE","myrEQ","NoStar"],"Flag":"https://upload.wikimedia.org/wikipedia/commons/thumb/9/93/Flag_of_Mpumalanga_Province.svg/640px-Flag_of_Mpumalanga_Province.svg.png","HDFlag":"https://upload.wikimedia.org/wikipedia/commons/thumb/9/93/Flag_of_Mpumalanga_Province.svg/2560px-Flag_of_Mpumalanga_Province.svg.png","type":"Province", "describe": "\nThe canton of the flag is dominated by a stylized red Barberton daisy, a plant which is indigenous to the province. The diagonal strip of blue and white separating the green and gold bars is meant to represent the escarpment of the province's topology.", "isnew": ".", "links": "https://en.wikipedia.org/wiki/Flag_of_Mpumalanga"},</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{"couname":"[RSA] Mpumalanga","year":"1996 ","region":"rgn_Africa","Colors":["cl_BLU","cl_GRE","cl_WHI","cl_YEL","cl_RED"],"Items":["5+Colo","lets10","startM","year19","allhor","4+Band","Diagon","Horizo","Circle","Plants","Unequa","Wavess","NO_BLA","001YEL","003GRE","myrEQ","NoStar"],"Flag":"https://upload.wikimedia.org/wikipedia/commons/thumb/9/93/Flag_of_Mpumalanga_Province.svg/640px-Flag_of_Mpumalanga_Province.svg.png","HDFlag":"https://upload.wikimedia.org/wikipedia/commons/thumb/9/93/Flag_of_Mpumalanga_Province.svg/2560px-Flag_of_Mpumalanga_Province.svg.png","type":"Province", "describe": "\nThe canton of the flag is dominated by a stylized red Barberton daisy, a plant which is indigenous to the province. The diagonal strip of blue and white separating the green and gold bars is meant to represent the escarpment of the province's topology.", "isnew": ".", "links": "https://en.wikipedia.org/wiki/Flag_of_Mpumalanga"},</v>
      </c>
      <c r="HO3" s="75"/>
      <c r="HP3" s="48" t="str" cm="1">
        <f t="array" ref="HP3">IF(_xlfn.TEXTJOIN(", ", TRUE, IF(ISNUMBER(SEARCH("BLA", BL3:BT3)), COLUMN(BL3:BT3) - COLUMN(BL3) + 1, ""))&lt;&gt;"","BLA","")</f>
        <v/>
      </c>
      <c r="HQ3" s="48" t="str" cm="1">
        <f t="array" ref="HQ3">IF(_xlfn.TEXTJOIN(", ", TRUE, IF(ISNUMBER(SEARCH("BLU", BL3:BT3)), COLUMN(BL3:BT3) - COLUMN(BL3) + 1, ""))&lt;&gt;"","BLU","")</f>
        <v>BLU</v>
      </c>
      <c r="HR3" s="48" t="str" cm="1">
        <f t="array" ref="HR3">IF(_xlfn.TEXTJOIN(", ", TRUE, IF(ISNUMBER(SEARCH("GRE", BL3:BT3)), COLUMN(BL3:BT3) - COLUMN(BL3) + 1, ""))&lt;&gt;"","GRE","")</f>
        <v>GRE</v>
      </c>
      <c r="HS3" s="48" t="str" cm="1">
        <f t="array" ref="HS3">IF(_xlfn.TEXTJOIN(", ", TRUE, IF(ISNUMBER(SEARCH("RED", BL3:BT3)), COLUMN(BL3:BT3) - COLUMN(BL3) + 1, ""))&lt;&gt;"","RED","")</f>
        <v>RED</v>
      </c>
      <c r="HT3" s="48" t="str" cm="1">
        <f t="array" ref="HT3">IF(_xlfn.TEXTJOIN(", ", TRUE, IF(ISNUMBER(SEARCH("YEL", BL3:BT3)), COLUMN(BL3:BT3) - COLUMN(BL3) + 1, ""))&lt;&gt;"","YEL","")</f>
        <v>YEL</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L3" s="48">
        <f>SUM(IC3:IK3)</f>
        <v>0</v>
      </c>
      <c r="IM3" s="45">
        <f>COUNTIF(IC3:IK3,"&gt;0")-CG3</f>
        <v>-5</v>
      </c>
      <c r="IN3" s="78" t="str">
        <f>"http://mkweb.bcgsc.ca/color-summarizer/?url="&amp;D3&amp;"&amp;precision=low&amp;num_clusters="&amp;CG3&amp;"&amp;text=1"</f>
        <v>http://mkweb.bcgsc.ca/color-summarizer/?url=https://upload.wikimedia.org/wikipedia/commons/thumb/9/93/Flag_of_Mpumalanga_Province.svg/640px-Flag_of_Mpumalanga_Province.svg.png&amp;precision=low&amp;num_clusters=5&amp;text=1</v>
      </c>
      <c r="IO3" s="48" t="str">
        <f>IF(HP3&lt;&gt;"",CHAR(34)&amp;"black"&amp;CHAR(34),"")</f>
        <v/>
      </c>
      <c r="IP3" s="48" t="str">
        <f>IF(HQ3&lt;&gt;"",CHAR(34)&amp;"blue"&amp;CHAR(34),"")</f>
        <v>"blue"</v>
      </c>
      <c r="IQ3" s="48" t="str">
        <f>IF(HR3&lt;&gt;"",CHAR(34)&amp;"green"&amp;CHAR(34),"")</f>
        <v>"green"</v>
      </c>
      <c r="IR3" s="48" t="str">
        <f>IF(HS3&lt;&gt;"",CHAR(34)&amp;"red"&amp;CHAR(34),"")</f>
        <v>"red"</v>
      </c>
      <c r="IS3" s="48" t="str">
        <f>IF(HT3&lt;&gt;"",CHAR(34)&amp;"yellow"&amp;CHAR(34),"")</f>
        <v>"yellow"</v>
      </c>
      <c r="IT3" s="48" t="str">
        <f>IF(HU3&lt;&gt;"",CHAR(34)&amp;"orange"&amp;CHAR(34),"")</f>
        <v/>
      </c>
      <c r="IU3" s="48" t="str">
        <f>IF(HV3&lt;&gt;"",CHAR(34)&amp;"brown"&amp;CHAR(34),"")</f>
        <v/>
      </c>
      <c r="IV3" s="48" t="str">
        <f>IF(HW3&lt;&gt;"",CHAR(34)&amp;"purple"&amp;CHAR(34),"")</f>
        <v/>
      </c>
      <c r="IW3" s="48" t="str">
        <f>IF(HX3&lt;&gt;"",CHAR(34)&amp;"white"&amp;CHAR(34),"")</f>
        <v>"white"</v>
      </c>
      <c r="IX3" s="48" t="str">
        <f>"{"&amp;CHAR(34)&amp;"url"&amp;CHAR(34)&amp;":"&amp;CHAR(34)&amp;IN3&amp;CHAR(34)&amp;","&amp;CHAR(34)&amp;"name"&amp;CHAR(34)&amp;":"&amp;CHAR(34)&amp;A3&amp;CHAR(34)&amp;"},"</f>
        <v>{"url":"http://mkweb.bcgsc.ca/color-summarizer/?url=https://upload.wikimedia.org/wikipedia/commons/thumb/9/93/Flag_of_Mpumalanga_Province.svg/640px-Flag_of_Mpumalanga_Province.svg.png&amp;precision=low&amp;num_clusters=5&amp;text=1","name":"[RSA] Mpumalanga"},</v>
      </c>
      <c r="IY3" s="48">
        <v>724</v>
      </c>
    </row>
    <row r="4" spans="1:259" s="48" customFormat="1" ht="38.4" customHeight="1" thickBot="1" x14ac:dyDescent="0.35">
      <c r="A4" s="80" t="s">
        <v>337</v>
      </c>
      <c r="B4" s="40" t="e" vm="96">
        <v>#VALUE!</v>
      </c>
      <c r="C4" s="41" t="s">
        <v>173</v>
      </c>
      <c r="D4" s="42" t="s">
        <v>338</v>
      </c>
      <c r="E4" s="43" t="s">
        <v>339</v>
      </c>
      <c r="F4" s="44" t="s">
        <v>163</v>
      </c>
      <c r="G4" s="45">
        <f>COUNTIF($A$1:$A$8405,A4)</f>
        <v>1</v>
      </c>
      <c r="H4" s="46" t="s">
        <v>371</v>
      </c>
      <c r="I4" s="47" t="s">
        <v>340</v>
      </c>
      <c r="J4" s="48" t="str">
        <f>""</f>
        <v/>
      </c>
      <c r="K4" s="49"/>
      <c r="L4" s="50"/>
      <c r="M4" s="50"/>
      <c r="N4" s="51" t="s">
        <v>180</v>
      </c>
      <c r="O4" s="52">
        <v>1874</v>
      </c>
      <c r="P4" s="53" t="s">
        <v>341</v>
      </c>
      <c r="Q4" s="54">
        <v>2</v>
      </c>
      <c r="R4" s="55" t="s">
        <v>180</v>
      </c>
      <c r="S4" s="56">
        <v>2</v>
      </c>
      <c r="T4" s="57" t="s">
        <v>167</v>
      </c>
      <c r="U4" s="58" t="s">
        <v>167</v>
      </c>
      <c r="V4" s="58" t="s">
        <v>164</v>
      </c>
      <c r="W4" s="58" t="s">
        <v>164</v>
      </c>
      <c r="X4" s="58" t="s">
        <v>164</v>
      </c>
      <c r="Y4" s="58" t="s">
        <v>164</v>
      </c>
      <c r="Z4" s="58" t="s">
        <v>164</v>
      </c>
      <c r="AA4" s="58" t="s">
        <v>164</v>
      </c>
      <c r="AB4" s="58" t="s">
        <v>164</v>
      </c>
      <c r="AC4" s="58" t="s">
        <v>164</v>
      </c>
      <c r="AD4" s="58" t="s">
        <v>164</v>
      </c>
      <c r="AE4" s="58" t="s">
        <v>164</v>
      </c>
      <c r="AF4" s="59" t="s">
        <v>164</v>
      </c>
      <c r="AG4" s="59" t="s">
        <v>167</v>
      </c>
      <c r="AH4" s="59" t="s">
        <v>164</v>
      </c>
      <c r="AI4" s="59" t="s">
        <v>164</v>
      </c>
      <c r="AJ4" s="59" t="s">
        <v>164</v>
      </c>
      <c r="AK4" s="59" t="s">
        <v>167</v>
      </c>
      <c r="AL4" s="59" t="s">
        <v>164</v>
      </c>
      <c r="AM4" s="59" t="s">
        <v>164</v>
      </c>
      <c r="AN4" s="59" t="s">
        <v>164</v>
      </c>
      <c r="AO4" s="59" t="s">
        <v>164</v>
      </c>
      <c r="AP4" s="59" t="s">
        <v>164</v>
      </c>
      <c r="AQ4" s="59" t="s">
        <v>164</v>
      </c>
      <c r="AR4" s="59" t="s">
        <v>167</v>
      </c>
      <c r="AS4" s="59" t="s">
        <v>164</v>
      </c>
      <c r="AT4" s="60">
        <v>0</v>
      </c>
      <c r="AU4" s="59" t="s">
        <v>174</v>
      </c>
      <c r="AV4" s="59" t="str">
        <f>IF(LEFT(A4,1)="[",LEFT(A4,5)&amp;AU4&amp;A4,"")</f>
        <v>[RSA]Historical[RSA] Burgers Flag</v>
      </c>
      <c r="AW4" s="59" t="str">
        <f>C4&amp;H4&amp;A4</f>
        <v>3b[RSA] Other[RSA] Burgers Flag</v>
      </c>
      <c r="AX4" s="61"/>
      <c r="AY4" s="61"/>
      <c r="AZ4" s="62" t="s">
        <v>172</v>
      </c>
      <c r="BA4" s="62" t="s">
        <v>172</v>
      </c>
      <c r="BB4" s="62"/>
      <c r="BC4" s="63"/>
      <c r="BD4" s="64" t="s">
        <v>169</v>
      </c>
      <c r="BE4" s="47"/>
      <c r="BF4" s="64"/>
      <c r="BG4" s="64" t="s">
        <v>172</v>
      </c>
      <c r="BH4" s="64"/>
      <c r="BI4" s="64"/>
      <c r="BJ4" s="64"/>
      <c r="BK4" s="47"/>
      <c r="BL4" s="64" t="s">
        <v>172</v>
      </c>
      <c r="BM4" s="64" t="s">
        <v>152</v>
      </c>
      <c r="BN4" s="64" t="s">
        <v>172</v>
      </c>
      <c r="BO4" s="64" t="s">
        <v>154</v>
      </c>
      <c r="BP4" s="64" t="s">
        <v>172</v>
      </c>
      <c r="BQ4" s="64" t="s">
        <v>172</v>
      </c>
      <c r="BR4" s="64" t="s">
        <v>172</v>
      </c>
      <c r="BS4" s="64" t="s">
        <v>172</v>
      </c>
      <c r="BT4" s="64" t="s">
        <v>159</v>
      </c>
      <c r="BU4" s="65"/>
      <c r="BV4" s="66"/>
      <c r="BW4" s="66">
        <v>0</v>
      </c>
      <c r="BX4" s="47"/>
      <c r="BY4" s="48" t="s">
        <v>167</v>
      </c>
      <c r="CB4" s="6"/>
      <c r="CC4" s="6"/>
      <c r="CD4" s="67">
        <v>0</v>
      </c>
      <c r="CE4" s="67">
        <v>0</v>
      </c>
      <c r="CF4" s="67" t="e">
        <v>#REF!</v>
      </c>
      <c r="CG4" s="68" cm="1">
        <f t="array" ref="CG4">SUMPRODUCT(--(LEN(TRIM(BL4:BT4))&gt;0))</f>
        <v>3</v>
      </c>
      <c r="CH4" s="59" t="str">
        <f>IF(CG4=2,"y","n")</f>
        <v>n</v>
      </c>
      <c r="CI4" s="59" t="str">
        <f>IF(CG4=3,"y","n")</f>
        <v>y</v>
      </c>
      <c r="CJ4" s="59" t="str">
        <f>IF(CG4=4,"y","n")</f>
        <v>n</v>
      </c>
      <c r="CK4" s="59" t="str">
        <f>IF(CG4&gt;4,"y","n")</f>
        <v>n</v>
      </c>
      <c r="CL4" s="59" t="str">
        <f>IF(S4=0,"y","n")</f>
        <v>n</v>
      </c>
      <c r="CM4" s="59" t="str">
        <f>IF(S4=2,"y","n")</f>
        <v>y</v>
      </c>
      <c r="CN4" s="59" t="str">
        <f>IF(S4=3,"y","n")</f>
        <v>n</v>
      </c>
      <c r="CO4" s="59" t="str">
        <f>IF(S4&gt;=4,"y","n")</f>
        <v>n</v>
      </c>
      <c r="CP4" s="59" t="str">
        <f>IF(AT4=0,"y","n")</f>
        <v>y</v>
      </c>
      <c r="CQ4" s="59" t="str">
        <f>IF(AT4=1,"y","n")</f>
        <v>n</v>
      </c>
      <c r="CR4" s="59" t="str">
        <f>IF(AT4=2,"y","n")</f>
        <v>n</v>
      </c>
      <c r="CS4" s="59" t="str">
        <f>IF(AT4&gt;=3,"y","n")</f>
        <v>n</v>
      </c>
      <c r="CT4" s="69" t="str">
        <f>CHAR(34)&amp;A4&amp;CHAR(34)</f>
        <v>"[RSA] Burgers Flag"</v>
      </c>
      <c r="CU4" s="70" t="str">
        <f>CHAR(34)&amp;"rgn_"&amp;R4&amp;CHAR(34)</f>
        <v>"rgn_Africa"</v>
      </c>
      <c r="CV4" s="48" t="str">
        <f>CHAR(34)&amp;D4&amp;CHAR(34)</f>
        <v>"https://upload.wikimedia.org/wikipedia/commons/thumb/0/04/South_African_Burgers_Flag.svg/640px-South_African_Burgers_Flag.svg.png"</v>
      </c>
      <c r="CW4" s="48" t="str">
        <f>IF(CH4="y",CHAR(34)&amp;CH$1&amp;CHAR(34)&amp;",","")</f>
        <v/>
      </c>
      <c r="CX4" s="48" t="str">
        <f>IF(CI4="y",CHAR(34)&amp;CI$1&amp;CHAR(34)&amp;",","")</f>
        <v>"3Color",</v>
      </c>
      <c r="CY4" s="48" t="str">
        <f>IF(CJ4="y",CHAR(34)&amp;CJ$1&amp;CHAR(34)&amp;",","")</f>
        <v/>
      </c>
      <c r="CZ4" s="48" t="str">
        <f>IF(CK4="y",CHAR(34)&amp;CK$1&amp;CHAR(34)&amp;",","")</f>
        <v/>
      </c>
      <c r="DA4" s="48" t="str">
        <f>IF(Q4&gt;1,CHAR(34)&amp;"words2"&amp;CHAR(34)&amp;",","")</f>
        <v>"words2",</v>
      </c>
      <c r="DB4" s="48" t="str">
        <f>IF(Q4&gt;2,CHAR(34)&amp;"words3"&amp;CHAR(34)&amp;",","")</f>
        <v/>
      </c>
      <c r="DD4" s="48" t="str">
        <f>IF(LEN(CHAR(34)&amp;"lets"&amp;LEN(SUBSTITUTE(SUBSTITUTE(IFERROR(TRIM(SUBSTITUTE(A4,MID(A4,FIND("[",A4),FIND("]",A4)-FIND("[",A4)+1),"")),A4)," ",""),"-",""))&amp;CHAR(34)&amp;",")=9,CHAR(34)&amp;"lets"&amp;LEN(SUBSTITUTE(SUBSTITUTE(IFERROR(TRIM(SUBSTITUTE(A4,MID(A4,FIND("[",A4),FIND("]",A4)-FIND("[",A4)+1),"")),A4)," ",""),"-",""))&amp;CHAR(34)&amp;",",CHAR(34)&amp;"lets0"&amp;LEN(SUBSTITUTE(SUBSTITUTE(IFERROR(TRIM(SUBSTITUTE(A4,MID(A4,FIND("[",A4),FIND("]",A4)-FIND("[",A4)+1),"")),A4)," ",""),"-",""))&amp;CHAR(34)&amp;",")</f>
        <v>"lets11",</v>
      </c>
      <c r="DE4" s="48" t="str">
        <f>CHAR(34)&amp;"start"&amp;IFERROR(LEFT(SUBSTITUTE(A4,"["&amp;MID(A4,FIND("[",A4)+1,FIND("]",A4)-FIND("[",A4)-1)&amp;"] ",""),1),LEFT(A4,1))&amp;CHAR(34)&amp;","</f>
        <v>"startB",</v>
      </c>
      <c r="DF4" s="48" t="str">
        <f>IFERROR(IF(SEARCH("tan",A4)&gt;0,CHAR(34)&amp;"withtn"&amp;CHAR(34)&amp;",",""),"")</f>
        <v/>
      </c>
      <c r="DG4" s="48" t="str">
        <f>IFERROR(IF(SEARCH("q",A4)&gt;0,CHAR(34)&amp;"with_q"&amp;CHAR(34)&amp;",",""),"")</f>
        <v/>
      </c>
      <c r="DH4" s="48" t="str">
        <f>IFERROR(IF(SEARCH("v",A4)&gt;0,CHAR(34)&amp;"with_v"&amp;CHAR(34)&amp;",",""),"")</f>
        <v/>
      </c>
      <c r="DI4" s="48" t="str">
        <f>IFERROR(IF(SEARCH("w",A4)&gt;0,CHAR(34)&amp;"with_w"&amp;CHAR(34)&amp;",",""),"")</f>
        <v/>
      </c>
      <c r="DJ4" s="48" t="str">
        <f>IFERROR(IF(SEARCH("y",A4)&gt;0,CHAR(34)&amp;"with_y"&amp;CHAR(34)&amp;",",""),"")</f>
        <v/>
      </c>
      <c r="DK4" s="48" t="str">
        <f>IFERROR(IF(SEARCH("z",A4)&gt;0,CHAR(34)&amp;"with_z"&amp;CHAR(34)&amp;",",""),"")</f>
        <v/>
      </c>
      <c r="DL4" s="48" t="str">
        <f>IF(CG4=2, CHAR(34) &amp; _xlfn.TEXTJOIN("", TRUE, _xlfn._xlws.SORT(HP4:HX4)) &amp; CHAR(34) &amp; ",", "")</f>
        <v/>
      </c>
      <c r="DM4" s="48" t="str" cm="1">
        <f t="array" ref="DM4">IF(CG4=3,CHAR(34) &amp; _xlfn.TEXTJOIN("", TRUE, RIGHT(HP4:HX4, 2)) &amp; CHAR(34) &amp; ",", "")</f>
        <v>"LUEDHI",</v>
      </c>
      <c r="DN4" s="48" t="str">
        <f>IF(AND(ISNUMBER(SEARCH("18", O4)), ISERROR(SEARCH("1918", O4)), ISERROR(SEARCH("2018", O4))), CHAR(34) &amp; "year18" &amp; CHAR(34) &amp; ",", "")</f>
        <v>"year18",</v>
      </c>
      <c r="DO4" s="48" t="str">
        <f>IF(AND(ISNUMBER(SEARCH("19", O4)), ISERROR(SEARCH("1819", O4)),  ISERROR(SEARCH("1219", O4)),ISERROR(SEARCH("1119", O4)),ISERROR(SEARCH("1190", O4)),ISERROR(SEARCH("2019", O4))), CHAR(34) &amp; "year19" &amp; CHAR(34) &amp; ",", "")</f>
        <v/>
      </c>
      <c r="DP4" s="6" t="str">
        <f>IF(AND(ISNUMBER(SEARCH("20", O4)), ISERROR(SEARCH("1920", O4))), CHAR(34)&amp;"year00"&amp;CHAR(34)&amp;",", "")</f>
        <v/>
      </c>
      <c r="DQ4" s="6" t="str">
        <f>IF(CC4="y",CHAR(34)&amp;"soviet"&amp;CHAR(34)&amp;",","")</f>
        <v/>
      </c>
      <c r="DR4" s="6" t="str">
        <f>IF(BY4="y",CHAR(34)&amp;"dgband"&amp;CHAR(34)&amp;",","")</f>
        <v>"dgband",</v>
      </c>
      <c r="DS4" s="6" t="str">
        <f>IF(W4="y",IF(AND(V4="n",BY4&lt;&gt;"y"),CHAR(34)&amp;"allver"&amp;CHAR(34)&amp;",",""),"")</f>
        <v/>
      </c>
      <c r="DT4" s="6" t="str">
        <f>IF(V4="y",IF(AND(W4="n",BY4&lt;&gt;"y"),CHAR(34)&amp;"allhor"&amp;CHAR(34)&amp;",",""),"")</f>
        <v/>
      </c>
      <c r="DU4" s="6" t="str">
        <f>IF(BY4="y",IF(AND(W4="n",V4="n"),CHAR(34)&amp;"alldia"&amp;CHAR(34)&amp;",",""),"")</f>
        <v>"alldia",</v>
      </c>
      <c r="DW4" s="48" t="str">
        <f>IF(CL4="y",CHAR(34)&amp;CL$1&amp;CHAR(34)&amp;",","")</f>
        <v/>
      </c>
      <c r="DX4" s="48" t="str">
        <f>IF(CM4="y",CHAR(34)&amp;CM$1&amp;CHAR(34)&amp;",","")</f>
        <v>"2Bands",</v>
      </c>
      <c r="DY4" s="48" t="str">
        <f>IF(CN4="y",CHAR(34)&amp;CN$1&amp;CHAR(34)&amp;",","")</f>
        <v/>
      </c>
      <c r="DZ4" s="48" t="str">
        <f>IF(CO4="y",CHAR(34)&amp;CO$1&amp;CHAR(34)&amp;",","")</f>
        <v/>
      </c>
      <c r="EA4" s="48" t="str">
        <f>IF(T4="y",CHAR(34)&amp;T$1&amp;CHAR(34)&amp;",","")</f>
        <v>"Diagon",</v>
      </c>
      <c r="EB4" s="48" t="str">
        <f>IF(U4="y",CHAR(34)&amp;U$1&amp;CHAR(34)&amp;",","")</f>
        <v>"Crosse",</v>
      </c>
      <c r="EC4" s="48" t="str">
        <f>IF(V4="y",CHAR(34)&amp;V$1&amp;CHAR(34)&amp;",","")</f>
        <v/>
      </c>
      <c r="ED4" s="48" t="str">
        <f>IF(W4="y",CHAR(34)&amp;W$1&amp;CHAR(34)&amp;",","")</f>
        <v/>
      </c>
      <c r="EE4" s="48" t="str">
        <f>IF(X4="y",CHAR(34)&amp;X$1&amp;CHAR(34)&amp;",","")</f>
        <v/>
      </c>
      <c r="EF4" s="48" t="str">
        <f>IF(AND(Y4&lt;&gt;"n",Y4&lt;&gt;""),CHAR(34)&amp;Y$1&amp;CHAR(34)&amp;",","")</f>
        <v/>
      </c>
      <c r="EG4" s="48" t="str">
        <f>IF(Z4="y",CHAR(34)&amp;Z$1&amp;CHAR(34)&amp;",","")</f>
        <v/>
      </c>
      <c r="EH4" s="48" t="str">
        <f>IF(AA4="y",CHAR(34)&amp;AA$1&amp;CHAR(34)&amp;",","")</f>
        <v/>
      </c>
      <c r="EI4" s="48" t="str">
        <f>IF(AB4="y",CHAR(34)&amp;AB$1&amp;CHAR(34)&amp;",","")</f>
        <v/>
      </c>
      <c r="EJ4" s="48" t="str">
        <f>IF(AC4="y",CHAR(34)&amp;AC$1&amp;CHAR(34)&amp;",","")</f>
        <v/>
      </c>
      <c r="EK4" s="48" t="str">
        <f>IF(AD4="y",CHAR(34)&amp;AD$1&amp;CHAR(34)&amp;",","")</f>
        <v/>
      </c>
      <c r="EL4" s="48" t="str">
        <f>IF(AE4="y",CHAR(34)&amp;AE$1&amp;CHAR(34)&amp;",","")</f>
        <v/>
      </c>
      <c r="EM4" s="48" t="str">
        <f>IF(AF4="y",CHAR(34)&amp;AF$1&amp;CHAR(34)&amp;",","")</f>
        <v/>
      </c>
      <c r="EN4" s="48" t="str">
        <f>IF(AG4="y",CHAR(34)&amp;AG$1&amp;CHAR(34)&amp;",","")</f>
        <v>"Unequa",</v>
      </c>
      <c r="EO4" s="48" t="str">
        <f>IF(AH4="y",CHAR(34)&amp;AH$1&amp;CHAR(34)&amp;",","")</f>
        <v/>
      </c>
      <c r="EP4" s="48" t="str">
        <f>IF(AI4="y",CHAR(34)&amp;AI$1&amp;CHAR(34)&amp;",","")</f>
        <v/>
      </c>
      <c r="EQ4" s="48" t="str">
        <f>IF(AJ4="y",CHAR(34)&amp;AJ$1&amp;CHAR(34)&amp;",","")</f>
        <v/>
      </c>
      <c r="ER4" s="48" t="str">
        <f>IF(AK4="y",CHAR(34)&amp;AK$1&amp;CHAR(34)&amp;",","")</f>
        <v>"OnlyBa",</v>
      </c>
      <c r="ES4" s="48" t="str">
        <f>IF(AL4="y",CHAR(34)&amp;AL$1&amp;CHAR(34)&amp;",","")</f>
        <v/>
      </c>
      <c r="ET4" s="48" t="str">
        <f>IF(AM4="y",CHAR(34)&amp;AM$1&amp;CHAR(34)&amp;",","")</f>
        <v/>
      </c>
      <c r="EU4" s="48" t="str">
        <f>IF(AN4="y",CHAR(34)&amp;AN$1&amp;CHAR(34)&amp;",","")</f>
        <v/>
      </c>
      <c r="EV4" s="48" t="str">
        <f>IF(AO4="y",CHAR(34)&amp;AO$1&amp;CHAR(34)&amp;",","")</f>
        <v/>
      </c>
      <c r="EW4" s="48" t="str">
        <f>IF(AP4="y",CHAR(34)&amp;AP$1&amp;CHAR(34)&amp;",","")</f>
        <v/>
      </c>
      <c r="EX4" s="48" t="str">
        <f>IF(AQ4="y",CHAR(34)&amp;AQ$1&amp;CHAR(34)&amp;",","")</f>
        <v/>
      </c>
      <c r="EY4" s="48" t="str">
        <f>IF(AR4="y",CHAR(34)&amp;AR$1&amp;CHAR(34)&amp;",","")</f>
        <v>"Rotate",</v>
      </c>
      <c r="EZ4" s="48" t="str">
        <f>IF(AS4="y",CHAR(34)&amp;AS$1&amp;CHAR(34)&amp;",","")</f>
        <v/>
      </c>
      <c r="FA4" s="48" t="str">
        <f>IF(AT4&gt;0,CHAR(34)&amp;"sta"&amp;AZ4&amp;CHAR(34)&amp;",","")</f>
        <v/>
      </c>
      <c r="FB4" s="48" t="str">
        <f>IF(AND(AT4&gt;0,BA4&lt;&gt;""),CHAR(34)&amp;"sta"&amp;BA4&amp;CHAR(34)&amp;",","")</f>
        <v/>
      </c>
      <c r="FD4" s="48" t="str">
        <f>IF(BV4="n",CHAR(34)&amp;"tcWHYE"&amp;CHAR(34)&amp;",",IF(BV4="y",CHAR(34)&amp;FD$1&amp;CHAR(34)&amp;",",""))</f>
        <v/>
      </c>
      <c r="FE4" s="48" t="str">
        <f>IF(COUNTIF(BL4:BT4,"BLU")=0,CHAR(34)&amp;"NO_BLU"&amp;CHAR(34)&amp;",", "")</f>
        <v/>
      </c>
      <c r="FF4" s="48" t="str">
        <f>IF(COUNTIF(BL4:BT4,"WHI")=0,CHAR(34)&amp;"NO_WHI"&amp;CHAR(34)&amp;",", "")</f>
        <v/>
      </c>
      <c r="FG4" s="48" t="str">
        <f>IF(COUNTIF(BL4:BT4,"RED")=0,CHAR(34)&amp;"NO_RED"&amp;CHAR(34)&amp;",", "")</f>
        <v/>
      </c>
      <c r="FH4" s="48" t="str">
        <f>IF(COUNTIF(BL4:BS4,"GRE")=0,CHAR(34)&amp;"NO_GRE"&amp;CHAR(34)&amp;",", "")</f>
        <v>"NO_GRE",</v>
      </c>
      <c r="FI4" s="48" t="str">
        <f>IF(COUNTIF(BL4:BT4,"YEL")=0,CHAR(34)&amp;"NO_YEL"&amp;CHAR(34)&amp;",", "")</f>
        <v>"NO_YEL",</v>
      </c>
      <c r="FJ4" s="48" t="str">
        <f>IF(COUNTIF(BL4:BT4,"BLA")=0,CHAR(34)&amp;"NO_BLA"&amp;CHAR(34)&amp;",", "")</f>
        <v>"NO_BLA",</v>
      </c>
      <c r="FK4" s="48" t="str">
        <f>IF(AND(FH4&lt;&gt;"",FF4&lt;&gt;""),CHAR(34)&amp;"WHGRNO"&amp;CHAR(34)&amp;",","")</f>
        <v/>
      </c>
      <c r="FL4" s="48" t="str">
        <f>IF(AND(FI4&lt;&gt;"",FF4&lt;&gt;""),CHAR(34)&amp;"WHYENO"&amp;CHAR(34)&amp;",","")</f>
        <v/>
      </c>
      <c r="FM4" s="48" t="str">
        <f>IF(AND(FJ4&lt;&gt;"",FF4&lt;&gt;""),CHAR(34)&amp;"BAWHNO"&amp;CHAR(34)&amp;",","")</f>
        <v/>
      </c>
      <c r="FN4" s="48" t="str">
        <f>IF(AND(FE4&lt;&gt;"",FF4&lt;&gt;""),CHAR(34)&amp;"BLWHNO"&amp;CHAR(34)&amp;",","")</f>
        <v/>
      </c>
      <c r="FO4" s="48" t="str">
        <f>IF(AND(FE4&lt;&gt;"",FG4&lt;&gt;""),CHAR(34)&amp;"BLRENO"&amp;CHAR(34)&amp;",","")</f>
        <v/>
      </c>
      <c r="FP4" s="48" t="str">
        <f>IF(AND(FF4&lt;&gt;"",FF4&lt;&gt;""),CHAR(34)&amp;"WHRENO"&amp;CHAR(34)&amp;",","")</f>
        <v/>
      </c>
      <c r="FQ4" s="48" t="str">
        <f>IF(LEN(BF4)=3,CHAR(34)&amp;"001"&amp;BF4&amp;CHAR(34)&amp;",","")</f>
        <v/>
      </c>
      <c r="FR4" s="48" t="str">
        <f>IF(LEN(BG4)=3,CHAR(34)&amp;"002"&amp;BG4&amp;CHAR(34)&amp;",","")</f>
        <v/>
      </c>
      <c r="FS4" s="48" t="str">
        <f>IF(LEN(BH4)=3,CHAR(34)&amp;"003"&amp;BH4&amp;CHAR(34)&amp;",","")</f>
        <v/>
      </c>
      <c r="FT4" s="48" t="str">
        <f>CHAR(34)&amp;"myr"&amp;BD4&amp;CHAR(34)&amp;","</f>
        <v>"myrEQ",</v>
      </c>
      <c r="FU4" s="48" t="str">
        <f>IF(AY4="y",CHAR(34)&amp;"island"&amp;CHAR(34)&amp;",","")</f>
        <v/>
      </c>
      <c r="FV4" s="48" t="str">
        <f>IF(BZ4="y",CHAR(34)&amp;"landlo"&amp;CHAR(34)&amp;",","")</f>
        <v/>
      </c>
      <c r="FW4" s="48" t="str">
        <f>IF(CA4="y",CHAR(34)&amp;"eunion"&amp;CHAR(34)&amp;",","")</f>
        <v/>
      </c>
      <c r="FY4" s="48" t="str">
        <f>IFERROR(IF(SEARCH("Arabic",CB4)&gt;0,CHAR(34)&amp;"arabic"&amp;CHAR(34)&amp;",",""),"")</f>
        <v/>
      </c>
      <c r="FZ4" s="48" t="str">
        <f>IFERROR(IF(SEARCH("English",CB4)&gt;0,CHAR(34)&amp;"englis"&amp;CHAR(34)&amp;",",""),"")</f>
        <v/>
      </c>
      <c r="GA4" s="48" t="str">
        <f>IFERROR(IF(SEARCH("French",CB4)&gt;0,CHAR(34)&amp;"french"&amp;CHAR(34)&amp;",",""),"")</f>
        <v/>
      </c>
      <c r="GB4" s="48" t="str">
        <f>IFERROR(IF(SEARCH("Spanish",CB4)&gt;0,CHAR(34)&amp;"spanis"&amp;CHAR(34)&amp;",",""),"")</f>
        <v/>
      </c>
      <c r="GE4" s="48" t="str">
        <f>IFERROR(IF(SEARCH("Dutch",CB4)&gt;0,CHAR(34)&amp;"dutchs"&amp;CHAR(34)&amp;",",""),"")</f>
        <v/>
      </c>
      <c r="GF4" s="48" t="str">
        <f>IFERROR(IF(SEARCH("Historical",AU4)&gt;0,CHAR(34)&amp;"histor"&amp;CHAR(34)&amp;",",""),"")</f>
        <v>"histor",</v>
      </c>
      <c r="GG4" s="48" t="str">
        <f>IF(BU4="y",CHAR(34)&amp;"unjack"&amp;CHAR(34)&amp;",","")</f>
        <v/>
      </c>
      <c r="GH4" s="48" t="str">
        <f>IF(CD4=1,CHAR(34)&amp;"southc"&amp;CHAR(34)&amp;",","")</f>
        <v/>
      </c>
      <c r="GI4" s="48" t="str">
        <f>IF(CE4=1,CHAR(34)&amp;"hasmap"&amp;CHAR(34)&amp;",","")</f>
        <v/>
      </c>
      <c r="GJ4" s="48" t="str">
        <f>IF(CP4="y",CHAR(34)&amp;CP$1&amp;CHAR(34)&amp;",","")</f>
        <v>"NoStar",</v>
      </c>
      <c r="GK4" s="48" t="str">
        <f>IF(GJ4="",CHAR(34)&amp;"HasSta"&amp;CHAR(34)&amp;",","")</f>
        <v/>
      </c>
      <c r="GL4" s="48" t="str">
        <f>IF(CQ4="y",CHAR(34)&amp;CQ$1&amp;CHAR(34)&amp;",","")</f>
        <v/>
      </c>
      <c r="GM4" s="48" t="str">
        <f>IF(CR4="y",CHAR(34)&amp;CR$1&amp;CHAR(34)&amp;",","")</f>
        <v/>
      </c>
      <c r="GN4" s="48" t="str">
        <f>IF(CS4="y",CHAR(34)&amp;CS$1&amp;CHAR(34)&amp;",","")</f>
        <v/>
      </c>
      <c r="GP4" s="48" t="str">
        <f>CHAR(34)&amp;AU4&amp;CHAR(34)</f>
        <v>"Historical"</v>
      </c>
      <c r="GS4" s="48" t="str">
        <f>SUBSTITUTE("["&amp;_xlfn.CONCAT(CW4:GN4)&amp;"]",",]","]")</f>
        <v>["3Color","words2","lets11","startB","LUEDHI","year18","dgband","alldia","2Bands","Diagon","Crosse","Unequa","OnlyBa","Rotate","NO_GRE","NO_YEL","NO_BLA","myrEQ","histor","NoStar"]</v>
      </c>
      <c r="GT4" s="48" t="str">
        <f>IF(BL4&lt;&gt;"",CHAR(34)&amp;"cl_"&amp;BL4&amp;CHAR(34)&amp;",","")</f>
        <v/>
      </c>
      <c r="GU4" s="48" t="str">
        <f>IF(BM4&lt;&gt;"",CHAR(34)&amp;"cl_"&amp;BM4&amp;CHAR(34)&amp;",","")</f>
        <v>"cl_BLU",</v>
      </c>
      <c r="GV4" s="48" t="str">
        <f>IF(BN4&lt;&gt;"",CHAR(34)&amp;"cl_"&amp;BN4&amp;CHAR(34)&amp;",","")</f>
        <v/>
      </c>
      <c r="GW4" s="48" t="str">
        <f>IF(BO4&lt;&gt;"",CHAR(34)&amp;"cl_"&amp;BO4&amp;CHAR(34)&amp;",","")</f>
        <v>"cl_RED",</v>
      </c>
      <c r="GX4" s="48" t="str">
        <f>IF(BP4&lt;&gt;"",CHAR(34)&amp;"cl_"&amp;BP4&amp;CHAR(34)&amp;",","")</f>
        <v/>
      </c>
      <c r="GY4" s="48" t="str">
        <f>IF(BQ4&lt;&gt;"",CHAR(34)&amp;"cl_"&amp;BQ4&amp;CHAR(34)&amp;",","")</f>
        <v/>
      </c>
      <c r="GZ4" s="48" t="str">
        <f>IF(BR4&lt;&gt;"",CHAR(34)&amp;"cl_"&amp;BR4&amp;CHAR(34)&amp;",","")</f>
        <v/>
      </c>
      <c r="HA4" s="48" t="str">
        <f>IF(BS4&lt;&gt;"",CHAR(34)&amp;"cl_"&amp;BS4&amp;CHAR(34)&amp;",","")</f>
        <v/>
      </c>
      <c r="HB4" s="48" t="str">
        <f>IF(BT4&lt;&gt;"",CHAR(34)&amp;"cl_"&amp;BT4&amp;CHAR(34)&amp;",","")</f>
        <v>"cl_WHI",</v>
      </c>
      <c r="HC4" s="48" t="str">
        <f>SUBSTITUTE("["&amp;_xlfn.CONCAT(GT4:HB4)&amp;"]",",]","]")</f>
        <v>["cl_BLU","cl_RED","cl_WHI"]</v>
      </c>
      <c r="HE4" s="71"/>
      <c r="HF4" s="72" t="str">
        <f>"{couname:"&amp;CT4&amp;(IF(HK4&lt;&gt;"",",subtype:"&amp;CHAR(34)&amp;HK4&amp;CHAR(34),""))&amp;",year:"&amp;HJ4&amp;",region:"&amp;CU4&amp;",Colors:"&amp;HC4&amp;",Items:"&amp;GS4&amp;",Flag:"&amp;CV4&amp;",HDFlag:"&amp;CHAR(34)&amp;E4&amp;CHAR(34)&amp;",type:"&amp;GP4&amp;", describe: "&amp;HH4&amp;", isnew:"&amp;CHAR(34)&amp;F4&amp;CHAR(34)&amp;", links: "&amp;HL4&amp;"},"</f>
        <v>{couname:"[RSA] Burgers Flag",year:"1874",region:"rgn_Africa",Colors:["cl_BLU","cl_RED","cl_WHI"],Items:["3Color","words2","lets11","startB","LUEDHI","year18","dgband","alldia","2Bands","Diagon","Crosse","Unequa","OnlyBa","Rotate","NO_GRE","NO_YEL","NO_BLA","myrEQ","histor","NoStar"],Flag:"https://upload.wikimedia.org/wikipedia/commons/thumb/0/04/South_African_Burgers_Flag.svg/640px-South_African_Burgers_Flag.svg.png",HDFlag:"https://upload.wikimedia.org/wikipedia/commons/thumb/0/04/South_African_Burgers_Flag.svg/1280px-South_African_Burgers_Flag.svg.png",type:"Historical", describe: "\nThe flag is blue, charged with a red saltire fimbriated in white.", isnew:".", links: "https://en.m.wikipedia.org/wiki/Flag_of_the_South_African_Republic"},</v>
      </c>
      <c r="HG4" s="73" t="str">
        <f>"{couname:"&amp;CT4&amp;(IF(HK4&lt;&gt;"",",subtype:"&amp;CHAR(34)&amp;HK4&amp;CHAR(34),""))&amp;",year:"&amp;HJ4&amp;",region:"&amp;CU4&amp;",Colors:"&amp;HC4&amp;",Items:"&amp;GS4&amp;",Flag:"&amp;CV4&amp;",HDFlag:"&amp;CHAR(34)&amp;E4&amp;CHAR(34)&amp;",type:"&amp;GP4&amp;", describe: "&amp;HI4&amp;", links: "&amp;HL4&amp;"},"</f>
        <v>{couname:"[RSA] Burgers Flag",year:"1874",region:"rgn_Africa",Colors:["cl_BLU","cl_RED","cl_WHI"],Items:["3Color","words2","lets11","startB","LUEDHI","year18","dgband","alldia","2Bands","Diagon","Crosse","Unequa","OnlyBa","Rotate","NO_GRE","NO_YEL","NO_BLA","myrEQ","histor","NoStar"],Flag:"https://upload.wikimedia.org/wikipedia/commons/thumb/0/04/South_African_Burgers_Flag.svg/640px-South_African_Burgers_Flag.svg.png",HDFlag:"https://upload.wikimedia.org/wikipedia/commons/thumb/0/04/South_African_Burgers_Flag.svg/1280px-South_African_Burgers_Flag.svg.png",type:"Historical", describe: "\nThe flag is blue, charged with a red saltire fimbriated in white.", links: "https://en.m.wikipedia.org/wiki/Flag_of_the_South_African_Republic"},</v>
      </c>
      <c r="HH4" s="48" t="str">
        <f>IF(P4&lt;&gt;"",CHAR(34)&amp;"\n"&amp;P4&amp;CHAR(34),CHAR(34)&amp;CHAR(34))</f>
        <v>"\nThe flag is blue, charged with a red saltire fimbriated in white."</v>
      </c>
      <c r="HI4" s="48" t="str">
        <f>IF(J4=0,CHAR(34)&amp;CHAR(34),HH4)</f>
        <v>"\nThe flag is blue, charged with a red saltire fimbriated in white."</v>
      </c>
      <c r="HJ4" s="48" t="str">
        <f>CHAR(34)&amp;O4&amp;CHAR(34)</f>
        <v>"1874"</v>
      </c>
      <c r="HL4" s="48" t="str">
        <f>CHAR(34)&amp;I4&amp;CHAR(34)</f>
        <v>"https://en.m.wikipedia.org/wiki/Flag_of_the_South_African_Republic"</v>
      </c>
      <c r="HM4" s="72"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"&amp;HH4&amp;", "&amp;CHAR(34)&amp;"isnew"&amp;CHAR(34)&amp;": "&amp;CHAR(34)&amp;F4&amp;CHAR(34)&amp;", "&amp;CHAR(34)&amp;"links"&amp;CHAR(34)&amp;": "&amp;HL4&amp;"},"</f>
        <v>{"couname":"[RSA] Burgers Flag","subtype":"[RSA] Other","year":"1874","region":"rgn_Africa","Colors":["cl_BLU","cl_RED","cl_WHI"],"Items":["3Color","words2","lets11","startB","LUEDHI","year18","dgband","alldia","2Bands","Diagon","Crosse","Unequa","OnlyBa","Rotate","NO_GRE","NO_YEL","NO_BLA","myrEQ","histor","NoStar"],"Flag":"https://upload.wikimedia.org/wikipedia/commons/thumb/0/04/South_African_Burgers_Flag.svg/640px-South_African_Burgers_Flag.svg.png","HDFlag":"https://upload.wikimedia.org/wikipedia/commons/thumb/0/04/South_African_Burgers_Flag.svg/1280px-South_African_Burgers_Flag.svg.png","type":"Historical", "describe": "\nThe flag is blue, charged with a red saltire fimbriated in white.", "isnew": ".", "links": "https://en.m.wikipedia.org/wiki/Flag_of_the_South_African_Republic"},</v>
      </c>
      <c r="HN4" s="74"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"&amp;HI4&amp;", "&amp;CHAR(34)&amp;"isnew"&amp;CHAR(34)&amp;": "&amp;CHAR(34)&amp;F4&amp;CHAR(34)&amp;", "&amp;CHAR(34)&amp;"links"&amp;CHAR(34)&amp;": "&amp;HL4&amp;"},"</f>
        <v>{"couname":"[RSA] Burgers Flag","subtype":"[RSA] Other","year":"1874","region":"rgn_Africa","Colors":["cl_BLU","cl_RED","cl_WHI"],"Items":["3Color","words2","lets11","startB","LUEDHI","year18","dgband","alldia","2Bands","Diagon","Crosse","Unequa","OnlyBa","Rotate","NO_GRE","NO_YEL","NO_BLA","myrEQ","histor","NoStar"],"Flag":"https://upload.wikimedia.org/wikipedia/commons/thumb/0/04/South_African_Burgers_Flag.svg/640px-South_African_Burgers_Flag.svg.png","HDFlag":"https://upload.wikimedia.org/wikipedia/commons/thumb/0/04/South_African_Burgers_Flag.svg/1280px-South_African_Burgers_Flag.svg.png","type":"Historical", "describe": "\nThe flag is blue, charged with a red saltire fimbriated in white.", "isnew": ".", "links": "https://en.m.wikipedia.org/wiki/Flag_of_the_South_African_Republic"},</v>
      </c>
      <c r="HO4" s="75">
        <v>45596</v>
      </c>
      <c r="HP4" s="48" t="str" cm="1">
        <f t="array" ref="HP4">IF(_xlfn.TEXTJOIN(", ", TRUE, IF(ISNUMBER(SEARCH("BLA", BL4:BT4)), COLUMN(BL4:BT4) - COLUMN(BL4) + 1, ""))&lt;&gt;"","BLA","")</f>
        <v/>
      </c>
      <c r="HQ4" s="48" t="str" cm="1">
        <f t="array" ref="HQ4">IF(_xlfn.TEXTJOIN(", ", TRUE, IF(ISNUMBER(SEARCH("BLU", BL4:BT4)), COLUMN(BL4:BT4) - COLUMN(BL4) + 1, ""))&lt;&gt;"","BLU","")</f>
        <v>BLU</v>
      </c>
      <c r="HR4" s="48" t="str" cm="1">
        <f t="array" ref="HR4">IF(_xlfn.TEXTJOIN(", ", TRUE, IF(ISNUMBER(SEARCH("GRE", BL4:BT4)), COLUMN(BL4:BT4) - COLUMN(BL4) + 1, ""))&lt;&gt;"","GRE","")</f>
        <v/>
      </c>
      <c r="HS4" s="48" t="str" cm="1">
        <f t="array" ref="HS4">IF(_xlfn.TEXTJOIN(", ", TRUE, IF(ISNUMBER(SEARCH("RED", BL4:BT4)), COLUMN(BL4:BT4) - COLUMN(BL4) + 1, ""))&lt;&gt;"","RED","")</f>
        <v>RED</v>
      </c>
      <c r="HT4" s="48" t="str" cm="1">
        <f t="array" ref="HT4">IF(_xlfn.TEXTJOIN(", ", TRUE, IF(ISNUMBER(SEARCH("YEL", BL4:BT4)), COLUMN(BL4:BT4) - COLUMN(BL4) + 1, ""))&lt;&gt;"","YEL","")</f>
        <v/>
      </c>
      <c r="HU4" s="48" t="str" cm="1">
        <f t="array" ref="HU4">IF(_xlfn.TEXTJOIN(", ", TRUE, IF(ISNUMBER(SEARCH("ORA", BL4:BT4)), COLUMN(BL4:BT4) - COLUMN(BL4) + 1, ""))&lt;&gt;"","ORA","")</f>
        <v/>
      </c>
      <c r="HV4" s="48" t="str" cm="1">
        <f t="array" ref="HV4">IF(_xlfn.TEXTJOIN(", ", TRUE, IF(ISNUMBER(SEARCH("BRO", BL4:BT4)), COLUMN(BL4:BT4) - COLUMN(BL4) + 1, ""))&lt;&gt;"","BRO","")</f>
        <v/>
      </c>
      <c r="HW4" s="48" t="str" cm="1">
        <f t="array" ref="HW4">IF(_xlfn.TEXTJOIN(", ", TRUE, IF(ISNUMBER(SEARCH("PUR", BL4:BT4)), COLUMN(BL4:BT4) - COLUMN(BL4) + 1, ""))&lt;&gt;"","PUR","")</f>
        <v/>
      </c>
      <c r="HX4" s="48" t="str" cm="1">
        <f t="array" ref="HX4">IF(_xlfn.TEXTJOIN(", ", TRUE, IF(ISNUMBER(SEARCH("WHI", BL4:BT4)), COLUMN(BL4:BT4) - COLUMN(BL4) + 1, ""))&lt;&gt;"","WHI","")</f>
        <v>WHI</v>
      </c>
      <c r="HY4" s="76"/>
      <c r="HZ4" s="76"/>
      <c r="IA4" s="6"/>
      <c r="IB4" s="6"/>
      <c r="IC4" s="77"/>
      <c r="ID4" s="77"/>
      <c r="IE4" s="77"/>
      <c r="IF4" s="77"/>
      <c r="IG4" s="77"/>
      <c r="IH4" s="77"/>
      <c r="II4" s="77"/>
      <c r="IJ4" s="77"/>
      <c r="IK4" s="77"/>
      <c r="IM4" s="45">
        <f>COUNTIF(IC4:IK4,"&gt;0")-CG4</f>
        <v>-3</v>
      </c>
      <c r="IN4" s="78" t="str">
        <f>"http://mkweb.bcgsc.ca/color-summarizer/?url="&amp;D4&amp;"&amp;precision=low&amp;num_clusters="&amp;CG4&amp;"&amp;text=1"</f>
        <v>http://mkweb.bcgsc.ca/color-summarizer/?url=https://upload.wikimedia.org/wikipedia/commons/thumb/0/04/South_African_Burgers_Flag.svg/640px-South_African_Burgers_Flag.svg.png&amp;precision=low&amp;num_clusters=3&amp;text=1</v>
      </c>
      <c r="IO4" s="48" t="str">
        <f>IF(HP4&lt;&gt;"",CHAR(34)&amp;"black"&amp;CHAR(34),"")</f>
        <v/>
      </c>
      <c r="IP4" s="48" t="str">
        <f>IF(HQ4&lt;&gt;"",CHAR(34)&amp;"blue"&amp;CHAR(34),"")</f>
        <v>"blue"</v>
      </c>
      <c r="IQ4" s="48" t="str">
        <f>IF(HR4&lt;&gt;"",CHAR(34)&amp;"green"&amp;CHAR(34),"")</f>
        <v/>
      </c>
      <c r="IR4" s="48" t="str">
        <f>IF(HS4&lt;&gt;"",CHAR(34)&amp;"red"&amp;CHAR(34),"")</f>
        <v>"red"</v>
      </c>
      <c r="IS4" s="48" t="str">
        <f>IF(HT4&lt;&gt;"",CHAR(34)&amp;"yellow"&amp;CHAR(34),"")</f>
        <v/>
      </c>
      <c r="IT4" s="48" t="str">
        <f>IF(HU4&lt;&gt;"",CHAR(34)&amp;"orange"&amp;CHAR(34),"")</f>
        <v/>
      </c>
      <c r="IU4" s="48" t="str">
        <f>IF(HV4&lt;&gt;"",CHAR(34)&amp;"brown"&amp;CHAR(34),"")</f>
        <v/>
      </c>
      <c r="IV4" s="48" t="str">
        <f>IF(HW4&lt;&gt;"",CHAR(34)&amp;"purple"&amp;CHAR(34),"")</f>
        <v/>
      </c>
      <c r="IW4" s="48" t="str">
        <f>IF(HX4&lt;&gt;"",CHAR(34)&amp;"white"&amp;CHAR(34),"")</f>
        <v>"white"</v>
      </c>
      <c r="IX4" s="48" t="str">
        <f>"{"&amp;CHAR(34)&amp;"url"&amp;CHAR(34)&amp;":"&amp;CHAR(34)&amp;IN4&amp;CHAR(34)&amp;","&amp;CHAR(34)&amp;"name"&amp;CHAR(34)&amp;":"&amp;CHAR(34)&amp;A4&amp;CHAR(34)&amp;"},"</f>
        <v>{"url":"http://mkweb.bcgsc.ca/color-summarizer/?url=https://upload.wikimedia.org/wikipedia/commons/thumb/0/04/South_African_Burgers_Flag.svg/640px-South_African_Burgers_Flag.svg.png&amp;precision=low&amp;num_clusters=3&amp;text=1","name":"[RSA] Burgers Flag"},</v>
      </c>
      <c r="IY4" s="48">
        <v>1393</v>
      </c>
    </row>
    <row r="5" spans="1:259" s="48" customFormat="1" ht="38.4" customHeight="1" thickBot="1" x14ac:dyDescent="0.35">
      <c r="A5" s="80" t="s">
        <v>348</v>
      </c>
      <c r="B5" s="40" t="e" vm="97">
        <v>#VALUE!</v>
      </c>
      <c r="C5" s="41" t="s">
        <v>173</v>
      </c>
      <c r="D5" s="42" t="s">
        <v>349</v>
      </c>
      <c r="E5" s="43" t="s">
        <v>350</v>
      </c>
      <c r="F5" s="44" t="s">
        <v>163</v>
      </c>
      <c r="G5" s="45">
        <f>COUNTIF($A$1:$A$8405,A5)</f>
        <v>1</v>
      </c>
      <c r="H5" s="46" t="s">
        <v>371</v>
      </c>
      <c r="I5" s="47" t="s">
        <v>351</v>
      </c>
      <c r="J5" s="48" t="str">
        <f>""</f>
        <v/>
      </c>
      <c r="K5" s="49"/>
      <c r="L5" s="50"/>
      <c r="M5" s="50"/>
      <c r="N5" s="51" t="s">
        <v>180</v>
      </c>
      <c r="O5" s="52">
        <v>1857</v>
      </c>
      <c r="P5" s="53" t="s">
        <v>352</v>
      </c>
      <c r="Q5" s="54">
        <v>3</v>
      </c>
      <c r="R5" s="55" t="s">
        <v>180</v>
      </c>
      <c r="S5" s="56">
        <v>7</v>
      </c>
      <c r="T5" s="57" t="s">
        <v>164</v>
      </c>
      <c r="U5" s="58" t="s">
        <v>164</v>
      </c>
      <c r="V5" s="58" t="s">
        <v>167</v>
      </c>
      <c r="W5" s="58" t="s">
        <v>164</v>
      </c>
      <c r="X5" s="58" t="s">
        <v>164</v>
      </c>
      <c r="Y5" s="58" t="s">
        <v>164</v>
      </c>
      <c r="Z5" s="58" t="s">
        <v>164</v>
      </c>
      <c r="AA5" s="58" t="s">
        <v>164</v>
      </c>
      <c r="AB5" s="58" t="s">
        <v>164</v>
      </c>
      <c r="AC5" s="58" t="s">
        <v>164</v>
      </c>
      <c r="AD5" s="58" t="s">
        <v>164</v>
      </c>
      <c r="AE5" s="58" t="s">
        <v>164</v>
      </c>
      <c r="AF5" s="59" t="s">
        <v>164</v>
      </c>
      <c r="AG5" s="59" t="s">
        <v>167</v>
      </c>
      <c r="AH5" s="59" t="s">
        <v>164</v>
      </c>
      <c r="AI5" s="59" t="s">
        <v>167</v>
      </c>
      <c r="AJ5" s="59" t="s">
        <v>164</v>
      </c>
      <c r="AK5" s="59" t="s">
        <v>167</v>
      </c>
      <c r="AL5" s="59" t="s">
        <v>164</v>
      </c>
      <c r="AM5" s="59" t="s">
        <v>164</v>
      </c>
      <c r="AN5" s="59" t="s">
        <v>164</v>
      </c>
      <c r="AO5" s="59" t="s">
        <v>164</v>
      </c>
      <c r="AP5" s="59" t="s">
        <v>164</v>
      </c>
      <c r="AQ5" s="59" t="s">
        <v>164</v>
      </c>
      <c r="AR5" s="59" t="s">
        <v>164</v>
      </c>
      <c r="AS5" s="59" t="s">
        <v>164</v>
      </c>
      <c r="AT5" s="60">
        <v>0</v>
      </c>
      <c r="AU5" s="59" t="s">
        <v>174</v>
      </c>
      <c r="AV5" s="59" t="str">
        <f>IF(LEFT(A5,1)="[",LEFT(A5,5)&amp;AU5&amp;A5,"")</f>
        <v>[RSA]Historical[RSA] Orange Free State</v>
      </c>
      <c r="AW5" s="59" t="str">
        <f>C5&amp;H5&amp;A5</f>
        <v>3b[RSA] Other[RSA] Orange Free State</v>
      </c>
      <c r="AX5" s="61"/>
      <c r="AY5" s="61"/>
      <c r="AZ5" s="62" t="s">
        <v>172</v>
      </c>
      <c r="BA5" s="62" t="s">
        <v>172</v>
      </c>
      <c r="BB5" s="62"/>
      <c r="BC5" s="63"/>
      <c r="BD5" s="64" t="s">
        <v>159</v>
      </c>
      <c r="BE5" s="47"/>
      <c r="BF5" s="64" t="s">
        <v>159</v>
      </c>
      <c r="BG5" s="64" t="s">
        <v>156</v>
      </c>
      <c r="BH5" s="64" t="s">
        <v>159</v>
      </c>
      <c r="BI5" s="64"/>
      <c r="BJ5" s="64"/>
      <c r="BK5" s="47"/>
      <c r="BL5" s="64" t="s">
        <v>172</v>
      </c>
      <c r="BM5" s="64" t="s">
        <v>152</v>
      </c>
      <c r="BN5" s="64" t="s">
        <v>172</v>
      </c>
      <c r="BO5" s="64" t="s">
        <v>154</v>
      </c>
      <c r="BP5" s="64" t="s">
        <v>172</v>
      </c>
      <c r="BQ5" s="64" t="s">
        <v>156</v>
      </c>
      <c r="BR5" s="64" t="s">
        <v>172</v>
      </c>
      <c r="BS5" s="64" t="s">
        <v>172</v>
      </c>
      <c r="BT5" s="64" t="s">
        <v>159</v>
      </c>
      <c r="BU5" s="65" t="s">
        <v>164</v>
      </c>
      <c r="BV5" s="66"/>
      <c r="BW5" s="66">
        <v>0</v>
      </c>
      <c r="BX5" s="47"/>
      <c r="CB5" s="6"/>
      <c r="CC5" s="6"/>
      <c r="CD5" s="67">
        <v>0</v>
      </c>
      <c r="CE5" s="67">
        <v>0</v>
      </c>
      <c r="CF5" s="67" t="e">
        <v>#REF!</v>
      </c>
      <c r="CG5" s="68" cm="1">
        <f t="array" ref="CG5">SUMPRODUCT(--(LEN(TRIM(BL5:BT5))&gt;0))</f>
        <v>4</v>
      </c>
      <c r="CH5" s="59" t="str">
        <f>IF(CG5=2,"y","n")</f>
        <v>n</v>
      </c>
      <c r="CI5" s="59" t="str">
        <f>IF(CG5=3,"y","n")</f>
        <v>n</v>
      </c>
      <c r="CJ5" s="59" t="str">
        <f>IF(CG5=4,"y","n")</f>
        <v>y</v>
      </c>
      <c r="CK5" s="59" t="str">
        <f>IF(CG5&gt;4,"y","n")</f>
        <v>n</v>
      </c>
      <c r="CL5" s="59" t="str">
        <f>IF(S5=0,"y","n")</f>
        <v>n</v>
      </c>
      <c r="CM5" s="59" t="str">
        <f>IF(S5=2,"y","n")</f>
        <v>n</v>
      </c>
      <c r="CN5" s="59" t="str">
        <f>IF(S5=3,"y","n")</f>
        <v>n</v>
      </c>
      <c r="CO5" s="59" t="str">
        <f>IF(S5&gt;=4,"y","n")</f>
        <v>y</v>
      </c>
      <c r="CP5" s="59" t="str">
        <f>IF(AT5=0,"y","n")</f>
        <v>y</v>
      </c>
      <c r="CQ5" s="59" t="str">
        <f>IF(AT5=1,"y","n")</f>
        <v>n</v>
      </c>
      <c r="CR5" s="59" t="str">
        <f>IF(AT5=2,"y","n")</f>
        <v>n</v>
      </c>
      <c r="CS5" s="59" t="str">
        <f>IF(AT5&gt;=3,"y","n")</f>
        <v>n</v>
      </c>
      <c r="CT5" s="69" t="str">
        <f>CHAR(34)&amp;A5&amp;CHAR(34)</f>
        <v>"[RSA] Orange Free State"</v>
      </c>
      <c r="CU5" s="70" t="str">
        <f>CHAR(34)&amp;"rgn_"&amp;R5&amp;CHAR(34)</f>
        <v>"rgn_Africa"</v>
      </c>
      <c r="CV5" s="48" t="str">
        <f>CHAR(34)&amp;D5&amp;CHAR(34)</f>
        <v>"https://upload.wikimedia.org/wikipedia/commons/thumb/6/6b/Flag_of_the_Orange_Free_State.svg/640px-Flag_of_the_Orange_Free_State.svg.png"</v>
      </c>
      <c r="CW5" s="48" t="str">
        <f>IF(CH5="y",CHAR(34)&amp;CH$1&amp;CHAR(34)&amp;",","")</f>
        <v/>
      </c>
      <c r="CX5" s="48" t="str">
        <f>IF(CI5="y",CHAR(34)&amp;CI$1&amp;CHAR(34)&amp;",","")</f>
        <v/>
      </c>
      <c r="CY5" s="48" t="str">
        <f>IF(CJ5="y",CHAR(34)&amp;CJ$1&amp;CHAR(34)&amp;",","")</f>
        <v>"4Color",</v>
      </c>
      <c r="CZ5" s="48" t="str">
        <f>IF(CK5="y",CHAR(34)&amp;CK$1&amp;CHAR(34)&amp;",","")</f>
        <v/>
      </c>
      <c r="DA5" s="48" t="str">
        <f>IF(Q5&gt;1,CHAR(34)&amp;"words2"&amp;CHAR(34)&amp;",","")</f>
        <v>"words2",</v>
      </c>
      <c r="DB5" s="48" t="str">
        <f>IF(Q5&gt;2,CHAR(34)&amp;"words3"&amp;CHAR(34)&amp;",","")</f>
        <v>"words3",</v>
      </c>
      <c r="DD5" s="48" t="str">
        <f>IF(LEN(CHAR(34)&amp;"lets"&amp;LEN(SUBSTITUTE(SUBSTITUTE(IFERROR(TRIM(SUBSTITUTE(A5,MID(A5,FIND("[",A5),FIND("]",A5)-FIND("[",A5)+1),"")),A5)," ",""),"-",""))&amp;CHAR(34)&amp;",")=9,CHAR(34)&amp;"lets"&amp;LEN(SUBSTITUTE(SUBSTITUTE(IFERROR(TRIM(SUBSTITUTE(A5,MID(A5,FIND("[",A5),FIND("]",A5)-FIND("[",A5)+1),"")),A5)," ",""),"-",""))&amp;CHAR(34)&amp;",",CHAR(34)&amp;"lets0"&amp;LEN(SUBSTITUTE(SUBSTITUTE(IFERROR(TRIM(SUBSTITUTE(A5,MID(A5,FIND("[",A5),FIND("]",A5)-FIND("[",A5)+1),"")),A5)," ",""),"-",""))&amp;CHAR(34)&amp;",")</f>
        <v>"lets15",</v>
      </c>
      <c r="DE5" s="48" t="str">
        <f>CHAR(34)&amp;"start"&amp;IFERROR(LEFT(SUBSTITUTE(A5,"["&amp;MID(A5,FIND("[",A5)+1,FIND("]",A5)-FIND("[",A5)-1)&amp;"] ",""),1),LEFT(A5,1))&amp;CHAR(34)&amp;","</f>
        <v>"startO",</v>
      </c>
      <c r="DF5" s="48" t="str">
        <f>IFERROR(IF(SEARCH("tan",A5)&gt;0,CHAR(34)&amp;"withtn"&amp;CHAR(34)&amp;",",""),"")</f>
        <v/>
      </c>
      <c r="DG5" s="48" t="str">
        <f>IFERROR(IF(SEARCH("q",A5)&gt;0,CHAR(34)&amp;"with_q"&amp;CHAR(34)&amp;",",""),"")</f>
        <v/>
      </c>
      <c r="DH5" s="48" t="str">
        <f>IFERROR(IF(SEARCH("v",A5)&gt;0,CHAR(34)&amp;"with_v"&amp;CHAR(34)&amp;",",""),"")</f>
        <v/>
      </c>
      <c r="DI5" s="48" t="str">
        <f>IFERROR(IF(SEARCH("w",A5)&gt;0,CHAR(34)&amp;"with_w"&amp;CHAR(34)&amp;",",""),"")</f>
        <v/>
      </c>
      <c r="DJ5" s="48" t="str">
        <f>IFERROR(IF(SEARCH("y",A5)&gt;0,CHAR(34)&amp;"with_y"&amp;CHAR(34)&amp;",",""),"")</f>
        <v/>
      </c>
      <c r="DK5" s="48" t="str">
        <f>IFERROR(IF(SEARCH("z",A5)&gt;0,CHAR(34)&amp;"with_z"&amp;CHAR(34)&amp;",",""),"")</f>
        <v/>
      </c>
      <c r="DL5" s="48" t="str">
        <f>IF(CG5=2, CHAR(34) &amp; _xlfn.TEXTJOIN("", TRUE, _xlfn._xlws.SORT(HP5:HX5)) &amp; CHAR(34) &amp; ",", "")</f>
        <v/>
      </c>
      <c r="DM5" s="48" t="str" cm="1">
        <f t="array" ref="DM5">IF(CG5=3,CHAR(34) &amp; _xlfn.TEXTJOIN("", TRUE, RIGHT(HP5:HX5, 2)) &amp; CHAR(34) &amp; ",", "")</f>
        <v/>
      </c>
      <c r="DN5" s="48" t="str">
        <f>IF(AND(ISNUMBER(SEARCH("18", O5)), ISERROR(SEARCH("1918", O5)), ISERROR(SEARCH("2018", O5))), CHAR(34) &amp; "year18" &amp; CHAR(34) &amp; ",", "")</f>
        <v>"year18",</v>
      </c>
      <c r="DO5" s="48" t="str">
        <f>IF(AND(ISNUMBER(SEARCH("19", O5)), ISERROR(SEARCH("1819", O5)),  ISERROR(SEARCH("1219", O5)),ISERROR(SEARCH("1119", O5)),ISERROR(SEARCH("1190", O5)),ISERROR(SEARCH("2019", O5))), CHAR(34) &amp; "year19" &amp; CHAR(34) &amp; ",", "")</f>
        <v/>
      </c>
      <c r="DP5" s="6" t="str">
        <f>IF(AND(ISNUMBER(SEARCH("20", O5)), ISERROR(SEARCH("1920", O5))), CHAR(34)&amp;"year00"&amp;CHAR(34)&amp;",", "")</f>
        <v/>
      </c>
      <c r="DQ5" s="6" t="str">
        <f>IF(CC5="y",CHAR(34)&amp;"soviet"&amp;CHAR(34)&amp;",","")</f>
        <v/>
      </c>
      <c r="DR5" s="6" t="str">
        <f>IF(BY5="y",CHAR(34)&amp;"dgband"&amp;CHAR(34)&amp;",","")</f>
        <v/>
      </c>
      <c r="DS5" s="6" t="str">
        <f>IF(W5="y",IF(AND(V5="n",BY5&lt;&gt;"y"),CHAR(34)&amp;"allver"&amp;CHAR(34)&amp;",",""),"")</f>
        <v/>
      </c>
      <c r="DT5" s="6" t="str">
        <f>IF(V5="y",IF(AND(W5="n",BY5&lt;&gt;"y"),CHAR(34)&amp;"allhor"&amp;CHAR(34)&amp;",",""),"")</f>
        <v>"allhor",</v>
      </c>
      <c r="DU5" s="6" t="str">
        <f>IF(BY5="y",IF(AND(W5="n",V5="n"),CHAR(34)&amp;"alldia"&amp;CHAR(34)&amp;",",""),"")</f>
        <v/>
      </c>
      <c r="DW5" s="48" t="str">
        <f>IF(CL5="y",CHAR(34)&amp;CL$1&amp;CHAR(34)&amp;",","")</f>
        <v/>
      </c>
      <c r="DX5" s="48" t="str">
        <f>IF(CM5="y",CHAR(34)&amp;CM$1&amp;CHAR(34)&amp;",","")</f>
        <v/>
      </c>
      <c r="DY5" s="48" t="str">
        <f>IF(CN5="y",CHAR(34)&amp;CN$1&amp;CHAR(34)&amp;",","")</f>
        <v/>
      </c>
      <c r="DZ5" s="48" t="str">
        <f>IF(CO5="y",CHAR(34)&amp;CO$1&amp;CHAR(34)&amp;",","")</f>
        <v>"4+Band",</v>
      </c>
      <c r="EA5" s="48" t="str">
        <f>IF(T5="y",CHAR(34)&amp;T$1&amp;CHAR(34)&amp;",","")</f>
        <v/>
      </c>
      <c r="EB5" s="48" t="str">
        <f>IF(U5="y",CHAR(34)&amp;U$1&amp;CHAR(34)&amp;",","")</f>
        <v/>
      </c>
      <c r="EC5" s="48" t="str">
        <f>IF(V5="y",CHAR(34)&amp;V$1&amp;CHAR(34)&amp;",","")</f>
        <v>"Horizo",</v>
      </c>
      <c r="ED5" s="48" t="str">
        <f>IF(W5="y",CHAR(34)&amp;W$1&amp;CHAR(34)&amp;",","")</f>
        <v/>
      </c>
      <c r="EE5" s="48" t="str">
        <f>IF(X5="y",CHAR(34)&amp;X$1&amp;CHAR(34)&amp;",","")</f>
        <v/>
      </c>
      <c r="EF5" s="48" t="str">
        <f>IF(AND(Y5&lt;&gt;"n",Y5&lt;&gt;""),CHAR(34)&amp;Y$1&amp;CHAR(34)&amp;",","")</f>
        <v/>
      </c>
      <c r="EG5" s="48" t="str">
        <f>IF(Z5="y",CHAR(34)&amp;Z$1&amp;CHAR(34)&amp;",","")</f>
        <v/>
      </c>
      <c r="EH5" s="48" t="str">
        <f>IF(AA5="y",CHAR(34)&amp;AA$1&amp;CHAR(34)&amp;",","")</f>
        <v/>
      </c>
      <c r="EI5" s="48" t="str">
        <f>IF(AB5="y",CHAR(34)&amp;AB$1&amp;CHAR(34)&amp;",","")</f>
        <v/>
      </c>
      <c r="EJ5" s="48" t="str">
        <f>IF(AC5="y",CHAR(34)&amp;AC$1&amp;CHAR(34)&amp;",","")</f>
        <v/>
      </c>
      <c r="EK5" s="48" t="str">
        <f>IF(AD5="y",CHAR(34)&amp;AD$1&amp;CHAR(34)&amp;",","")</f>
        <v/>
      </c>
      <c r="EL5" s="48" t="str">
        <f>IF(AE5="y",CHAR(34)&amp;AE$1&amp;CHAR(34)&amp;",","")</f>
        <v/>
      </c>
      <c r="EM5" s="48" t="str">
        <f>IF(AF5="y",CHAR(34)&amp;AF$1&amp;CHAR(34)&amp;",","")</f>
        <v/>
      </c>
      <c r="EN5" s="48" t="str">
        <f>IF(AG5="y",CHAR(34)&amp;AG$1&amp;CHAR(34)&amp;",","")</f>
        <v>"Unequa",</v>
      </c>
      <c r="EO5" s="48" t="str">
        <f>IF(AH5="y",CHAR(34)&amp;AH$1&amp;CHAR(34)&amp;",","")</f>
        <v/>
      </c>
      <c r="EP5" s="48" t="str">
        <f>IF(AI5="y",CHAR(34)&amp;AI$1&amp;CHAR(34)&amp;",","")</f>
        <v>"Canton",</v>
      </c>
      <c r="EQ5" s="48" t="str">
        <f>IF(AJ5="y",CHAR(34)&amp;AJ$1&amp;CHAR(34)&amp;",","")</f>
        <v/>
      </c>
      <c r="ER5" s="48" t="str">
        <f>IF(AK5="y",CHAR(34)&amp;AK$1&amp;CHAR(34)&amp;",","")</f>
        <v>"OnlyBa",</v>
      </c>
      <c r="ES5" s="48" t="str">
        <f>IF(AL5="y",CHAR(34)&amp;AL$1&amp;CHAR(34)&amp;",","")</f>
        <v/>
      </c>
      <c r="ET5" s="48" t="str">
        <f>IF(AM5="y",CHAR(34)&amp;AM$1&amp;CHAR(34)&amp;",","")</f>
        <v/>
      </c>
      <c r="EU5" s="48" t="str">
        <f>IF(AN5="y",CHAR(34)&amp;AN$1&amp;CHAR(34)&amp;",","")</f>
        <v/>
      </c>
      <c r="EV5" s="48" t="str">
        <f>IF(AO5="y",CHAR(34)&amp;AO$1&amp;CHAR(34)&amp;",","")</f>
        <v/>
      </c>
      <c r="EW5" s="48" t="str">
        <f>IF(AP5="y",CHAR(34)&amp;AP$1&amp;CHAR(34)&amp;",","")</f>
        <v/>
      </c>
      <c r="EX5" s="48" t="str">
        <f>IF(AQ5="y",CHAR(34)&amp;AQ$1&amp;CHAR(34)&amp;",","")</f>
        <v/>
      </c>
      <c r="EY5" s="48" t="str">
        <f>IF(AR5="y",CHAR(34)&amp;AR$1&amp;CHAR(34)&amp;",","")</f>
        <v/>
      </c>
      <c r="EZ5" s="48" t="str">
        <f>IF(AS5="y",CHAR(34)&amp;AS$1&amp;CHAR(34)&amp;",","")</f>
        <v/>
      </c>
      <c r="FA5" s="48" t="str">
        <f>IF(AT5&gt;0,CHAR(34)&amp;"sta"&amp;AZ5&amp;CHAR(34)&amp;",","")</f>
        <v/>
      </c>
      <c r="FB5" s="48" t="str">
        <f>IF(AND(AT5&gt;0,BA5&lt;&gt;""),CHAR(34)&amp;"sta"&amp;BA5&amp;CHAR(34)&amp;",","")</f>
        <v/>
      </c>
      <c r="FD5" s="48" t="str">
        <f>IF(BV5="n",CHAR(34)&amp;"tcWHYE"&amp;CHAR(34)&amp;",",IF(BV5="y",CHAR(34)&amp;FD$1&amp;CHAR(34)&amp;",",""))</f>
        <v/>
      </c>
      <c r="FE5" s="48" t="str">
        <f>IF(COUNTIF(BL5:BT5,"BLU")=0,CHAR(34)&amp;"NO_BLU"&amp;CHAR(34)&amp;",", "")</f>
        <v/>
      </c>
      <c r="FF5" s="48" t="str">
        <f>IF(COUNTIF(BL5:BT5,"WHI")=0,CHAR(34)&amp;"NO_WHI"&amp;CHAR(34)&amp;",", "")</f>
        <v/>
      </c>
      <c r="FG5" s="48" t="str">
        <f>IF(COUNTIF(BL5:BT5,"RED")=0,CHAR(34)&amp;"NO_RED"&amp;CHAR(34)&amp;",", "")</f>
        <v/>
      </c>
      <c r="FH5" s="48" t="str">
        <f>IF(COUNTIF(BL5:BS5,"GRE")=0,CHAR(34)&amp;"NO_GRE"&amp;CHAR(34)&amp;",", "")</f>
        <v>"NO_GRE",</v>
      </c>
      <c r="FI5" s="48" t="str">
        <f>IF(COUNTIF(BL5:BT5,"YEL")=0,CHAR(34)&amp;"NO_YEL"&amp;CHAR(34)&amp;",", "")</f>
        <v>"NO_YEL",</v>
      </c>
      <c r="FJ5" s="48" t="str">
        <f>IF(COUNTIF(BL5:BT5,"BLA")=0,CHAR(34)&amp;"NO_BLA"&amp;CHAR(34)&amp;",", "")</f>
        <v>"NO_BLA",</v>
      </c>
      <c r="FK5" s="48" t="str">
        <f>IF(AND(FH5&lt;&gt;"",FF5&lt;&gt;""),CHAR(34)&amp;"WHGRNO"&amp;CHAR(34)&amp;",","")</f>
        <v/>
      </c>
      <c r="FL5" s="48" t="str">
        <f>IF(AND(FI5&lt;&gt;"",FF5&lt;&gt;""),CHAR(34)&amp;"WHYENO"&amp;CHAR(34)&amp;",","")</f>
        <v/>
      </c>
      <c r="FM5" s="48" t="str">
        <f>IF(AND(FJ5&lt;&gt;"",FF5&lt;&gt;""),CHAR(34)&amp;"BAWHNO"&amp;CHAR(34)&amp;",","")</f>
        <v/>
      </c>
      <c r="FN5" s="48" t="str">
        <f>IF(AND(FE5&lt;&gt;"",FF5&lt;&gt;""),CHAR(34)&amp;"BLWHNO"&amp;CHAR(34)&amp;",","")</f>
        <v/>
      </c>
      <c r="FO5" s="48" t="str">
        <f>IF(AND(FE5&lt;&gt;"",FG5&lt;&gt;""),CHAR(34)&amp;"BLRENO"&amp;CHAR(34)&amp;",","")</f>
        <v/>
      </c>
      <c r="FP5" s="48" t="str">
        <f>IF(AND(FF5&lt;&gt;"",FF5&lt;&gt;""),CHAR(34)&amp;"WHRENO"&amp;CHAR(34)&amp;",","")</f>
        <v/>
      </c>
      <c r="FQ5" s="48" t="str">
        <f>IF(LEN(BF5)=3,CHAR(34)&amp;"001"&amp;BF5&amp;CHAR(34)&amp;",","")</f>
        <v>"001WHI",</v>
      </c>
      <c r="FR5" s="48" t="str">
        <f>IF(LEN(BG5)=3,CHAR(34)&amp;"002"&amp;BG5&amp;CHAR(34)&amp;",","")</f>
        <v>"002ORA",</v>
      </c>
      <c r="FS5" s="48" t="str">
        <f>IF(LEN(BH5)=3,CHAR(34)&amp;"003"&amp;BH5&amp;CHAR(34)&amp;",","")</f>
        <v>"003WHI",</v>
      </c>
      <c r="FT5" s="48" t="str">
        <f>CHAR(34)&amp;"myr"&amp;BD5&amp;CHAR(34)&amp;","</f>
        <v>"myrWHI",</v>
      </c>
      <c r="FU5" s="48" t="str">
        <f>IF(AY5="y",CHAR(34)&amp;"island"&amp;CHAR(34)&amp;",","")</f>
        <v/>
      </c>
      <c r="FV5" s="48" t="str">
        <f>IF(BZ5="y",CHAR(34)&amp;"landlo"&amp;CHAR(34)&amp;",","")</f>
        <v/>
      </c>
      <c r="FW5" s="48" t="str">
        <f>IF(CA5="y",CHAR(34)&amp;"eunion"&amp;CHAR(34)&amp;",","")</f>
        <v/>
      </c>
      <c r="FY5" s="48" t="str">
        <f>IFERROR(IF(SEARCH("Arabic",CB5)&gt;0,CHAR(34)&amp;"arabic"&amp;CHAR(34)&amp;",",""),"")</f>
        <v/>
      </c>
      <c r="FZ5" s="48" t="str">
        <f>IFERROR(IF(SEARCH("English",CB5)&gt;0,CHAR(34)&amp;"englis"&amp;CHAR(34)&amp;",",""),"")</f>
        <v/>
      </c>
      <c r="GA5" s="48" t="str">
        <f>IFERROR(IF(SEARCH("French",CB5)&gt;0,CHAR(34)&amp;"french"&amp;CHAR(34)&amp;",",""),"")</f>
        <v/>
      </c>
      <c r="GB5" s="48" t="str">
        <f>IFERROR(IF(SEARCH("Spanish",CB5)&gt;0,CHAR(34)&amp;"spanis"&amp;CHAR(34)&amp;",",""),"")</f>
        <v/>
      </c>
      <c r="GE5" s="48" t="str">
        <f>IFERROR(IF(SEARCH("Dutch",CB5)&gt;0,CHAR(34)&amp;"dutchs"&amp;CHAR(34)&amp;",",""),"")</f>
        <v/>
      </c>
      <c r="GF5" s="48" t="str">
        <f>IFERROR(IF(SEARCH("Historical",AU5)&gt;0,CHAR(34)&amp;"histor"&amp;CHAR(34)&amp;",",""),"")</f>
        <v>"histor",</v>
      </c>
      <c r="GG5" s="48" t="str">
        <f>IF(BU5="y",CHAR(34)&amp;"unjack"&amp;CHAR(34)&amp;",","")</f>
        <v/>
      </c>
      <c r="GH5" s="48" t="str">
        <f>IF(CD5=1,CHAR(34)&amp;"southc"&amp;CHAR(34)&amp;",","")</f>
        <v/>
      </c>
      <c r="GI5" s="48" t="str">
        <f>IF(CE5=1,CHAR(34)&amp;"hasmap"&amp;CHAR(34)&amp;",","")</f>
        <v/>
      </c>
      <c r="GJ5" s="48" t="str">
        <f>IF(CP5="y",CHAR(34)&amp;CP$1&amp;CHAR(34)&amp;",","")</f>
        <v>"NoStar",</v>
      </c>
      <c r="GK5" s="48" t="str">
        <f>IF(GJ5="",CHAR(34)&amp;"HasSta"&amp;CHAR(34)&amp;",","")</f>
        <v/>
      </c>
      <c r="GL5" s="48" t="str">
        <f>IF(CQ5="y",CHAR(34)&amp;CQ$1&amp;CHAR(34)&amp;",","")</f>
        <v/>
      </c>
      <c r="GM5" s="48" t="str">
        <f>IF(CR5="y",CHAR(34)&amp;CR$1&amp;CHAR(34)&amp;",","")</f>
        <v/>
      </c>
      <c r="GN5" s="48" t="str">
        <f>IF(CS5="y",CHAR(34)&amp;CS$1&amp;CHAR(34)&amp;",","")</f>
        <v/>
      </c>
      <c r="GP5" s="48" t="str">
        <f>CHAR(34)&amp;AU5&amp;CHAR(34)</f>
        <v>"Historical"</v>
      </c>
      <c r="GS5" s="48" t="str">
        <f>SUBSTITUTE("["&amp;_xlfn.CONCAT(CW5:GN5)&amp;"]",",]","]")</f>
        <v>["4Color","words2","words3","lets15","startO","year18","allhor","4+Band","Horizo","Unequa","Canton","OnlyBa","NO_GRE","NO_YEL","NO_BLA","001WHI","002ORA","003WHI","myrWHI","histor","NoStar"]</v>
      </c>
      <c r="GT5" s="48" t="str">
        <f>IF(BL5&lt;&gt;"",CHAR(34)&amp;"cl_"&amp;BL5&amp;CHAR(34)&amp;",","")</f>
        <v/>
      </c>
      <c r="GU5" s="48" t="str">
        <f>IF(BM5&lt;&gt;"",CHAR(34)&amp;"cl_"&amp;BM5&amp;CHAR(34)&amp;",","")</f>
        <v>"cl_BLU",</v>
      </c>
      <c r="GV5" s="48" t="str">
        <f>IF(BN5&lt;&gt;"",CHAR(34)&amp;"cl_"&amp;BN5&amp;CHAR(34)&amp;",","")</f>
        <v/>
      </c>
      <c r="GW5" s="48" t="str">
        <f>IF(BO5&lt;&gt;"",CHAR(34)&amp;"cl_"&amp;BO5&amp;CHAR(34)&amp;",","")</f>
        <v>"cl_RED",</v>
      </c>
      <c r="GX5" s="48" t="str">
        <f>IF(BP5&lt;&gt;"",CHAR(34)&amp;"cl_"&amp;BP5&amp;CHAR(34)&amp;",","")</f>
        <v/>
      </c>
      <c r="GY5" s="48" t="str">
        <f>IF(BQ5&lt;&gt;"",CHAR(34)&amp;"cl_"&amp;BQ5&amp;CHAR(34)&amp;",","")</f>
        <v>"cl_ORA",</v>
      </c>
      <c r="GZ5" s="48" t="str">
        <f>IF(BR5&lt;&gt;"",CHAR(34)&amp;"cl_"&amp;BR5&amp;CHAR(34)&amp;",","")</f>
        <v/>
      </c>
      <c r="HA5" s="48" t="str">
        <f>IF(BS5&lt;&gt;"",CHAR(34)&amp;"cl_"&amp;BS5&amp;CHAR(34)&amp;",","")</f>
        <v/>
      </c>
      <c r="HB5" s="48" t="str">
        <f>IF(BT5&lt;&gt;"",CHAR(34)&amp;"cl_"&amp;BT5&amp;CHAR(34)&amp;",","")</f>
        <v>"cl_WHI",</v>
      </c>
      <c r="HC5" s="48" t="str">
        <f>SUBSTITUTE("["&amp;_xlfn.CONCAT(GT5:HB5)&amp;"]",",]","]")</f>
        <v>["cl_BLU","cl_RED","cl_ORA","cl_WHI"]</v>
      </c>
      <c r="HE5" s="71"/>
      <c r="HF5" s="72" t="str">
        <f>"{couname:"&amp;CT5&amp;(IF(HK5&lt;&gt;"",",subtype:"&amp;CHAR(34)&amp;HK5&amp;CHAR(34),""))&amp;",year:"&amp;HJ5&amp;",region:"&amp;CU5&amp;",Colors:"&amp;HC5&amp;",Items:"&amp;GS5&amp;",Flag:"&amp;CV5&amp;",HDFlag:"&amp;CHAR(34)&amp;E5&amp;CHAR(34)&amp;",type:"&amp;GP5&amp;", describe: "&amp;HH5&amp;", isnew:"&amp;CHAR(34)&amp;F5&amp;CHAR(34)&amp;", links: "&amp;HL5&amp;"},"</f>
        <v>{couname:"[RSA] Orange Free State",year:"1857",region:"rgn_Africa",Colors:["cl_BLU","cl_RED","cl_ORA","cl_WHI"],Items:["4Color","words2","words3","lets15","startO","year18","allhor","4+Band","Horizo","Unequa","Canton","OnlyBa","NO_GRE","NO_YEL","NO_BLA","001WHI","002ORA","003WHI","myrWHI","histor","NoStar"],Flag:"https://upload.wikimedia.org/wikipedia/commons/thumb/6/6b/Flag_of_the_Orange_Free_State.svg/640px-Flag_of_the_Orange_Free_State.svg.png",HDFlag:"https://upload.wikimedia.org/wikipedia/commons/thumb/6/6b/Flag_of_the_Orange_Free_State.svg/1280px-Flag_of_the_Orange_Free_State.svg.png",type:"Historical", describe: "\nThe flag consisted of seven horizontal bands of white (4) and orange (3), with the Dutch flag in the canton.", isnew:".", links: "https://en.m.wikipedia.org/wiki/Flag_of_the_Orange_Free_State"},</v>
      </c>
      <c r="HG5" s="73" t="str">
        <f>"{couname:"&amp;CT5&amp;(IF(HK5&lt;&gt;"",",subtype:"&amp;CHAR(34)&amp;HK5&amp;CHAR(34),""))&amp;",year:"&amp;HJ5&amp;",region:"&amp;CU5&amp;",Colors:"&amp;HC5&amp;",Items:"&amp;GS5&amp;",Flag:"&amp;CV5&amp;",HDFlag:"&amp;CHAR(34)&amp;E5&amp;CHAR(34)&amp;",type:"&amp;GP5&amp;", describe: "&amp;HI5&amp;", links: "&amp;HL5&amp;"},"</f>
        <v>{couname:"[RSA] Orange Free State",year:"1857",region:"rgn_Africa",Colors:["cl_BLU","cl_RED","cl_ORA","cl_WHI"],Items:["4Color","words2","words3","lets15","startO","year18","allhor","4+Band","Horizo","Unequa","Canton","OnlyBa","NO_GRE","NO_YEL","NO_BLA","001WHI","002ORA","003WHI","myrWHI","histor","NoStar"],Flag:"https://upload.wikimedia.org/wikipedia/commons/thumb/6/6b/Flag_of_the_Orange_Free_State.svg/640px-Flag_of_the_Orange_Free_State.svg.png",HDFlag:"https://upload.wikimedia.org/wikipedia/commons/thumb/6/6b/Flag_of_the_Orange_Free_State.svg/1280px-Flag_of_the_Orange_Free_State.svg.png",type:"Historical", describe: "\nThe flag consisted of seven horizontal bands of white (4) and orange (3), with the Dutch flag in the canton.", links: "https://en.m.wikipedia.org/wiki/Flag_of_the_Orange_Free_State"},</v>
      </c>
      <c r="HH5" s="48" t="str">
        <f>IF(P5&lt;&gt;"",CHAR(34)&amp;"\n"&amp;P5&amp;CHAR(34),CHAR(34)&amp;CHAR(34))</f>
        <v>"\nThe flag consisted of seven horizontal bands of white (4) and orange (3), with the Dutch flag in the canton."</v>
      </c>
      <c r="HI5" s="48" t="str">
        <f>IF(J5=0,CHAR(34)&amp;CHAR(34),HH5)</f>
        <v>"\nThe flag consisted of seven horizontal bands of white (4) and orange (3), with the Dutch flag in the canton."</v>
      </c>
      <c r="HJ5" s="48" t="str">
        <f>CHAR(34)&amp;O5&amp;CHAR(34)</f>
        <v>"1857"</v>
      </c>
      <c r="HL5" s="48" t="str">
        <f>CHAR(34)&amp;I5&amp;CHAR(34)</f>
        <v>"https://en.m.wikipedia.org/wiki/Flag_of_the_Orange_Free_State"</v>
      </c>
      <c r="HM5" s="72" t="str">
        <f>"{"&amp;CHAR(34)&amp;"couname"&amp;CHAR(34)&amp;":"&amp;CT5&amp;(IF(H5&lt;&gt;"",","&amp;CHAR(34)&amp;"subtype"&amp;CHAR(34)&amp;":"&amp;CHAR(34)&amp;H5&amp;CHAR(34),""))&amp;","&amp;CHAR(34)&amp;"year"&amp;CHAR(34)&amp;":"&amp;HJ5&amp;","&amp;CHAR(34)&amp;"region"&amp;CHAR(34)&amp;":"&amp;CU5&amp;","&amp;CHAR(34)&amp;"Colors"&amp;CHAR(34)&amp;":"&amp;HC5&amp;","&amp;CHAR(34)&amp;"Items"&amp;CHAR(34)&amp;":"&amp;GS5&amp;","&amp;CHAR(34)&amp;"Flag"&amp;CHAR(34)&amp;":"&amp;CV5&amp;","&amp;CHAR(34)&amp;"HDFlag"&amp;CHAR(34)&amp;":"&amp;CHAR(34)&amp;E5&amp;CHAR(34)&amp;","&amp;CHAR(34)&amp;"type"&amp;CHAR(34)&amp;":"&amp;GP5&amp;", "&amp;CHAR(34)&amp;"describe"&amp;CHAR(34)&amp;": "&amp;HH5&amp;", "&amp;CHAR(34)&amp;"isnew"&amp;CHAR(34)&amp;": "&amp;CHAR(34)&amp;F5&amp;CHAR(34)&amp;", "&amp;CHAR(34)&amp;"links"&amp;CHAR(34)&amp;": "&amp;HL5&amp;"},"</f>
        <v>{"couname":"[RSA] Orange Free State","subtype":"[RSA] Other","year":"1857","region":"rgn_Africa","Colors":["cl_BLU","cl_RED","cl_ORA","cl_WHI"],"Items":["4Color","words2","words3","lets15","startO","year18","allhor","4+Band","Horizo","Unequa","Canton","OnlyBa","NO_GRE","NO_YEL","NO_BLA","001WHI","002ORA","003WHI","myrWHI","histor","NoStar"],"Flag":"https://upload.wikimedia.org/wikipedia/commons/thumb/6/6b/Flag_of_the_Orange_Free_State.svg/640px-Flag_of_the_Orange_Free_State.svg.png","HDFlag":"https://upload.wikimedia.org/wikipedia/commons/thumb/6/6b/Flag_of_the_Orange_Free_State.svg/1280px-Flag_of_the_Orange_Free_State.svg.png","type":"Historical", "describe": "\nThe flag consisted of seven horizontal bands of white (4) and orange (3), with the Dutch flag in the canton.", "isnew": ".", "links": "https://en.m.wikipedia.org/wiki/Flag_of_the_Orange_Free_State"},</v>
      </c>
      <c r="HN5" s="74" t="str">
        <f>"{"&amp;CHAR(34)&amp;"couname"&amp;CHAR(34)&amp;":"&amp;CT5&amp;(IF(H5&lt;&gt;"",","&amp;CHAR(34)&amp;"subtype"&amp;CHAR(34)&amp;":"&amp;CHAR(34)&amp;H5&amp;CHAR(34),""))&amp;","&amp;CHAR(34)&amp;"year"&amp;CHAR(34)&amp;":"&amp;HJ5&amp;","&amp;CHAR(34)&amp;"region"&amp;CHAR(34)&amp;":"&amp;CU5&amp;","&amp;CHAR(34)&amp;"Colors"&amp;CHAR(34)&amp;":"&amp;HC5&amp;","&amp;CHAR(34)&amp;"Items"&amp;CHAR(34)&amp;":"&amp;GS5&amp;","&amp;CHAR(34)&amp;"Flag"&amp;CHAR(34)&amp;":"&amp;CV5&amp;","&amp;CHAR(34)&amp;"HDFlag"&amp;CHAR(34)&amp;":"&amp;CHAR(34)&amp;E5&amp;CHAR(34)&amp;","&amp;CHAR(34)&amp;"type"&amp;CHAR(34)&amp;":"&amp;GP5&amp;", "&amp;CHAR(34)&amp;"describe"&amp;CHAR(34)&amp;": "&amp;HI5&amp;", "&amp;CHAR(34)&amp;"isnew"&amp;CHAR(34)&amp;": "&amp;CHAR(34)&amp;F5&amp;CHAR(34)&amp;", "&amp;CHAR(34)&amp;"links"&amp;CHAR(34)&amp;": "&amp;HL5&amp;"},"</f>
        <v>{"couname":"[RSA] Orange Free State","subtype":"[RSA] Other","year":"1857","region":"rgn_Africa","Colors":["cl_BLU","cl_RED","cl_ORA","cl_WHI"],"Items":["4Color","words2","words3","lets15","startO","year18","allhor","4+Band","Horizo","Unequa","Canton","OnlyBa","NO_GRE","NO_YEL","NO_BLA","001WHI","002ORA","003WHI","myrWHI","histor","NoStar"],"Flag":"https://upload.wikimedia.org/wikipedia/commons/thumb/6/6b/Flag_of_the_Orange_Free_State.svg/640px-Flag_of_the_Orange_Free_State.svg.png","HDFlag":"https://upload.wikimedia.org/wikipedia/commons/thumb/6/6b/Flag_of_the_Orange_Free_State.svg/1280px-Flag_of_the_Orange_Free_State.svg.png","type":"Historical", "describe": "\nThe flag consisted of seven horizontal bands of white (4) and orange (3), with the Dutch flag in the canton.", "isnew": ".", "links": "https://en.m.wikipedia.org/wiki/Flag_of_the_Orange_Free_State"},</v>
      </c>
      <c r="HO5" s="75">
        <v>45596</v>
      </c>
      <c r="HP5" s="48" t="str" cm="1">
        <f t="array" ref="HP5">IF(_xlfn.TEXTJOIN(", ", TRUE, IF(ISNUMBER(SEARCH("BLA", BL5:BT5)), COLUMN(BL5:BT5) - COLUMN(BL5) + 1, ""))&lt;&gt;"","BLA","")</f>
        <v/>
      </c>
      <c r="HQ5" s="48" t="str" cm="1">
        <f t="array" ref="HQ5">IF(_xlfn.TEXTJOIN(", ", TRUE, IF(ISNUMBER(SEARCH("BLU", BL5:BT5)), COLUMN(BL5:BT5) - COLUMN(BL5) + 1, ""))&lt;&gt;"","BLU","")</f>
        <v>BLU</v>
      </c>
      <c r="HR5" s="48" t="str" cm="1">
        <f t="array" ref="HR5">IF(_xlfn.TEXTJOIN(", ", TRUE, IF(ISNUMBER(SEARCH("GRE", BL5:BT5)), COLUMN(BL5:BT5) - COLUMN(BL5) + 1, ""))&lt;&gt;"","GRE","")</f>
        <v/>
      </c>
      <c r="HS5" s="48" t="str" cm="1">
        <f t="array" ref="HS5">IF(_xlfn.TEXTJOIN(", ", TRUE, IF(ISNUMBER(SEARCH("RED", BL5:BT5)), COLUMN(BL5:BT5) - COLUMN(BL5) + 1, ""))&lt;&gt;"","RED","")</f>
        <v>RED</v>
      </c>
      <c r="HT5" s="48" t="str" cm="1">
        <f t="array" ref="HT5">IF(_xlfn.TEXTJOIN(", ", TRUE, IF(ISNUMBER(SEARCH("YEL", BL5:BT5)), COLUMN(BL5:BT5) - COLUMN(BL5) + 1, ""))&lt;&gt;"","YEL","")</f>
        <v/>
      </c>
      <c r="HU5" s="48" t="str" cm="1">
        <f t="array" ref="HU5">IF(_xlfn.TEXTJOIN(", ", TRUE, IF(ISNUMBER(SEARCH("ORA", BL5:BT5)), COLUMN(BL5:BT5) - COLUMN(BL5) + 1, ""))&lt;&gt;"","ORA","")</f>
        <v>ORA</v>
      </c>
      <c r="HV5" s="48" t="str" cm="1">
        <f t="array" ref="HV5">IF(_xlfn.TEXTJOIN(", ", TRUE, IF(ISNUMBER(SEARCH("BRO", BL5:BT5)), COLUMN(BL5:BT5) - COLUMN(BL5) + 1, ""))&lt;&gt;"","BRO","")</f>
        <v/>
      </c>
      <c r="HW5" s="48" t="str" cm="1">
        <f t="array" ref="HW5">IF(_xlfn.TEXTJOIN(", ", TRUE, IF(ISNUMBER(SEARCH("PUR", BL5:BT5)), COLUMN(BL5:BT5) - COLUMN(BL5) + 1, ""))&lt;&gt;"","PUR","")</f>
        <v/>
      </c>
      <c r="HX5" s="48" t="str" cm="1">
        <f t="array" ref="HX5">IF(_xlfn.TEXTJOIN(", ", TRUE, IF(ISNUMBER(SEARCH("WHI", BL5:BT5)), COLUMN(BL5:BT5) - COLUMN(BL5) + 1, ""))&lt;&gt;"","WHI","")</f>
        <v>WHI</v>
      </c>
      <c r="HY5" s="76"/>
      <c r="HZ5" s="76"/>
      <c r="IA5" s="6"/>
      <c r="IB5" s="6"/>
      <c r="IC5" s="77"/>
      <c r="ID5" s="77"/>
      <c r="IE5" s="77"/>
      <c r="IF5" s="77"/>
      <c r="IG5" s="77"/>
      <c r="IH5" s="77"/>
      <c r="II5" s="77"/>
      <c r="IJ5" s="77"/>
      <c r="IK5" s="77"/>
      <c r="IM5" s="45">
        <f>COUNTIF(IC5:IK5,"&gt;0")-CG5</f>
        <v>-4</v>
      </c>
      <c r="IN5" s="78" t="str">
        <f>"http://mkweb.bcgsc.ca/color-summarizer/?url="&amp;D5&amp;"&amp;precision=low&amp;num_clusters="&amp;CG5&amp;"&amp;text=1"</f>
        <v>http://mkweb.bcgsc.ca/color-summarizer/?url=https://upload.wikimedia.org/wikipedia/commons/thumb/6/6b/Flag_of_the_Orange_Free_State.svg/640px-Flag_of_the_Orange_Free_State.svg.png&amp;precision=low&amp;num_clusters=4&amp;text=1</v>
      </c>
      <c r="IO5" s="48" t="str">
        <f>IF(HP5&lt;&gt;"",CHAR(34)&amp;"black"&amp;CHAR(34),"")</f>
        <v/>
      </c>
      <c r="IP5" s="48" t="str">
        <f>IF(HQ5&lt;&gt;"",CHAR(34)&amp;"blue"&amp;CHAR(34),"")</f>
        <v>"blue"</v>
      </c>
      <c r="IQ5" s="48" t="str">
        <f>IF(HR5&lt;&gt;"",CHAR(34)&amp;"green"&amp;CHAR(34),"")</f>
        <v/>
      </c>
      <c r="IR5" s="48" t="str">
        <f>IF(HS5&lt;&gt;"",CHAR(34)&amp;"red"&amp;CHAR(34),"")</f>
        <v>"red"</v>
      </c>
      <c r="IS5" s="48" t="str">
        <f>IF(HT5&lt;&gt;"",CHAR(34)&amp;"yellow"&amp;CHAR(34),"")</f>
        <v/>
      </c>
      <c r="IT5" s="48" t="str">
        <f>IF(HU5&lt;&gt;"",CHAR(34)&amp;"orange"&amp;CHAR(34),"")</f>
        <v>"orange"</v>
      </c>
      <c r="IU5" s="48" t="str">
        <f>IF(HV5&lt;&gt;"",CHAR(34)&amp;"brown"&amp;CHAR(34),"")</f>
        <v/>
      </c>
      <c r="IV5" s="48" t="str">
        <f>IF(HW5&lt;&gt;"",CHAR(34)&amp;"purple"&amp;CHAR(34),"")</f>
        <v/>
      </c>
      <c r="IW5" s="48" t="str">
        <f>IF(HX5&lt;&gt;"",CHAR(34)&amp;"white"&amp;CHAR(34),"")</f>
        <v>"white"</v>
      </c>
      <c r="IX5" s="48" t="str">
        <f>"{"&amp;CHAR(34)&amp;"url"&amp;CHAR(34)&amp;":"&amp;CHAR(34)&amp;IN5&amp;CHAR(34)&amp;","&amp;CHAR(34)&amp;"name"&amp;CHAR(34)&amp;":"&amp;CHAR(34)&amp;A5&amp;CHAR(34)&amp;"},"</f>
        <v>{"url":"http://mkweb.bcgsc.ca/color-summarizer/?url=https://upload.wikimedia.org/wikipedia/commons/thumb/6/6b/Flag_of_the_Orange_Free_State.svg/640px-Flag_of_the_Orange_Free_State.svg.png&amp;precision=low&amp;num_clusters=4&amp;text=1","name":"[RSA] Orange Free State"},</v>
      </c>
      <c r="IY5" s="48">
        <v>1394</v>
      </c>
    </row>
    <row r="6" spans="1:259" s="48" customFormat="1" ht="38.4" customHeight="1" thickBot="1" x14ac:dyDescent="0.35">
      <c r="A6" s="80" t="s">
        <v>359</v>
      </c>
      <c r="B6" s="40" t="e" vm="98">
        <v>#VALUE!</v>
      </c>
      <c r="C6" s="41" t="s">
        <v>173</v>
      </c>
      <c r="D6" s="42" t="s">
        <v>360</v>
      </c>
      <c r="E6" s="43" t="s">
        <v>361</v>
      </c>
      <c r="F6" s="44" t="s">
        <v>163</v>
      </c>
      <c r="G6" s="45">
        <f>COUNTIF($A$1:$A$8405,A6)</f>
        <v>1</v>
      </c>
      <c r="H6" s="46" t="s">
        <v>371</v>
      </c>
      <c r="I6" s="47" t="s">
        <v>362</v>
      </c>
      <c r="J6" s="48" t="str">
        <f>""</f>
        <v/>
      </c>
      <c r="K6" s="49"/>
      <c r="L6" s="50"/>
      <c r="M6" s="50"/>
      <c r="N6" s="51" t="s">
        <v>180</v>
      </c>
      <c r="O6" s="52" t="s">
        <v>363</v>
      </c>
      <c r="P6" s="53" t="s">
        <v>364</v>
      </c>
      <c r="Q6" s="54">
        <v>2</v>
      </c>
      <c r="R6" s="55" t="s">
        <v>180</v>
      </c>
      <c r="S6" s="56">
        <v>3</v>
      </c>
      <c r="T6" s="57" t="s">
        <v>164</v>
      </c>
      <c r="U6" s="58" t="s">
        <v>167</v>
      </c>
      <c r="V6" s="58" t="s">
        <v>167</v>
      </c>
      <c r="W6" s="58" t="s">
        <v>164</v>
      </c>
      <c r="X6" s="58" t="s">
        <v>164</v>
      </c>
      <c r="Y6" s="58" t="s">
        <v>164</v>
      </c>
      <c r="Z6" s="58" t="s">
        <v>164</v>
      </c>
      <c r="AA6" s="58" t="s">
        <v>164</v>
      </c>
      <c r="AB6" s="58" t="s">
        <v>164</v>
      </c>
      <c r="AC6" s="58" t="s">
        <v>164</v>
      </c>
      <c r="AD6" s="58" t="s">
        <v>164</v>
      </c>
      <c r="AE6" s="58" t="s">
        <v>164</v>
      </c>
      <c r="AF6" s="59" t="s">
        <v>164</v>
      </c>
      <c r="AG6" s="59" t="s">
        <v>167</v>
      </c>
      <c r="AH6" s="59" t="s">
        <v>167</v>
      </c>
      <c r="AI6" s="59" t="s">
        <v>164</v>
      </c>
      <c r="AJ6" s="59" t="s">
        <v>164</v>
      </c>
      <c r="AK6" s="59" t="s">
        <v>164</v>
      </c>
      <c r="AL6" s="59" t="s">
        <v>164</v>
      </c>
      <c r="AM6" s="59" t="s">
        <v>164</v>
      </c>
      <c r="AN6" s="59" t="s">
        <v>164</v>
      </c>
      <c r="AO6" s="59" t="s">
        <v>164</v>
      </c>
      <c r="AP6" s="59" t="s">
        <v>164</v>
      </c>
      <c r="AQ6" s="59" t="s">
        <v>164</v>
      </c>
      <c r="AR6" s="59" t="s">
        <v>164</v>
      </c>
      <c r="AS6" s="59" t="s">
        <v>164</v>
      </c>
      <c r="AT6" s="60">
        <v>0</v>
      </c>
      <c r="AU6" s="59" t="s">
        <v>174</v>
      </c>
      <c r="AV6" s="59" t="str">
        <f>IF(LEFT(A6,1)="[",LEFT(A6,5)&amp;AU6&amp;A6,"")</f>
        <v>[RSA]Historical[RSA] South Africa (1928-1994)</v>
      </c>
      <c r="AW6" s="59" t="str">
        <f>C6&amp;H6&amp;A6</f>
        <v>3b[RSA] Other[RSA] South Africa (1928-1994)</v>
      </c>
      <c r="AX6" s="61"/>
      <c r="AY6" s="61"/>
      <c r="AZ6" s="62" t="s">
        <v>172</v>
      </c>
      <c r="BA6" s="62"/>
      <c r="BB6" s="62"/>
      <c r="BC6" s="63"/>
      <c r="BD6" s="64" t="s">
        <v>169</v>
      </c>
      <c r="BE6" s="47"/>
      <c r="BF6" s="64" t="s">
        <v>156</v>
      </c>
      <c r="BG6" s="64" t="s">
        <v>159</v>
      </c>
      <c r="BH6" s="64" t="s">
        <v>152</v>
      </c>
      <c r="BI6" s="64"/>
      <c r="BJ6" s="64"/>
      <c r="BK6" s="47"/>
      <c r="BL6" s="64" t="s">
        <v>172</v>
      </c>
      <c r="BM6" s="64" t="s">
        <v>152</v>
      </c>
      <c r="BN6" s="64" t="s">
        <v>153</v>
      </c>
      <c r="BO6" s="64" t="s">
        <v>154</v>
      </c>
      <c r="BP6" s="64" t="s">
        <v>172</v>
      </c>
      <c r="BQ6" s="64" t="s">
        <v>156</v>
      </c>
      <c r="BR6" s="64" t="s">
        <v>172</v>
      </c>
      <c r="BS6" s="64" t="s">
        <v>172</v>
      </c>
      <c r="BT6" s="64" t="s">
        <v>159</v>
      </c>
      <c r="BU6" s="65"/>
      <c r="BV6" s="66"/>
      <c r="BW6" s="66">
        <v>0</v>
      </c>
      <c r="BX6" s="47"/>
      <c r="CB6" s="6"/>
      <c r="CC6" s="6"/>
      <c r="CD6" s="67">
        <v>0</v>
      </c>
      <c r="CE6" s="67">
        <v>0</v>
      </c>
      <c r="CF6" s="67" t="e">
        <v>#REF!</v>
      </c>
      <c r="CG6" s="68" cm="1">
        <f t="array" ref="CG6">SUMPRODUCT(--(LEN(TRIM(BL6:BT6))&gt;0))</f>
        <v>5</v>
      </c>
      <c r="CH6" s="59" t="str">
        <f>IF(CG6=2,"y","n")</f>
        <v>n</v>
      </c>
      <c r="CI6" s="59" t="str">
        <f>IF(CG6=3,"y","n")</f>
        <v>n</v>
      </c>
      <c r="CJ6" s="59" t="str">
        <f>IF(CG6=4,"y","n")</f>
        <v>n</v>
      </c>
      <c r="CK6" s="59" t="str">
        <f>IF(CG6&gt;4,"y","n")</f>
        <v>y</v>
      </c>
      <c r="CL6" s="59" t="str">
        <f>IF(S6=0,"y","n")</f>
        <v>n</v>
      </c>
      <c r="CM6" s="59" t="str">
        <f>IF(S6=2,"y","n")</f>
        <v>n</v>
      </c>
      <c r="CN6" s="59" t="str">
        <f>IF(S6=3,"y","n")</f>
        <v>y</v>
      </c>
      <c r="CO6" s="59" t="str">
        <f>IF(S6&gt;=4,"y","n")</f>
        <v>n</v>
      </c>
      <c r="CP6" s="59" t="str">
        <f>IF(AT6=0,"y","n")</f>
        <v>y</v>
      </c>
      <c r="CQ6" s="59" t="str">
        <f>IF(AT6=1,"y","n")</f>
        <v>n</v>
      </c>
      <c r="CR6" s="59" t="str">
        <f>IF(AT6=2,"y","n")</f>
        <v>n</v>
      </c>
      <c r="CS6" s="59" t="str">
        <f>IF(AT6&gt;=3,"y","n")</f>
        <v>n</v>
      </c>
      <c r="CT6" s="69" t="str">
        <f>CHAR(34)&amp;A6&amp;CHAR(34)</f>
        <v>"[RSA] South Africa (1928-1994)"</v>
      </c>
      <c r="CU6" s="70" t="str">
        <f>CHAR(34)&amp;"rgn_"&amp;R6&amp;CHAR(34)</f>
        <v>"rgn_Africa"</v>
      </c>
      <c r="CV6" s="48" t="str">
        <f>CHAR(34)&amp;D6&amp;CHAR(34)</f>
        <v>"https://upload.wikimedia.org/wikipedia/commons/thumb/d/dc/Flag_of_South_Africa_%281928-1982%29.svg/640px-Flag_of_South_Africa_%281928-1982%29.svg.png"</v>
      </c>
      <c r="CW6" s="48" t="str">
        <f>IF(CH6="y",CHAR(34)&amp;CH$1&amp;CHAR(34)&amp;",","")</f>
        <v/>
      </c>
      <c r="CX6" s="48" t="str">
        <f>IF(CI6="y",CHAR(34)&amp;CI$1&amp;CHAR(34)&amp;",","")</f>
        <v/>
      </c>
      <c r="CY6" s="48" t="str">
        <f>IF(CJ6="y",CHAR(34)&amp;CJ$1&amp;CHAR(34)&amp;",","")</f>
        <v/>
      </c>
      <c r="CZ6" s="48" t="str">
        <f>IF(CK6="y",CHAR(34)&amp;CK$1&amp;CHAR(34)&amp;",","")</f>
        <v>"5+Colo",</v>
      </c>
      <c r="DA6" s="48" t="str">
        <f>IF(Q6&gt;1,CHAR(34)&amp;"words2"&amp;CHAR(34)&amp;",","")</f>
        <v>"words2",</v>
      </c>
      <c r="DB6" s="48" t="str">
        <f>IF(Q6&gt;2,CHAR(34)&amp;"words3"&amp;CHAR(34)&amp;",","")</f>
        <v/>
      </c>
      <c r="DC6" s="48" t="str">
        <f>IF(Q6=2,CHAR(34)&amp;"exact2"&amp;CHAR(34)&amp;",","")</f>
        <v>"exact2",</v>
      </c>
      <c r="DD6" s="48" t="str">
        <f>IF(LEN(CHAR(34)&amp;"lets"&amp;LEN(SUBSTITUTE(SUBSTITUTE(IFERROR(TRIM(SUBSTITUTE(SUBSTITUTE(SUBSTITUTE(IFERROR(TRIM(SUBSTITUTE(A6,MID(A6,FIND("(",A6),FIND(")",A6)-FIND("(",A6)+1),"")),A6)," ",""),"-",""),MID(SUBSTITUTE(SUBSTITUTE(IFERROR(TRIM(SUBSTITUTE(A6,MID(A6,FIND("(",A6),FIND(")",A6)-FIND("(",A6)+1),"")),A6)," ",""),"-",""),FIND("[",SUBSTITUTE(SUBSTITUTE(IFERROR(TRIM(SUBSTITUTE(A6,MID(A6,FIND("(",A6),FIND(")",A6)-FIND("(",A6)+1),"")),A6)," ",""),"-","")),FIND("]",SUBSTITUTE(SUBSTITUTE(IFERROR(TRIM(SUBSTITUTE(A6,MID(A6,FIND("(",A6),FIND(")",A6)-FIND("(",A6)+1),"")),A6)," ",""),"-",""))-FIND("[",SUBSTITUTE(SUBSTITUTE(IFERROR(TRIM(SUBSTITUTE(A6,MID(A6,FIND("(",A6),FIND(")",A6)-FIND("(",A6)+1),"")),A6)," ",""),"-",""))+1),"")),SUBSTITUTE(SUBSTITUTE(IFERROR(TRIM(SUBSTITUTE(A6,MID(A6,FIND("(",A6),FIND(")",A6)-FIND("(",A6)+1),"")),A6)," ",""),"-",""))," ",""),"-",""))&amp;CHAR(34)&amp;",")=9,CHAR(34)&amp;"lets"&amp;LEN(SUBSTITUTE(SUBSTITUTE(IFERROR(TRIM(SUBSTITUTE(SUBSTITUTE(SUBSTITUTE(IFERROR(TRIM(SUBSTITUTE(A6,MID(A6,FIND("(",A6),FIND(")",A6)-FIND("(",A6)+1),"")),A6)," ",""),"-",""),MID(SUBSTITUTE(SUBSTITUTE(IFERROR(TRIM(SUBSTITUTE(A6,MID(A6,FIND("(",A6),FIND(")",A6)-FIND("(",A6)+1),"")),A6)," ",""),"-",""),FIND("[",SUBSTITUTE(SUBSTITUTE(IFERROR(TRIM(SUBSTITUTE(A6,MID(A6,FIND("(",A6),FIND(")",A6)-FIND("(",A6)+1),"")),A6)," ",""),"-","")),FIND("]",SUBSTITUTE(SUBSTITUTE(IFERROR(TRIM(SUBSTITUTE(A6,MID(A6,FIND("(",A6),FIND(")",A6)-FIND("(",A6)+1),"")),A6)," ",""),"-",""))-FIND("[",SUBSTITUTE(SUBSTITUTE(IFERROR(TRIM(SUBSTITUTE(A6,MID(A6,FIND("(",A6),FIND(")",A6)-FIND("(",A6)+1),"")),A6)," ",""),"-",""))+1),"")),SUBSTITUTE(SUBSTITUTE(IFERROR(TRIM(SUBSTITUTE(A6,MID(A6,FIND("(",A6),FIND(")",A6)-FIND("(",A6)+1),"")),A6)," ",""),"-",""))," ",""),"-",""))&amp;CHAR(34)&amp;",",CHAR(34)&amp;"lets0"&amp;LEN(SUBSTITUTE(SUBSTITUTE(IFERROR(TRIM(SUBSTITUTE(SUBSTITUTE(SUBSTITUTE(IFERROR(TRIM(SUBSTITUTE(A6,MID(A6,FIND("(",A6),FIND(")",A6)-FIND("(",A6)+1),"")),A6)," ",""),"-",""),MID(SUBSTITUTE(SUBSTITUTE(IFERROR(TRIM(SUBSTITUTE(A6,MID(A6,FIND("(",A6),FIND(")",A6)-FIND("(",A6)+1),"")),A6)," ",""),"-",""),FIND("[",SUBSTITUTE(SUBSTITUTE(IFERROR(TRIM(SUBSTITUTE(A6,MID(A6,FIND("(",A6),FIND(")",A6)-FIND("(",A6)+1),"")),A6)," ",""),"-","")),FIND("]",SUBSTITUTE(SUBSTITUTE(IFERROR(TRIM(SUBSTITUTE(A6,MID(A6,FIND("(",A6),FIND(")",A6)-FIND("(",A6)+1),"")),A6)," ",""),"-",""))-FIND("[",SUBSTITUTE(SUBSTITUTE(IFERROR(TRIM(SUBSTITUTE(A6,MID(A6,FIND("(",A6),FIND(")",A6)-FIND("(",A6)+1),"")),A6)," ",""),"-",""))+1),"")),SUBSTITUTE(SUBSTITUTE(IFERROR(TRIM(SUBSTITUTE(A6,MID(A6,FIND("(",A6),FIND(")",A6)-FIND("(",A6)+1),"")),A6)," ",""),"-",""))," ",""),"-",""))&amp;CHAR(34)&amp;",")</f>
        <v>"lets11",</v>
      </c>
      <c r="DE6" s="48" t="str">
        <f>IFERROR(CHAR(34)&amp;"start"&amp;LEFT(TRIM(SUBSTITUTE(SUBSTITUTE(TRIM(SUBSTITUTE(SUBSTITUTE(A6, MID(A6, FIND("[", A6), FIND("]", A6) - FIND("[", A6) + 1), ""), "  ", " ")), MID(TRIM(SUBSTITUTE(SUBSTITUTE(A6, MID(A6, FIND("[", A6), FIND("]", A6) - FIND("[", A6) + 1), ""), "  ", " ")), FIND("[", TRIM(SUBSTITUTE(SUBSTITUTE(A6, MID(A6, FIND("[", A6), FIND("]", A6) - FIND("[", A6) + 1), ""), "  ", " "))), FIND("]", TRIM(SUBSTITUTE(SUBSTITUTE(A6, MID(A6, FIND("[", A6), FIND("]", A6) - FIND("[", A6) + 1), ""), "  ", " "))) - FIND("[", TRIM(SUBSTITUTE(SUBSTITUTE(A6, MID(A6, FIND("[", A6), FIND("]", A6) - FIND("[", A6) + 1), ""), "  ", " "))) + 1), ""), "  ", " ")),1)&amp;CHAR(34)&amp;",",CHAR(34)&amp;"start"&amp;IFERROR(LEFT(SUBSTITUTE(A6,"["&amp;MID(A6,FIND("[",A6)+1,FIND("]",A6)-FIND("[",A6)-1)&amp;"] ",""),1),LEFT(A6,1))&amp;CHAR(34)&amp;",")</f>
        <v>"startS",</v>
      </c>
      <c r="DF6" s="48" t="str">
        <f>IFERROR(IF(SEARCH("tan",A6)&gt;0,CHAR(34)&amp;"withtn"&amp;CHAR(34)&amp;",",""),"")</f>
        <v/>
      </c>
      <c r="DG6" s="48" t="str">
        <f>IFERROR(IF(SEARCH("q",A6)&gt;0,CHAR(34)&amp;"with_q"&amp;CHAR(34)&amp;",",""),"")</f>
        <v/>
      </c>
      <c r="DH6" s="48" t="str">
        <f>IFERROR(IF(SEARCH("v",A6)&gt;0,CHAR(34)&amp;"with_v"&amp;CHAR(34)&amp;",",""),"")</f>
        <v/>
      </c>
      <c r="DI6" s="48" t="str">
        <f>IFERROR(IF(SEARCH("w",A6)&gt;0,CHAR(34)&amp;"with_w"&amp;CHAR(34)&amp;",",""),"")</f>
        <v/>
      </c>
      <c r="DJ6" s="48" t="str">
        <f>IFERROR(IF(SEARCH("y",A6)&gt;0,CHAR(34)&amp;"with_y"&amp;CHAR(34)&amp;",",""),"")</f>
        <v/>
      </c>
      <c r="DK6" s="48" t="str">
        <f>IFERROR(IF(SEARCH("z",A6)&gt;0,CHAR(34)&amp;"with_z"&amp;CHAR(34)&amp;",",""),"")</f>
        <v/>
      </c>
      <c r="DL6" s="48" t="str">
        <f>IF(CG6=2, CHAR(34) &amp; _xlfn.TEXTJOIN("", TRUE, _xlfn._xlws.SORT(HP6:HX6)) &amp; CHAR(34) &amp; ",", "")</f>
        <v/>
      </c>
      <c r="DM6" s="48" t="str" cm="1">
        <f t="array" ref="DM6">IF(CG6=3,CHAR(34) &amp; _xlfn.TEXTJOIN("", TRUE, RIGHT(HP6:HX6, 2)) &amp; CHAR(34) &amp; ",", "")</f>
        <v/>
      </c>
      <c r="DN6" s="48" t="str">
        <f>IF(AND(ISNUMBER(SEARCH("18", O6)), ISERROR(SEARCH("1918", O6)), ISERROR(SEARCH("2018", O6))), CHAR(34) &amp; "year18" &amp; CHAR(34) &amp; ",", "")</f>
        <v/>
      </c>
      <c r="DO6" s="48" t="str">
        <f>IF(AND(ISNUMBER(SEARCH("19", O6)), ISERROR(SEARCH("1819", O6)),  ISERROR(SEARCH("1219", O6)),ISERROR(SEARCH("1119", O6)),ISERROR(SEARCH("1190", O6)),ISERROR(SEARCH("2019", O6))), CHAR(34) &amp; "year19" &amp; CHAR(34) &amp; ",", "")</f>
        <v>"year19",</v>
      </c>
      <c r="DP6" s="6" t="str">
        <f>IF(AND(ISNUMBER(SEARCH("20", O6)), ISERROR(SEARCH("1920", O6))), CHAR(34)&amp;"year00"&amp;CHAR(34)&amp;",", "")</f>
        <v/>
      </c>
      <c r="DQ6" s="6" t="str">
        <f>IF(CC6="y",CHAR(34)&amp;"soviet"&amp;CHAR(34)&amp;",","")</f>
        <v/>
      </c>
      <c r="DR6" s="6" t="str">
        <f>IF(BY6="y",CHAR(34)&amp;"dgband"&amp;CHAR(34)&amp;",","")</f>
        <v/>
      </c>
      <c r="DS6" s="6" t="str">
        <f>IF(W6="y",IF(AND(V6="n",BY6&lt;&gt;"y"),CHAR(34)&amp;"allver"&amp;CHAR(34)&amp;",",""),"")</f>
        <v/>
      </c>
      <c r="DT6" s="6" t="str">
        <f>IF(V6="y",IF(AND(W6="n",BY6&lt;&gt;"y"),CHAR(34)&amp;"allhor"&amp;CHAR(34)&amp;",",""),"")</f>
        <v>"allhor",</v>
      </c>
      <c r="DU6" s="6" t="str">
        <f>IF(BY6="y",IF(AND(W6="n",V6="n"),CHAR(34)&amp;"alldia"&amp;CHAR(34)&amp;",",""),"")</f>
        <v/>
      </c>
      <c r="DV6" s="48" t="str">
        <f>IF(IA6&lt;&gt;"",(IF(IA6="y",CHAR(34)&amp;"largec"&amp;CHAR(34)&amp;",",CHAR(34)&amp;"smallc"&amp;CHAR(34)&amp;",")),"")</f>
        <v>"smallc",</v>
      </c>
      <c r="DW6" s="48" t="str">
        <f>IF(CL6="y",CHAR(34)&amp;CL$1&amp;CHAR(34)&amp;",","")</f>
        <v/>
      </c>
      <c r="DX6" s="48" t="str">
        <f>IF(CM6="y",CHAR(34)&amp;CM$1&amp;CHAR(34)&amp;",","")</f>
        <v/>
      </c>
      <c r="DY6" s="48" t="str">
        <f>IF(CN6="y",CHAR(34)&amp;CN$1&amp;CHAR(34)&amp;",","")</f>
        <v>"3Bands",</v>
      </c>
      <c r="DZ6" s="48" t="str">
        <f>IF(CO6="y",CHAR(34)&amp;CO$1&amp;CHAR(34)&amp;",","")</f>
        <v/>
      </c>
      <c r="EA6" s="48" t="str">
        <f>IF(T6="y",CHAR(34)&amp;T$1&amp;CHAR(34)&amp;",","")</f>
        <v/>
      </c>
      <c r="EB6" s="48" t="str">
        <f>IF(U6="y",CHAR(34)&amp;U$1&amp;CHAR(34)&amp;",","")</f>
        <v>"Crosse",</v>
      </c>
      <c r="EC6" s="48" t="str">
        <f>IF(V6="y",CHAR(34)&amp;V$1&amp;CHAR(34)&amp;",","")</f>
        <v>"Horizo",</v>
      </c>
      <c r="ED6" s="48" t="str">
        <f>IF(W6="y",CHAR(34)&amp;W$1&amp;CHAR(34)&amp;",","")</f>
        <v/>
      </c>
      <c r="EE6" s="48" t="str">
        <f>IF(X6="y",CHAR(34)&amp;X$1&amp;CHAR(34)&amp;",","")</f>
        <v/>
      </c>
      <c r="EF6" s="48" t="str">
        <f>IF(AND(Y6&lt;&gt;"n",Y6&lt;&gt;""),CHAR(34)&amp;Y$1&amp;CHAR(34)&amp;",","")</f>
        <v/>
      </c>
      <c r="EG6" s="48" t="str">
        <f>IF(Z6="y",CHAR(34)&amp;Z$1&amp;CHAR(34)&amp;",","")</f>
        <v/>
      </c>
      <c r="EH6" s="48" t="str">
        <f>IF(AA6="y",CHAR(34)&amp;AA$1&amp;CHAR(34)&amp;",","")</f>
        <v/>
      </c>
      <c r="EI6" s="48" t="str">
        <f>IF(AB6="y",CHAR(34)&amp;AB$1&amp;CHAR(34)&amp;",","")</f>
        <v/>
      </c>
      <c r="EJ6" s="48" t="str">
        <f>IF(AC6="y",CHAR(34)&amp;AC$1&amp;CHAR(34)&amp;",","")</f>
        <v/>
      </c>
      <c r="EK6" s="48" t="str">
        <f>IF(AD6="y",CHAR(34)&amp;AD$1&amp;CHAR(34)&amp;",","")</f>
        <v/>
      </c>
      <c r="EL6" s="48" t="str">
        <f>IF(AE6="y",CHAR(34)&amp;AE$1&amp;CHAR(34)&amp;",","")</f>
        <v/>
      </c>
      <c r="EM6" s="48" t="str">
        <f>IF(AF6="y",CHAR(34)&amp;AF$1&amp;CHAR(34)&amp;",","")</f>
        <v/>
      </c>
      <c r="EN6" s="48" t="str">
        <f>IF(AG6="y",CHAR(34)&amp;AG$1&amp;CHAR(34)&amp;",","")</f>
        <v>"Unequa",</v>
      </c>
      <c r="EO6" s="48" t="str">
        <f>IF(AH6="y",CHAR(34)&amp;AH$1&amp;CHAR(34)&amp;",","")</f>
        <v>"Center",</v>
      </c>
      <c r="EP6" s="48" t="str">
        <f>IF(AI6="y",CHAR(34)&amp;AI$1&amp;CHAR(34)&amp;",","")</f>
        <v/>
      </c>
      <c r="EQ6" s="48" t="str">
        <f>IF(AJ6="y",CHAR(34)&amp;AJ$1&amp;CHAR(34)&amp;",","")</f>
        <v/>
      </c>
      <c r="ER6" s="48" t="str">
        <f>IF(AK6="y",CHAR(34)&amp;AK$1&amp;CHAR(34)&amp;",","")</f>
        <v/>
      </c>
      <c r="ES6" s="48" t="str">
        <f>IF(AL6="y",CHAR(34)&amp;AL$1&amp;CHAR(34)&amp;",","")</f>
        <v/>
      </c>
      <c r="ET6" s="48" t="str">
        <f>IF(AM6="y",CHAR(34)&amp;AM$1&amp;CHAR(34)&amp;",","")</f>
        <v/>
      </c>
      <c r="EU6" s="48" t="str">
        <f>IF(AN6="y",CHAR(34)&amp;AN$1&amp;CHAR(34)&amp;",","")</f>
        <v/>
      </c>
      <c r="EV6" s="48" t="str">
        <f>IF(AO6="y",CHAR(34)&amp;AO$1&amp;CHAR(34)&amp;",","")</f>
        <v/>
      </c>
      <c r="EW6" s="48" t="str">
        <f>IF(AP6="y",CHAR(34)&amp;AP$1&amp;CHAR(34)&amp;",","")</f>
        <v/>
      </c>
      <c r="EX6" s="48" t="str">
        <f>IF(AQ6="y",CHAR(34)&amp;AQ$1&amp;CHAR(34)&amp;",","")</f>
        <v/>
      </c>
      <c r="EY6" s="48" t="str">
        <f>IF(AR6="y",CHAR(34)&amp;AR$1&amp;CHAR(34)&amp;",","")</f>
        <v/>
      </c>
      <c r="EZ6" s="48" t="str">
        <f>IF(AS6="y",CHAR(34)&amp;AS$1&amp;CHAR(34)&amp;",","")</f>
        <v/>
      </c>
      <c r="FA6" s="48" t="str">
        <f>IF(AT6&gt;0,CHAR(34)&amp;"sta"&amp;AZ6&amp;CHAR(34)&amp;",","")</f>
        <v/>
      </c>
      <c r="FB6" s="48" t="str">
        <f>IF(AND(AT6&gt;0,BA6&lt;&gt;""),CHAR(34)&amp;"sta"&amp;BA6&amp;CHAR(34)&amp;",","")</f>
        <v/>
      </c>
      <c r="FC6" s="48" t="str">
        <f>IF(AND(AT6&gt;0,BB6&lt;&gt;""),CHAR(34)&amp;"sta"&amp;BB6&amp;CHAR(34)&amp;",","")</f>
        <v/>
      </c>
      <c r="FD6" s="48" t="str">
        <f>IF(BV6="n",CHAR(34)&amp;"tcWHYE"&amp;CHAR(34)&amp;",",IF(BV6="y",CHAR(34)&amp;FD$1&amp;CHAR(34)&amp;",",""))</f>
        <v/>
      </c>
      <c r="FE6" s="48" t="str">
        <f>IF(COUNTIF(BL6:BT6,"BLU")=0,CHAR(34)&amp;"NO_BLU"&amp;CHAR(34)&amp;",", "")</f>
        <v/>
      </c>
      <c r="FF6" s="48" t="str">
        <f>IF(COUNTIF(BL6:BT6,"WHI")=0,CHAR(34)&amp;"NO_WHI"&amp;CHAR(34)&amp;",", "")</f>
        <v/>
      </c>
      <c r="FG6" s="48" t="str">
        <f>IF(COUNTIF(BL6:BT6,"RED")=0,CHAR(34)&amp;"NO_RED"&amp;CHAR(34)&amp;",", "")</f>
        <v/>
      </c>
      <c r="FH6" s="48" t="str">
        <f>IF(COUNTIF(BL6:BS6,"GRE")=0,CHAR(34)&amp;"NO_GRE"&amp;CHAR(34)&amp;",", "")</f>
        <v/>
      </c>
      <c r="FI6" s="48" t="str">
        <f>IF(COUNTIF(BL6:BT6,"YEL")=0,CHAR(34)&amp;"NO_YEL"&amp;CHAR(34)&amp;",", "")</f>
        <v>"NO_YEL",</v>
      </c>
      <c r="FJ6" s="48" t="str">
        <f>IF(COUNTIF(BL6:BT6,"BLA")=0,CHAR(34)&amp;"NO_BLA"&amp;CHAR(34)&amp;",", "")</f>
        <v>"NO_BLA",</v>
      </c>
      <c r="FK6" s="48" t="str">
        <f>IF(AND(FH6&lt;&gt;"",FF6&lt;&gt;""),CHAR(34)&amp;"WHGRNO"&amp;CHAR(34)&amp;",","")</f>
        <v/>
      </c>
      <c r="FL6" s="48" t="str">
        <f>IF(AND(FI6&lt;&gt;"",FF6&lt;&gt;""),CHAR(34)&amp;"WHYENO"&amp;CHAR(34)&amp;",","")</f>
        <v/>
      </c>
      <c r="FM6" s="48" t="str">
        <f>IF(AND(FJ6&lt;&gt;"",FF6&lt;&gt;""),CHAR(34)&amp;"BAWHNO"&amp;CHAR(34)&amp;",","")</f>
        <v/>
      </c>
      <c r="FN6" s="48" t="str">
        <f>IF(AND(FE6&lt;&gt;"",FF6&lt;&gt;""),CHAR(34)&amp;"BLWHNO"&amp;CHAR(34)&amp;",","")</f>
        <v/>
      </c>
      <c r="FO6" s="48" t="str">
        <f>IF(AND(FE6&lt;&gt;"",FG6&lt;&gt;""),CHAR(34)&amp;"BLRENO"&amp;CHAR(34)&amp;",","")</f>
        <v/>
      </c>
      <c r="FP6" s="48" t="str">
        <f>IF(AND(FF6&lt;&gt;"",FF6&lt;&gt;""),CHAR(34)&amp;"WHRENO"&amp;CHAR(34)&amp;",","")</f>
        <v/>
      </c>
      <c r="FQ6" s="48" t="str">
        <f>IF(LEN(BF6)=3,CHAR(34)&amp;"001"&amp;BF6&amp;CHAR(34)&amp;",","")</f>
        <v>"001ORA",</v>
      </c>
      <c r="FR6" s="48" t="str">
        <f>IF(LEN(BG6)=3,CHAR(34)&amp;"002"&amp;BG6&amp;CHAR(34)&amp;",","")</f>
        <v>"002WHI",</v>
      </c>
      <c r="FS6" s="48" t="str">
        <f>IF(LEN(BH6)=3,CHAR(34)&amp;"003"&amp;BH6&amp;CHAR(34)&amp;",","")</f>
        <v>"003BLU",</v>
      </c>
      <c r="FT6" s="48" t="str">
        <f>CHAR(34)&amp;"myr"&amp;BD6&amp;CHAR(34)&amp;","</f>
        <v>"myrEQ",</v>
      </c>
      <c r="FU6" s="48" t="str">
        <f>IF(AY6="y",CHAR(34)&amp;"island"&amp;CHAR(34)&amp;",","")</f>
        <v/>
      </c>
      <c r="FV6" s="48" t="str">
        <f>IF(BZ6="y",CHAR(34)&amp;"landlo"&amp;CHAR(34)&amp;",","")</f>
        <v/>
      </c>
      <c r="FW6" s="48" t="str">
        <f>IF(CA6="y",CHAR(34)&amp;"eunion"&amp;CHAR(34)&amp;",","")</f>
        <v/>
      </c>
      <c r="FX6" s="48" t="str">
        <f>SUBSTITUTE(IFERROR(SEARCH("[",A6),IFERROR(IF(AND(CA6&lt;&gt;"y",SEARCH("Europe",R6)&gt;0),CHAR(34)&amp;"noeuni"&amp;CHAR(34)&amp;",",""),"")),"1","")</f>
        <v/>
      </c>
      <c r="FY6" s="48" t="str">
        <f>IFERROR(IF(SEARCH("Arabic",CB6)&gt;0,CHAR(34)&amp;"arabic"&amp;CHAR(34)&amp;",",""),"")</f>
        <v/>
      </c>
      <c r="FZ6" s="48" t="str">
        <f>IFERROR(IF(SEARCH("English",CB6)&gt;0,CHAR(34)&amp;"englis"&amp;CHAR(34)&amp;",",""),"")</f>
        <v/>
      </c>
      <c r="GA6" s="48" t="str">
        <f>IFERROR(IF(SEARCH("French",CB6)&gt;0,CHAR(34)&amp;"french"&amp;CHAR(34)&amp;",",""),"")</f>
        <v/>
      </c>
      <c r="GB6" s="48" t="str">
        <f>IFERROR(IF(SEARCH("Spanish",CB6)&gt;0,CHAR(34)&amp;"spanis"&amp;CHAR(34)&amp;",",""),"")</f>
        <v/>
      </c>
      <c r="GC6" s="48" t="str">
        <f>IFERROR(IF(SEARCH("Portuguese",CB6)&gt;0,CHAR(34)&amp;"portug"&amp;CHAR(34)&amp;",",""),"")</f>
        <v/>
      </c>
      <c r="GD6" s="48" t="str">
        <f>IFERROR(IF(SEARCH("German",CB6)&gt;0,CHAR(34)&amp;"german"&amp;CHAR(34)&amp;",",""),"")</f>
        <v/>
      </c>
      <c r="GE6" s="48" t="str">
        <f>IFERROR(IF(SEARCH("Dutch",CB6)&gt;0,CHAR(34)&amp;"dutchs"&amp;CHAR(34)&amp;",",""),"")</f>
        <v/>
      </c>
      <c r="GF6" s="48" t="str">
        <f>IFERROR(IF(SEARCH("Historical",AU6)&gt;0,CHAR(34)&amp;"histor"&amp;CHAR(34)&amp;",",""),"")</f>
        <v>"histor",</v>
      </c>
      <c r="GG6" s="48" t="str">
        <f>IF(BU6="y",CHAR(34)&amp;"unjack"&amp;CHAR(34)&amp;",","")</f>
        <v/>
      </c>
      <c r="GH6" s="48" t="str">
        <f>IF(CD6=1,CHAR(34)&amp;"southc"&amp;CHAR(34)&amp;",","")</f>
        <v/>
      </c>
      <c r="GI6" s="48" t="str">
        <f>IF(CE6=1,CHAR(34)&amp;"hasmap"&amp;CHAR(34)&amp;",","")</f>
        <v/>
      </c>
      <c r="GJ6" s="48" t="str">
        <f>IF(CP6="y",CHAR(34)&amp;CP$1&amp;CHAR(34)&amp;",","")</f>
        <v>"NoStar",</v>
      </c>
      <c r="GK6" s="48" t="str">
        <f>IF(GJ6="",CHAR(34)&amp;"HasSta"&amp;CHAR(34)&amp;",","")</f>
        <v/>
      </c>
      <c r="GL6" s="48" t="str">
        <f>IF(CQ6="y",CHAR(34)&amp;CQ$1&amp;CHAR(34)&amp;",","")</f>
        <v/>
      </c>
      <c r="GM6" s="48" t="str">
        <f>IF(CR6="y",CHAR(34)&amp;CR$1&amp;CHAR(34)&amp;",","")</f>
        <v/>
      </c>
      <c r="GN6" s="48" t="str">
        <f>IF(CS6="y",CHAR(34)&amp;CS$1&amp;CHAR(34)&amp;",","")</f>
        <v/>
      </c>
      <c r="GP6" s="48" t="str">
        <f>CHAR(34)&amp;AU6&amp;CHAR(34)</f>
        <v>"Historical"</v>
      </c>
      <c r="GS6" s="48" t="str">
        <f>SUBSTITUTE("["&amp;_xlfn.CONCAT(CW6:GN6)&amp;"]",",]","]")</f>
        <v>["5+Colo","words2","exact2","lets11","startS","year19","allhor","smallc","3Bands","Crosse","Horizo","Unequa","Center","NO_YEL","NO_BLA","001ORA","002WHI","003BLU","myrEQ","histor","NoStar"]</v>
      </c>
      <c r="GT6" s="48" t="str">
        <f>IF(BL6&lt;&gt;"",CHAR(34)&amp;"cl_"&amp;BL6&amp;CHAR(34)&amp;",","")</f>
        <v/>
      </c>
      <c r="GU6" s="48" t="str">
        <f>IF(BM6&lt;&gt;"",CHAR(34)&amp;"cl_"&amp;BM6&amp;CHAR(34)&amp;",","")</f>
        <v>"cl_BLU",</v>
      </c>
      <c r="GV6" s="48" t="str">
        <f>IF(BN6&lt;&gt;"",CHAR(34)&amp;"cl_"&amp;BN6&amp;CHAR(34)&amp;",","")</f>
        <v>"cl_GRE",</v>
      </c>
      <c r="GW6" s="48" t="str">
        <f>IF(BO6&lt;&gt;"",CHAR(34)&amp;"cl_"&amp;BO6&amp;CHAR(34)&amp;",","")</f>
        <v>"cl_RED",</v>
      </c>
      <c r="GX6" s="48" t="str">
        <f>IF(BP6&lt;&gt;"",CHAR(34)&amp;"cl_"&amp;BP6&amp;CHAR(34)&amp;",","")</f>
        <v/>
      </c>
      <c r="GY6" s="48" t="str">
        <f>IF(BQ6&lt;&gt;"",CHAR(34)&amp;"cl_"&amp;BQ6&amp;CHAR(34)&amp;",","")</f>
        <v>"cl_ORA",</v>
      </c>
      <c r="GZ6" s="48" t="str">
        <f>IF(BR6&lt;&gt;"",CHAR(34)&amp;"cl_"&amp;BR6&amp;CHAR(34)&amp;",","")</f>
        <v/>
      </c>
      <c r="HA6" s="48" t="str">
        <f>IF(BS6&lt;&gt;"",CHAR(34)&amp;"cl_"&amp;BS6&amp;CHAR(34)&amp;",","")</f>
        <v/>
      </c>
      <c r="HB6" s="48" t="str">
        <f>IF(BT6&lt;&gt;"",CHAR(34)&amp;"cl_"&amp;BT6&amp;CHAR(34)&amp;",","")</f>
        <v>"cl_WHI",</v>
      </c>
      <c r="HC6" s="48" t="str">
        <f>SUBSTITUTE("["&amp;_xlfn.CONCAT(GT6:HB6)&amp;"]",",]","]")</f>
        <v>["cl_BLU","cl_GRE","cl_RED","cl_ORA","cl_WHI"]</v>
      </c>
      <c r="HE6" s="71"/>
      <c r="HF6" s="72" t="str">
        <f>"{couname:"&amp;CT6&amp;(IF(HK6&lt;&gt;"",",subtype:"&amp;CHAR(34)&amp;HK6&amp;CHAR(34),""))&amp;",year:"&amp;HJ6&amp;",region:"&amp;CU6&amp;",Colors:"&amp;HC6&amp;",Items:"&amp;GS6&amp;",Flag:"&amp;CV6&amp;",HDFlag:"&amp;CHAR(34)&amp;E6&amp;CHAR(34)&amp;",type:"&amp;GP6&amp;", describe: "&amp;HH6&amp;", isnew:"&amp;CHAR(34)&amp;F6&amp;CHAR(34)&amp;", links: "&amp;HL6&amp;"},"</f>
        <v>{couname:"[RSA] South Africa (1928-1994)",year:"1928",region:"rgn_Africa",Colors:["cl_BLU","cl_GRE","cl_RED","cl_ORA","cl_WHI"],Items:["5+Colo","words2","exact2","lets11","startS","year19","allhor","smallc","3Bands","Crosse","Horizo","Unequa","Center","NO_YEL","NO_BLA","001ORA","002WHI","003BLU","myrEQ","histor","NoStar"],Flag:"https://upload.wikimedia.org/wikipedia/commons/thumb/d/dc/Flag_of_South_Africa_%281928-1982%29.svg/640px-Flag_of_South_Africa_%281928-1982%29.svg.png",HDFlag:"https://upload.wikimedia.org/wikipedia/commons/thumb/d/dc/Flag_of_South_Africa_%281928-1982%29.svg/2560px-Flag_of_South_Africa_%281928-1982%29.svg.png",type:"Historical", describe: "\nThree horizontal bands of orange, white and blue with three small flags (the Union Jack to the left, the vertical version of the flag of the Orange Free State in the center and the flag of the South African Republic to the right) centered on the white band.", isnew:".", links: "https://en.wikipedia.org/wiki/Flag_of_South_Africa_(1928–1994)"},</v>
      </c>
      <c r="HG6" s="73" t="str">
        <f>"{couname:"&amp;CT6&amp;(IF(HK6&lt;&gt;"",",subtype:"&amp;CHAR(34)&amp;HK6&amp;CHAR(34),""))&amp;",year:"&amp;HJ6&amp;",region:"&amp;CU6&amp;",Colors:"&amp;HC6&amp;",Items:"&amp;GS6&amp;",Flag:"&amp;CV6&amp;",HDFlag:"&amp;CHAR(34)&amp;E6&amp;CHAR(34)&amp;",type:"&amp;GP6&amp;", describe: "&amp;HI6&amp;", links: "&amp;HL6&amp;"},"</f>
        <v>{couname:"[RSA] South Africa (1928-1994)",year:"1928",region:"rgn_Africa",Colors:["cl_BLU","cl_GRE","cl_RED","cl_ORA","cl_WHI"],Items:["5+Colo","words2","exact2","lets11","startS","year19","allhor","smallc","3Bands","Crosse","Horizo","Unequa","Center","NO_YEL","NO_BLA","001ORA","002WHI","003BLU","myrEQ","histor","NoStar"],Flag:"https://upload.wikimedia.org/wikipedia/commons/thumb/d/dc/Flag_of_South_Africa_%281928-1982%29.svg/640px-Flag_of_South_Africa_%281928-1982%29.svg.png",HDFlag:"https://upload.wikimedia.org/wikipedia/commons/thumb/d/dc/Flag_of_South_Africa_%281928-1982%29.svg/2560px-Flag_of_South_Africa_%281928-1982%29.svg.png",type:"Historical", describe: "\nThree horizontal bands of orange, white and blue with three small flags (the Union Jack to the left, the vertical version of the flag of the Orange Free State in the center and the flag of the South African Republic to the right) centered on the white band.", links: "https://en.wikipedia.org/wiki/Flag_of_South_Africa_(1928–1994)"},</v>
      </c>
      <c r="HH6" s="48" t="str">
        <f>IF(P6&lt;&gt;"",CHAR(34)&amp;"\n"&amp;P6&amp;CHAR(34),CHAR(34)&amp;CHAR(34))</f>
        <v>"\nThree horizontal bands of orange, white and blue with three small flags (the Union Jack to the left, the vertical version of the flag of the Orange Free State in the center and the flag of the South African Republic to the right) centered on the white band."</v>
      </c>
      <c r="HI6" s="48" t="str">
        <f>IF(J6=0,CHAR(34)&amp;CHAR(34),HH6)</f>
        <v>"\nThree horizontal bands of orange, white and blue with three small flags (the Union Jack to the left, the vertical version of the flag of the Orange Free State in the center and the flag of the South African Republic to the right) centered on the white band."</v>
      </c>
      <c r="HJ6" s="48" t="str">
        <f>CHAR(34)&amp;O6&amp;CHAR(34)</f>
        <v>"1928"</v>
      </c>
      <c r="HL6" s="48" t="str">
        <f>CHAR(34)&amp;I6&amp;CHAR(34)</f>
        <v>"https://en.wikipedia.org/wiki/Flag_of_South_Africa_(1928–1994)"</v>
      </c>
      <c r="HM6" s="72" t="str">
        <f>"{"&amp;CHAR(34)&amp;"couname"&amp;CHAR(34)&amp;":"&amp;CT6&amp;(IF(H6&lt;&gt;"",","&amp;CHAR(34)&amp;"subtype"&amp;CHAR(34)&amp;":"&amp;CHAR(34)&amp;H6&amp;CHAR(34),""))&amp;","&amp;CHAR(34)&amp;"year"&amp;CHAR(34)&amp;":"&amp;HJ6&amp;","&amp;CHAR(34)&amp;"region"&amp;CHAR(34)&amp;":"&amp;CU6&amp;","&amp;CHAR(34)&amp;"Colors"&amp;CHAR(34)&amp;":"&amp;HC6&amp;","&amp;CHAR(34)&amp;"Items"&amp;CHAR(34)&amp;":"&amp;GS6&amp;","&amp;CHAR(34)&amp;"Flag"&amp;CHAR(34)&amp;":"&amp;CV6&amp;","&amp;CHAR(34)&amp;"HDFlag"&amp;CHAR(34)&amp;":"&amp;CHAR(34)&amp;E6&amp;CHAR(34)&amp;","&amp;CHAR(34)&amp;"type"&amp;CHAR(34)&amp;":"&amp;GP6&amp;", "&amp;CHAR(34)&amp;"describe"&amp;CHAR(34)&amp;": "&amp;HH6&amp;", "&amp;CHAR(34)&amp;"isnew"&amp;CHAR(34)&amp;": "&amp;CHAR(34)&amp;F6&amp;CHAR(34)&amp;", "&amp;CHAR(34)&amp;"links"&amp;CHAR(34)&amp;": "&amp;HL6&amp;"},"</f>
        <v>{"couname":"[RSA] South Africa (1928-1994)","subtype":"[RSA] Other","year":"1928","region":"rgn_Africa","Colors":["cl_BLU","cl_GRE","cl_RED","cl_ORA","cl_WHI"],"Items":["5+Colo","words2","exact2","lets11","startS","year19","allhor","smallc","3Bands","Crosse","Horizo","Unequa","Center","NO_YEL","NO_BLA","001ORA","002WHI","003BLU","myrEQ","histor","NoStar"],"Flag":"https://upload.wikimedia.org/wikipedia/commons/thumb/d/dc/Flag_of_South_Africa_%281928-1982%29.svg/640px-Flag_of_South_Africa_%281928-1982%29.svg.png","HDFlag":"https://upload.wikimedia.org/wikipedia/commons/thumb/d/dc/Flag_of_South_Africa_%281928-1982%29.svg/2560px-Flag_of_South_Africa_%281928-1982%29.svg.png","type":"Historical", "describe": "\nThree horizontal bands of orange, white and blue with three small flags (the Union Jack to the left, the vertical version of the flag of the Orange Free State in the center and the flag of the South African Republic to the right) centered on the white band.", "isnew": ".", "links": "https://en.wikipedia.org/wiki/Flag_of_South_Africa_(1928–1994)"},</v>
      </c>
      <c r="HN6" s="74" t="str">
        <f>"{"&amp;CHAR(34)&amp;"couname"&amp;CHAR(34)&amp;":"&amp;CT6&amp;(IF(H6&lt;&gt;"",","&amp;CHAR(34)&amp;"subtype"&amp;CHAR(34)&amp;":"&amp;CHAR(34)&amp;H6&amp;CHAR(34),""))&amp;","&amp;CHAR(34)&amp;"year"&amp;CHAR(34)&amp;":"&amp;HJ6&amp;","&amp;CHAR(34)&amp;"region"&amp;CHAR(34)&amp;":"&amp;CU6&amp;","&amp;CHAR(34)&amp;"Colors"&amp;CHAR(34)&amp;":"&amp;HC6&amp;","&amp;CHAR(34)&amp;"Items"&amp;CHAR(34)&amp;":"&amp;GS6&amp;","&amp;CHAR(34)&amp;"Flag"&amp;CHAR(34)&amp;":"&amp;CV6&amp;","&amp;CHAR(34)&amp;"HDFlag"&amp;CHAR(34)&amp;":"&amp;CHAR(34)&amp;E6&amp;CHAR(34)&amp;","&amp;CHAR(34)&amp;"type"&amp;CHAR(34)&amp;":"&amp;GP6&amp;", "&amp;CHAR(34)&amp;"describe"&amp;CHAR(34)&amp;": "&amp;HI6&amp;", "&amp;CHAR(34)&amp;"isnew"&amp;CHAR(34)&amp;": "&amp;CHAR(34)&amp;F6&amp;CHAR(34)&amp;", "&amp;CHAR(34)&amp;"links"&amp;CHAR(34)&amp;": "&amp;HL6&amp;"},"</f>
        <v>{"couname":"[RSA] South Africa (1928-1994)","subtype":"[RSA] Other","year":"1928","region":"rgn_Africa","Colors":["cl_BLU","cl_GRE","cl_RED","cl_ORA","cl_WHI"],"Items":["5+Colo","words2","exact2","lets11","startS","year19","allhor","smallc","3Bands","Crosse","Horizo","Unequa","Center","NO_YEL","NO_BLA","001ORA","002WHI","003BLU","myrEQ","histor","NoStar"],"Flag":"https://upload.wikimedia.org/wikipedia/commons/thumb/d/dc/Flag_of_South_Africa_%281928-1982%29.svg/640px-Flag_of_South_Africa_%281928-1982%29.svg.png","HDFlag":"https://upload.wikimedia.org/wikipedia/commons/thumb/d/dc/Flag_of_South_Africa_%281928-1982%29.svg/2560px-Flag_of_South_Africa_%281928-1982%29.svg.png","type":"Historical", "describe": "\nThree horizontal bands of orange, white and blue with three small flags (the Union Jack to the left, the vertical version of the flag of the Orange Free State in the center and the flag of the South African Republic to the right) centered on the white band.", "isnew": ".", "links": "https://en.wikipedia.org/wiki/Flag_of_South_Africa_(1928–1994)"},</v>
      </c>
      <c r="HO6" s="75"/>
      <c r="HP6" s="48" t="str" cm="1">
        <f t="array" ref="HP6">IF(_xlfn.TEXTJOIN(", ", TRUE, IF(ISNUMBER(SEARCH("BLA", BL6:BT6)), COLUMN(BL6:BT6) - COLUMN(BL6) + 1, ""))&lt;&gt;"","BLA","")</f>
        <v/>
      </c>
      <c r="HQ6" s="48" t="str" cm="1">
        <f t="array" ref="HQ6">IF(_xlfn.TEXTJOIN(", ", TRUE, IF(ISNUMBER(SEARCH("BLU", BL6:BT6)), COLUMN(BL6:BT6) - COLUMN(BL6) + 1, ""))&lt;&gt;"","BLU","")</f>
        <v>BLU</v>
      </c>
      <c r="HR6" s="48" t="str" cm="1">
        <f t="array" ref="HR6">IF(_xlfn.TEXTJOIN(", ", TRUE, IF(ISNUMBER(SEARCH("GRE", BL6:BT6)), COLUMN(BL6:BT6) - COLUMN(BL6) + 1, ""))&lt;&gt;"","GRE","")</f>
        <v>GRE</v>
      </c>
      <c r="HS6" s="48" t="str" cm="1">
        <f t="array" ref="HS6">IF(_xlfn.TEXTJOIN(", ", TRUE, IF(ISNUMBER(SEARCH("RED", BL6:BT6)), COLUMN(BL6:BT6) - COLUMN(BL6) + 1, ""))&lt;&gt;"","RED","")</f>
        <v>RED</v>
      </c>
      <c r="HT6" s="48" t="str" cm="1">
        <f t="array" ref="HT6">IF(_xlfn.TEXTJOIN(", ", TRUE, IF(ISNUMBER(SEARCH("YEL", BL6:BT6)), COLUMN(BL6:BT6) - COLUMN(BL6) + 1, ""))&lt;&gt;"","YEL","")</f>
        <v/>
      </c>
      <c r="HU6" s="48" t="str" cm="1">
        <f t="array" ref="HU6">IF(_xlfn.TEXTJOIN(", ", TRUE, IF(ISNUMBER(SEARCH("ORA", BL6:BT6)), COLUMN(BL6:BT6) - COLUMN(BL6) + 1, ""))&lt;&gt;"","ORA","")</f>
        <v>ORA</v>
      </c>
      <c r="HV6" s="48" t="str" cm="1">
        <f t="array" ref="HV6">IF(_xlfn.TEXTJOIN(", ", TRUE, IF(ISNUMBER(SEARCH("BRO", BL6:BT6)), COLUMN(BL6:BT6) - COLUMN(BL6) + 1, ""))&lt;&gt;"","BRO","")</f>
        <v/>
      </c>
      <c r="HW6" s="48" t="str" cm="1">
        <f t="array" ref="HW6">IF(_xlfn.TEXTJOIN(", ", TRUE, IF(ISNUMBER(SEARCH("PUR", BL6:BT6)), COLUMN(BL6:BT6) - COLUMN(BL6) + 1, ""))&lt;&gt;"","PUR","")</f>
        <v/>
      </c>
      <c r="HX6" s="48" t="str" cm="1">
        <f t="array" ref="HX6">IF(_xlfn.TEXTJOIN(", ", TRUE, IF(ISNUMBER(SEARCH("WHI", BL6:BT6)), COLUMN(BL6:BT6) - COLUMN(BL6) + 1, ""))&lt;&gt;"","WHI","")</f>
        <v>WHI</v>
      </c>
      <c r="HY6" s="76"/>
      <c r="HZ6" s="76"/>
      <c r="IA6" s="6" t="s">
        <v>164</v>
      </c>
      <c r="IB6" s="6"/>
      <c r="IC6" s="77"/>
      <c r="ID6" s="77"/>
      <c r="IE6" s="77"/>
      <c r="IF6" s="77"/>
      <c r="IG6" s="77"/>
      <c r="IH6" s="77"/>
      <c r="II6" s="77"/>
      <c r="IJ6" s="77"/>
      <c r="IK6" s="77"/>
      <c r="IL6" s="48">
        <f>SUM(IC6:IK6)</f>
        <v>0</v>
      </c>
      <c r="IM6" s="45">
        <f>COUNTIF(IC6:IK6,"&gt;0")-CG6</f>
        <v>-5</v>
      </c>
      <c r="IN6" s="78" t="str">
        <f>"http://mkweb.bcgsc.ca/color-summarizer/?url="&amp;D6&amp;"&amp;precision=low&amp;num_clusters="&amp;CG6&amp;"&amp;text=1"</f>
        <v>http://mkweb.bcgsc.ca/color-summarizer/?url=https://upload.wikimedia.org/wikipedia/commons/thumb/d/dc/Flag_of_South_Africa_%281928-1982%29.svg/640px-Flag_of_South_Africa_%281928-1982%29.svg.png&amp;precision=low&amp;num_clusters=5&amp;text=1</v>
      </c>
      <c r="IO6" s="48" t="str">
        <f>IF(HP6&lt;&gt;"",CHAR(34)&amp;"black"&amp;CHAR(34),"")</f>
        <v/>
      </c>
      <c r="IP6" s="48" t="str">
        <f>IF(HQ6&lt;&gt;"",CHAR(34)&amp;"blue"&amp;CHAR(34),"")</f>
        <v>"blue"</v>
      </c>
      <c r="IQ6" s="48" t="str">
        <f>IF(HR6&lt;&gt;"",CHAR(34)&amp;"green"&amp;CHAR(34),"")</f>
        <v>"green"</v>
      </c>
      <c r="IR6" s="48" t="str">
        <f>IF(HS6&lt;&gt;"",CHAR(34)&amp;"red"&amp;CHAR(34),"")</f>
        <v>"red"</v>
      </c>
      <c r="IS6" s="48" t="str">
        <f>IF(HT6&lt;&gt;"",CHAR(34)&amp;"yellow"&amp;CHAR(34),"")</f>
        <v/>
      </c>
      <c r="IT6" s="48" t="str">
        <f>IF(HU6&lt;&gt;"",CHAR(34)&amp;"orange"&amp;CHAR(34),"")</f>
        <v>"orange"</v>
      </c>
      <c r="IU6" s="48" t="str">
        <f>IF(HV6&lt;&gt;"",CHAR(34)&amp;"brown"&amp;CHAR(34),"")</f>
        <v/>
      </c>
      <c r="IV6" s="48" t="str">
        <f>IF(HW6&lt;&gt;"",CHAR(34)&amp;"purple"&amp;CHAR(34),"")</f>
        <v/>
      </c>
      <c r="IW6" s="48" t="str">
        <f>IF(HX6&lt;&gt;"",CHAR(34)&amp;"white"&amp;CHAR(34),"")</f>
        <v>"white"</v>
      </c>
      <c r="IX6" s="48" t="str">
        <f>"{"&amp;CHAR(34)&amp;"url"&amp;CHAR(34)&amp;":"&amp;CHAR(34)&amp;IN6&amp;CHAR(34)&amp;","&amp;CHAR(34)&amp;"name"&amp;CHAR(34)&amp;":"&amp;CHAR(34)&amp;A6&amp;CHAR(34)&amp;"},"</f>
        <v>{"url":"http://mkweb.bcgsc.ca/color-summarizer/?url=https://upload.wikimedia.org/wikipedia/commons/thumb/d/dc/Flag_of_South_Africa_%281928-1982%29.svg/640px-Flag_of_South_Africa_%281928-1982%29.svg.png&amp;precision=low&amp;num_clusters=5&amp;text=1","name":"[RSA] South Africa (1928-1994)"},</v>
      </c>
      <c r="IY6" s="48">
        <v>723</v>
      </c>
    </row>
    <row r="7" spans="1:259" s="48" customFormat="1" ht="38.4" customHeight="1" thickBot="1" x14ac:dyDescent="0.35">
      <c r="A7" s="80" t="s">
        <v>365</v>
      </c>
      <c r="B7" s="40" t="e" vm="99">
        <v>#VALUE!</v>
      </c>
      <c r="C7" s="41" t="s">
        <v>173</v>
      </c>
      <c r="D7" s="42" t="s">
        <v>366</v>
      </c>
      <c r="E7" s="43" t="s">
        <v>367</v>
      </c>
      <c r="F7" s="44" t="s">
        <v>163</v>
      </c>
      <c r="G7" s="45">
        <f>COUNTIF($A$1:$A$8405,A7)</f>
        <v>1</v>
      </c>
      <c r="H7" s="46" t="s">
        <v>371</v>
      </c>
      <c r="I7" s="47" t="s">
        <v>340</v>
      </c>
      <c r="J7" s="48" t="str">
        <f>""</f>
        <v/>
      </c>
      <c r="K7" s="49"/>
      <c r="L7" s="50"/>
      <c r="M7" s="50"/>
      <c r="N7" s="51" t="s">
        <v>180</v>
      </c>
      <c r="O7" s="52" t="s">
        <v>368</v>
      </c>
      <c r="P7" s="53" t="s">
        <v>369</v>
      </c>
      <c r="Q7" s="54">
        <v>1</v>
      </c>
      <c r="R7" s="55" t="s">
        <v>180</v>
      </c>
      <c r="S7" s="56">
        <v>4</v>
      </c>
      <c r="T7" s="57" t="s">
        <v>164</v>
      </c>
      <c r="U7" s="58" t="s">
        <v>164</v>
      </c>
      <c r="V7" s="58" t="s">
        <v>167</v>
      </c>
      <c r="W7" s="58" t="s">
        <v>167</v>
      </c>
      <c r="X7" s="58" t="s">
        <v>164</v>
      </c>
      <c r="Y7" s="58" t="s">
        <v>164</v>
      </c>
      <c r="Z7" s="58" t="s">
        <v>164</v>
      </c>
      <c r="AA7" s="58" t="s">
        <v>164</v>
      </c>
      <c r="AB7" s="58" t="s">
        <v>164</v>
      </c>
      <c r="AC7" s="58" t="s">
        <v>164</v>
      </c>
      <c r="AD7" s="58" t="s">
        <v>164</v>
      </c>
      <c r="AE7" s="58" t="s">
        <v>164</v>
      </c>
      <c r="AF7" s="59" t="s">
        <v>164</v>
      </c>
      <c r="AG7" s="59" t="s">
        <v>167</v>
      </c>
      <c r="AH7" s="59" t="s">
        <v>164</v>
      </c>
      <c r="AI7" s="59" t="s">
        <v>164</v>
      </c>
      <c r="AJ7" s="59" t="s">
        <v>164</v>
      </c>
      <c r="AK7" s="59" t="s">
        <v>167</v>
      </c>
      <c r="AL7" s="59" t="s">
        <v>164</v>
      </c>
      <c r="AM7" s="59" t="s">
        <v>164</v>
      </c>
      <c r="AN7" s="59" t="s">
        <v>164</v>
      </c>
      <c r="AO7" s="59" t="s">
        <v>164</v>
      </c>
      <c r="AP7" s="59" t="s">
        <v>164</v>
      </c>
      <c r="AQ7" s="59" t="s">
        <v>164</v>
      </c>
      <c r="AR7" s="59" t="s">
        <v>164</v>
      </c>
      <c r="AS7" s="59" t="s">
        <v>164</v>
      </c>
      <c r="AT7" s="60">
        <v>0</v>
      </c>
      <c r="AU7" s="59" t="s">
        <v>174</v>
      </c>
      <c r="AV7" s="59" t="str">
        <f>IF(LEFT(A7,1)="[",LEFT(A7,5)&amp;AU7&amp;A7,"")</f>
        <v>[RSA]Historical[RSA] Vierkleur</v>
      </c>
      <c r="AW7" s="59" t="str">
        <f>C7&amp;H7&amp;A7</f>
        <v>3b[RSA] Other[RSA] Vierkleur</v>
      </c>
      <c r="AX7" s="61"/>
      <c r="AY7" s="61"/>
      <c r="AZ7" s="62" t="s">
        <v>172</v>
      </c>
      <c r="BA7" s="62" t="s">
        <v>172</v>
      </c>
      <c r="BB7" s="62"/>
      <c r="BC7" s="63"/>
      <c r="BD7" s="64" t="s">
        <v>169</v>
      </c>
      <c r="BE7" s="47"/>
      <c r="BF7" s="64"/>
      <c r="BG7" s="64"/>
      <c r="BH7" s="64"/>
      <c r="BI7" s="64"/>
      <c r="BJ7" s="64"/>
      <c r="BK7" s="47"/>
      <c r="BL7" s="64" t="s">
        <v>172</v>
      </c>
      <c r="BM7" s="64" t="s">
        <v>152</v>
      </c>
      <c r="BN7" s="64" t="s">
        <v>153</v>
      </c>
      <c r="BO7" s="64" t="s">
        <v>154</v>
      </c>
      <c r="BP7" s="64" t="s">
        <v>172</v>
      </c>
      <c r="BQ7" s="64" t="s">
        <v>172</v>
      </c>
      <c r="BR7" s="64" t="s">
        <v>172</v>
      </c>
      <c r="BS7" s="64" t="s">
        <v>172</v>
      </c>
      <c r="BT7" s="64" t="s">
        <v>159</v>
      </c>
      <c r="BU7" s="65"/>
      <c r="BV7" s="66"/>
      <c r="BW7" s="66">
        <v>0</v>
      </c>
      <c r="BX7" s="47"/>
      <c r="CB7" s="6"/>
      <c r="CC7" s="6"/>
      <c r="CD7" s="67">
        <v>0</v>
      </c>
      <c r="CE7" s="67">
        <v>0</v>
      </c>
      <c r="CF7" s="67" t="e">
        <v>#REF!</v>
      </c>
      <c r="CG7" s="68" cm="1">
        <f t="array" ref="CG7">SUMPRODUCT(--(LEN(TRIM(BL7:BT7))&gt;0))</f>
        <v>4</v>
      </c>
      <c r="CH7" s="59" t="str">
        <f>IF(CG7=2,"y","n")</f>
        <v>n</v>
      </c>
      <c r="CI7" s="59" t="str">
        <f>IF(CG7=3,"y","n")</f>
        <v>n</v>
      </c>
      <c r="CJ7" s="59" t="str">
        <f>IF(CG7=4,"y","n")</f>
        <v>y</v>
      </c>
      <c r="CK7" s="59" t="str">
        <f>IF(CG7&gt;4,"y","n")</f>
        <v>n</v>
      </c>
      <c r="CL7" s="59" t="str">
        <f>IF(S7=0,"y","n")</f>
        <v>n</v>
      </c>
      <c r="CM7" s="59" t="str">
        <f>IF(S7=2,"y","n")</f>
        <v>n</v>
      </c>
      <c r="CN7" s="59" t="str">
        <f>IF(S7=3,"y","n")</f>
        <v>n</v>
      </c>
      <c r="CO7" s="59" t="str">
        <f>IF(S7&gt;=4,"y","n")</f>
        <v>y</v>
      </c>
      <c r="CP7" s="59" t="str">
        <f>IF(AT7=0,"y","n")</f>
        <v>y</v>
      </c>
      <c r="CQ7" s="59" t="str">
        <f>IF(AT7=1,"y","n")</f>
        <v>n</v>
      </c>
      <c r="CR7" s="59" t="str">
        <f>IF(AT7=2,"y","n")</f>
        <v>n</v>
      </c>
      <c r="CS7" s="59" t="str">
        <f>IF(AT7&gt;=3,"y","n")</f>
        <v>n</v>
      </c>
      <c r="CT7" s="69" t="str">
        <f>CHAR(34)&amp;A7&amp;CHAR(34)</f>
        <v>"[RSA] Vierkleur"</v>
      </c>
      <c r="CU7" s="70" t="str">
        <f>CHAR(34)&amp;"rgn_"&amp;R7&amp;CHAR(34)</f>
        <v>"rgn_Africa"</v>
      </c>
      <c r="CV7" s="48" t="str">
        <f>CHAR(34)&amp;D7&amp;CHAR(34)</f>
        <v>"https://upload.wikimedia.org/wikipedia/commons/thumb/d/d0/Flag_of_Transvaal.svg/640px-Flag_of_Transvaal.svg.png"</v>
      </c>
      <c r="CW7" s="48" t="str">
        <f>IF(CH7="y",CHAR(34)&amp;CH$1&amp;CHAR(34)&amp;",","")</f>
        <v/>
      </c>
      <c r="CX7" s="48" t="str">
        <f>IF(CI7="y",CHAR(34)&amp;CI$1&amp;CHAR(34)&amp;",","")</f>
        <v/>
      </c>
      <c r="CY7" s="48" t="str">
        <f>IF(CJ7="y",CHAR(34)&amp;CJ$1&amp;CHAR(34)&amp;",","")</f>
        <v>"4Color",</v>
      </c>
      <c r="CZ7" s="48" t="str">
        <f>IF(CK7="y",CHAR(34)&amp;CK$1&amp;CHAR(34)&amp;",","")</f>
        <v/>
      </c>
      <c r="DA7" s="48" t="str">
        <f>IF(Q7&gt;1,CHAR(34)&amp;"words2"&amp;CHAR(34)&amp;",","")</f>
        <v/>
      </c>
      <c r="DB7" s="48" t="str">
        <f>IF(Q7&gt;2,CHAR(34)&amp;"words3"&amp;CHAR(34)&amp;",","")</f>
        <v/>
      </c>
      <c r="DD7" s="48" t="str">
        <f>IF(LEN(CHAR(34)&amp;"lets"&amp;LEN(SUBSTITUTE(SUBSTITUTE(IFERROR(TRIM(SUBSTITUTE(A7,MID(A7,FIND("[",A7),FIND("]",A7)-FIND("[",A7)+1),"")),A7)," ",""),"-",""))&amp;CHAR(34)&amp;",")=9,CHAR(34)&amp;"lets"&amp;LEN(SUBSTITUTE(SUBSTITUTE(IFERROR(TRIM(SUBSTITUTE(A7,MID(A7,FIND("[",A7),FIND("]",A7)-FIND("[",A7)+1),"")),A7)," ",""),"-",""))&amp;CHAR(34)&amp;",",CHAR(34)&amp;"lets0"&amp;LEN(SUBSTITUTE(SUBSTITUTE(IFERROR(TRIM(SUBSTITUTE(A7,MID(A7,FIND("[",A7),FIND("]",A7)-FIND("[",A7)+1),"")),A7)," ",""),"-",""))&amp;CHAR(34)&amp;",")</f>
        <v>"lets09",</v>
      </c>
      <c r="DE7" s="48" t="str">
        <f>CHAR(34)&amp;"start"&amp;IFERROR(LEFT(SUBSTITUTE(A7,"["&amp;MID(A7,FIND("[",A7)+1,FIND("]",A7)-FIND("[",A7)-1)&amp;"] ",""),1),LEFT(A7,1))&amp;CHAR(34)&amp;","</f>
        <v>"startV",</v>
      </c>
      <c r="DF7" s="48" t="str">
        <f>IFERROR(IF(SEARCH("tan",A7)&gt;0,CHAR(34)&amp;"withtn"&amp;CHAR(34)&amp;",",""),"")</f>
        <v/>
      </c>
      <c r="DG7" s="48" t="str">
        <f>IFERROR(IF(SEARCH("q",A7)&gt;0,CHAR(34)&amp;"with_q"&amp;CHAR(34)&amp;",",""),"")</f>
        <v/>
      </c>
      <c r="DH7" s="48" t="str">
        <f>IFERROR(IF(SEARCH("v",A7)&gt;0,CHAR(34)&amp;"with_v"&amp;CHAR(34)&amp;",",""),"")</f>
        <v>"with_v",</v>
      </c>
      <c r="DI7" s="48" t="str">
        <f>IFERROR(IF(SEARCH("w",A7)&gt;0,CHAR(34)&amp;"with_w"&amp;CHAR(34)&amp;",",""),"")</f>
        <v/>
      </c>
      <c r="DJ7" s="48" t="str">
        <f>IFERROR(IF(SEARCH("y",A7)&gt;0,CHAR(34)&amp;"with_y"&amp;CHAR(34)&amp;",",""),"")</f>
        <v/>
      </c>
      <c r="DK7" s="48" t="str">
        <f>IFERROR(IF(SEARCH("z",A7)&gt;0,CHAR(34)&amp;"with_z"&amp;CHAR(34)&amp;",",""),"")</f>
        <v/>
      </c>
      <c r="DL7" s="48" t="str">
        <f>IF(CG7=2, CHAR(34) &amp; _xlfn.TEXTJOIN("", TRUE, _xlfn._xlws.SORT(HP7:HX7)) &amp; CHAR(34) &amp; ",", "")</f>
        <v/>
      </c>
      <c r="DM7" s="48" t="str" cm="1">
        <f t="array" ref="DM7">IF(CG7=3,CHAR(34) &amp; _xlfn.TEXTJOIN("", TRUE, RIGHT(HP7:HX7, 2)) &amp; CHAR(34) &amp; ",", "")</f>
        <v/>
      </c>
      <c r="DN7" s="48" t="str">
        <f>IF(AND(ISNUMBER(SEARCH("18", O7)), ISERROR(SEARCH("1918", O7)), ISERROR(SEARCH("2018", O7))), CHAR(34) &amp; "year18" &amp; CHAR(34) &amp; ",", "")</f>
        <v>"year18",</v>
      </c>
      <c r="DO7" s="48" t="str">
        <f>IF(AND(ISNUMBER(SEARCH("19", O7)), ISERROR(SEARCH("1819", O7)),  ISERROR(SEARCH("1219", O7)),ISERROR(SEARCH("1119", O7)),ISERROR(SEARCH("1190", O7)),ISERROR(SEARCH("2019", O7))), CHAR(34) &amp; "year19" &amp; CHAR(34) &amp; ",", "")</f>
        <v>"year19",</v>
      </c>
      <c r="DP7" s="6" t="str">
        <f>IF(AND(ISNUMBER(SEARCH("20", O7)), ISERROR(SEARCH("1920", O7))), CHAR(34)&amp;"year00"&amp;CHAR(34)&amp;",", "")</f>
        <v/>
      </c>
      <c r="DQ7" s="6" t="str">
        <f>IF(CC7="y",CHAR(34)&amp;"soviet"&amp;CHAR(34)&amp;",","")</f>
        <v/>
      </c>
      <c r="DR7" s="6" t="str">
        <f>IF(BY7="y",CHAR(34)&amp;"dgband"&amp;CHAR(34)&amp;",","")</f>
        <v/>
      </c>
      <c r="DS7" s="6" t="str">
        <f>IF(W7="y",IF(AND(V7="n",BY7&lt;&gt;"y"),CHAR(34)&amp;"allver"&amp;CHAR(34)&amp;",",""),"")</f>
        <v/>
      </c>
      <c r="DT7" s="6" t="str">
        <f>IF(V7="y",IF(AND(W7="n",BY7&lt;&gt;"y"),CHAR(34)&amp;"allhor"&amp;CHAR(34)&amp;",",""),"")</f>
        <v/>
      </c>
      <c r="DU7" s="6" t="str">
        <f>IF(BY7="y",IF(AND(W7="n",V7="n"),CHAR(34)&amp;"alldia"&amp;CHAR(34)&amp;",",""),"")</f>
        <v/>
      </c>
      <c r="DW7" s="48" t="str">
        <f>IF(CL7="y",CHAR(34)&amp;CL$1&amp;CHAR(34)&amp;",","")</f>
        <v/>
      </c>
      <c r="DX7" s="48" t="str">
        <f>IF(CM7="y",CHAR(34)&amp;CM$1&amp;CHAR(34)&amp;",","")</f>
        <v/>
      </c>
      <c r="DY7" s="48" t="str">
        <f>IF(CN7="y",CHAR(34)&amp;CN$1&amp;CHAR(34)&amp;",","")</f>
        <v/>
      </c>
      <c r="DZ7" s="48" t="str">
        <f>IF(CO7="y",CHAR(34)&amp;CO$1&amp;CHAR(34)&amp;",","")</f>
        <v>"4+Band",</v>
      </c>
      <c r="EA7" s="48" t="str">
        <f>IF(T7="y",CHAR(34)&amp;T$1&amp;CHAR(34)&amp;",","")</f>
        <v/>
      </c>
      <c r="EB7" s="48" t="str">
        <f>IF(U7="y",CHAR(34)&amp;U$1&amp;CHAR(34)&amp;",","")</f>
        <v/>
      </c>
      <c r="EC7" s="48" t="str">
        <f>IF(V7="y",CHAR(34)&amp;V$1&amp;CHAR(34)&amp;",","")</f>
        <v>"Horizo",</v>
      </c>
      <c r="ED7" s="48" t="str">
        <f>IF(W7="y",CHAR(34)&amp;W$1&amp;CHAR(34)&amp;",","")</f>
        <v>"Vertic",</v>
      </c>
      <c r="EE7" s="48" t="str">
        <f>IF(X7="y",CHAR(34)&amp;X$1&amp;CHAR(34)&amp;",","")</f>
        <v/>
      </c>
      <c r="EF7" s="48" t="str">
        <f>IF(AND(Y7&lt;&gt;"n",Y7&lt;&gt;""),CHAR(34)&amp;Y$1&amp;CHAR(34)&amp;",","")</f>
        <v/>
      </c>
      <c r="EG7" s="48" t="str">
        <f>IF(Z7="y",CHAR(34)&amp;Z$1&amp;CHAR(34)&amp;",","")</f>
        <v/>
      </c>
      <c r="EH7" s="48" t="str">
        <f>IF(AA7="y",CHAR(34)&amp;AA$1&amp;CHAR(34)&amp;",","")</f>
        <v/>
      </c>
      <c r="EI7" s="48" t="str">
        <f>IF(AB7="y",CHAR(34)&amp;AB$1&amp;CHAR(34)&amp;",","")</f>
        <v/>
      </c>
      <c r="EJ7" s="48" t="str">
        <f>IF(AC7="y",CHAR(34)&amp;AC$1&amp;CHAR(34)&amp;",","")</f>
        <v/>
      </c>
      <c r="EK7" s="48" t="str">
        <f>IF(AD7="y",CHAR(34)&amp;AD$1&amp;CHAR(34)&amp;",","")</f>
        <v/>
      </c>
      <c r="EL7" s="48" t="str">
        <f>IF(AE7="y",CHAR(34)&amp;AE$1&amp;CHAR(34)&amp;",","")</f>
        <v/>
      </c>
      <c r="EM7" s="48" t="str">
        <f>IF(AF7="y",CHAR(34)&amp;AF$1&amp;CHAR(34)&amp;",","")</f>
        <v/>
      </c>
      <c r="EN7" s="48" t="str">
        <f>IF(AG7="y",CHAR(34)&amp;AG$1&amp;CHAR(34)&amp;",","")</f>
        <v>"Unequa",</v>
      </c>
      <c r="EO7" s="48" t="str">
        <f>IF(AH7="y",CHAR(34)&amp;AH$1&amp;CHAR(34)&amp;",","")</f>
        <v/>
      </c>
      <c r="EP7" s="48" t="str">
        <f>IF(AI7="y",CHAR(34)&amp;AI$1&amp;CHAR(34)&amp;",","")</f>
        <v/>
      </c>
      <c r="EQ7" s="48" t="str">
        <f>IF(AJ7="y",CHAR(34)&amp;AJ$1&amp;CHAR(34)&amp;",","")</f>
        <v/>
      </c>
      <c r="ER7" s="48" t="str">
        <f>IF(AK7="y",CHAR(34)&amp;AK$1&amp;CHAR(34)&amp;",","")</f>
        <v>"OnlyBa",</v>
      </c>
      <c r="ES7" s="48" t="str">
        <f>IF(AL7="y",CHAR(34)&amp;AL$1&amp;CHAR(34)&amp;",","")</f>
        <v/>
      </c>
      <c r="ET7" s="48" t="str">
        <f>IF(AM7="y",CHAR(34)&amp;AM$1&amp;CHAR(34)&amp;",","")</f>
        <v/>
      </c>
      <c r="EU7" s="48" t="str">
        <f>IF(AN7="y",CHAR(34)&amp;AN$1&amp;CHAR(34)&amp;",","")</f>
        <v/>
      </c>
      <c r="EV7" s="48" t="str">
        <f>IF(AO7="y",CHAR(34)&amp;AO$1&amp;CHAR(34)&amp;",","")</f>
        <v/>
      </c>
      <c r="EW7" s="48" t="str">
        <f>IF(AP7="y",CHAR(34)&amp;AP$1&amp;CHAR(34)&amp;",","")</f>
        <v/>
      </c>
      <c r="EX7" s="48" t="str">
        <f>IF(AQ7="y",CHAR(34)&amp;AQ$1&amp;CHAR(34)&amp;",","")</f>
        <v/>
      </c>
      <c r="EY7" s="48" t="str">
        <f>IF(AR7="y",CHAR(34)&amp;AR$1&amp;CHAR(34)&amp;",","")</f>
        <v/>
      </c>
      <c r="EZ7" s="48" t="str">
        <f>IF(AS7="y",CHAR(34)&amp;AS$1&amp;CHAR(34)&amp;",","")</f>
        <v/>
      </c>
      <c r="FA7" s="48" t="str">
        <f>IF(AT7&gt;0,CHAR(34)&amp;"sta"&amp;AZ7&amp;CHAR(34)&amp;",","")</f>
        <v/>
      </c>
      <c r="FB7" s="48" t="str">
        <f>IF(AND(AT7&gt;0,BA7&lt;&gt;""),CHAR(34)&amp;"sta"&amp;BA7&amp;CHAR(34)&amp;",","")</f>
        <v/>
      </c>
      <c r="FD7" s="48" t="str">
        <f>IF(BV7="n",CHAR(34)&amp;"tcWHYE"&amp;CHAR(34)&amp;",",IF(BV7="y",CHAR(34)&amp;FD$1&amp;CHAR(34)&amp;",",""))</f>
        <v/>
      </c>
      <c r="FE7" s="48" t="str">
        <f>IF(COUNTIF(BL7:BT7,"BLU")=0,CHAR(34)&amp;"NO_BLU"&amp;CHAR(34)&amp;",", "")</f>
        <v/>
      </c>
      <c r="FF7" s="48" t="str">
        <f>IF(COUNTIF(BL7:BT7,"WHI")=0,CHAR(34)&amp;"NO_WHI"&amp;CHAR(34)&amp;",", "")</f>
        <v/>
      </c>
      <c r="FG7" s="48" t="str">
        <f>IF(COUNTIF(BL7:BT7,"RED")=0,CHAR(34)&amp;"NO_RED"&amp;CHAR(34)&amp;",", "")</f>
        <v/>
      </c>
      <c r="FH7" s="48" t="str">
        <f>IF(COUNTIF(BL7:BS7,"GRE")=0,CHAR(34)&amp;"NO_GRE"&amp;CHAR(34)&amp;",", "")</f>
        <v/>
      </c>
      <c r="FI7" s="48" t="str">
        <f>IF(COUNTIF(BL7:BT7,"YEL")=0,CHAR(34)&amp;"NO_YEL"&amp;CHAR(34)&amp;",", "")</f>
        <v>"NO_YEL",</v>
      </c>
      <c r="FJ7" s="48" t="str">
        <f>IF(COUNTIF(BL7:BT7,"BLA")=0,CHAR(34)&amp;"NO_BLA"&amp;CHAR(34)&amp;",", "")</f>
        <v>"NO_BLA",</v>
      </c>
      <c r="FK7" s="48" t="str">
        <f>IF(AND(FH7&lt;&gt;"",FF7&lt;&gt;""),CHAR(34)&amp;"WHGRNO"&amp;CHAR(34)&amp;",","")</f>
        <v/>
      </c>
      <c r="FL7" s="48" t="str">
        <f>IF(AND(FI7&lt;&gt;"",FF7&lt;&gt;""),CHAR(34)&amp;"WHYENO"&amp;CHAR(34)&amp;",","")</f>
        <v/>
      </c>
      <c r="FM7" s="48" t="str">
        <f>IF(AND(FJ7&lt;&gt;"",FF7&lt;&gt;""),CHAR(34)&amp;"BAWHNO"&amp;CHAR(34)&amp;",","")</f>
        <v/>
      </c>
      <c r="FN7" s="48" t="str">
        <f>IF(AND(FE7&lt;&gt;"",FF7&lt;&gt;""),CHAR(34)&amp;"BLWHNO"&amp;CHAR(34)&amp;",","")</f>
        <v/>
      </c>
      <c r="FO7" s="48" t="str">
        <f>IF(AND(FE7&lt;&gt;"",FG7&lt;&gt;""),CHAR(34)&amp;"BLRENO"&amp;CHAR(34)&amp;",","")</f>
        <v/>
      </c>
      <c r="FP7" s="48" t="str">
        <f>IF(AND(FF7&lt;&gt;"",FF7&lt;&gt;""),CHAR(34)&amp;"WHRENO"&amp;CHAR(34)&amp;",","")</f>
        <v/>
      </c>
      <c r="FQ7" s="48" t="str">
        <f>IF(LEN(BF7)=3,CHAR(34)&amp;"001"&amp;BF7&amp;CHAR(34)&amp;",","")</f>
        <v/>
      </c>
      <c r="FR7" s="48" t="str">
        <f>IF(LEN(BG7)=3,CHAR(34)&amp;"002"&amp;BG7&amp;CHAR(34)&amp;",","")</f>
        <v/>
      </c>
      <c r="FS7" s="48" t="str">
        <f>IF(LEN(BH7)=3,CHAR(34)&amp;"003"&amp;BH7&amp;CHAR(34)&amp;",","")</f>
        <v/>
      </c>
      <c r="FT7" s="48" t="str">
        <f>CHAR(34)&amp;"myr"&amp;BD7&amp;CHAR(34)&amp;","</f>
        <v>"myrEQ",</v>
      </c>
      <c r="FU7" s="48" t="str">
        <f>IF(AY7="y",CHAR(34)&amp;"island"&amp;CHAR(34)&amp;",","")</f>
        <v/>
      </c>
      <c r="FV7" s="48" t="str">
        <f>IF(BZ7="y",CHAR(34)&amp;"landlo"&amp;CHAR(34)&amp;",","")</f>
        <v/>
      </c>
      <c r="FW7" s="48" t="str">
        <f>IF(CA7="y",CHAR(34)&amp;"eunion"&amp;CHAR(34)&amp;",","")</f>
        <v/>
      </c>
      <c r="FY7" s="48" t="str">
        <f>IFERROR(IF(SEARCH("Arabic",CB7)&gt;0,CHAR(34)&amp;"arabic"&amp;CHAR(34)&amp;",",""),"")</f>
        <v/>
      </c>
      <c r="FZ7" s="48" t="str">
        <f>IFERROR(IF(SEARCH("English",CB7)&gt;0,CHAR(34)&amp;"englis"&amp;CHAR(34)&amp;",",""),"")</f>
        <v/>
      </c>
      <c r="GA7" s="48" t="str">
        <f>IFERROR(IF(SEARCH("French",CB7)&gt;0,CHAR(34)&amp;"french"&amp;CHAR(34)&amp;",",""),"")</f>
        <v/>
      </c>
      <c r="GB7" s="48" t="str">
        <f>IFERROR(IF(SEARCH("Spanish",CB7)&gt;0,CHAR(34)&amp;"spanis"&amp;CHAR(34)&amp;",",""),"")</f>
        <v/>
      </c>
      <c r="GE7" s="48" t="str">
        <f>IFERROR(IF(SEARCH("Dutch",CB7)&gt;0,CHAR(34)&amp;"dutchs"&amp;CHAR(34)&amp;",",""),"")</f>
        <v/>
      </c>
      <c r="GF7" s="48" t="str">
        <f>IFERROR(IF(SEARCH("Historical",AU7)&gt;0,CHAR(34)&amp;"histor"&amp;CHAR(34)&amp;",",""),"")</f>
        <v>"histor",</v>
      </c>
      <c r="GG7" s="48" t="str">
        <f>IF(BU7="y",CHAR(34)&amp;"unjack"&amp;CHAR(34)&amp;",","")</f>
        <v/>
      </c>
      <c r="GH7" s="48" t="str">
        <f>IF(CD7=1,CHAR(34)&amp;"southc"&amp;CHAR(34)&amp;",","")</f>
        <v/>
      </c>
      <c r="GI7" s="48" t="str">
        <f>IF(CE7=1,CHAR(34)&amp;"hasmap"&amp;CHAR(34)&amp;",","")</f>
        <v/>
      </c>
      <c r="GJ7" s="48" t="str">
        <f>IF(CP7="y",CHAR(34)&amp;CP$1&amp;CHAR(34)&amp;",","")</f>
        <v>"NoStar",</v>
      </c>
      <c r="GK7" s="48" t="str">
        <f>IF(GJ7="",CHAR(34)&amp;"HasSta"&amp;CHAR(34)&amp;",","")</f>
        <v/>
      </c>
      <c r="GL7" s="48" t="str">
        <f>IF(CQ7="y",CHAR(34)&amp;CQ$1&amp;CHAR(34)&amp;",","")</f>
        <v/>
      </c>
      <c r="GM7" s="48" t="str">
        <f>IF(CR7="y",CHAR(34)&amp;CR$1&amp;CHAR(34)&amp;",","")</f>
        <v/>
      </c>
      <c r="GN7" s="48" t="str">
        <f>IF(CS7="y",CHAR(34)&amp;CS$1&amp;CHAR(34)&amp;",","")</f>
        <v/>
      </c>
      <c r="GP7" s="48" t="str">
        <f>CHAR(34)&amp;AU7&amp;CHAR(34)</f>
        <v>"Historical"</v>
      </c>
      <c r="GS7" s="48" t="str">
        <f>SUBSTITUTE("["&amp;_xlfn.CONCAT(CW7:GN7)&amp;"]",",]","]")</f>
        <v>["4Color","lets09","startV","with_v","year18","year19","4+Band","Horizo","Vertic","Unequa","OnlyBa","NO_YEL","NO_BLA","myrEQ","histor","NoStar"]</v>
      </c>
      <c r="GT7" s="48" t="str">
        <f>IF(BL7&lt;&gt;"",CHAR(34)&amp;"cl_"&amp;BL7&amp;CHAR(34)&amp;",","")</f>
        <v/>
      </c>
      <c r="GU7" s="48" t="str">
        <f>IF(BM7&lt;&gt;"",CHAR(34)&amp;"cl_"&amp;BM7&amp;CHAR(34)&amp;",","")</f>
        <v>"cl_BLU",</v>
      </c>
      <c r="GV7" s="48" t="str">
        <f>IF(BN7&lt;&gt;"",CHAR(34)&amp;"cl_"&amp;BN7&amp;CHAR(34)&amp;",","")</f>
        <v>"cl_GRE",</v>
      </c>
      <c r="GW7" s="48" t="str">
        <f>IF(BO7&lt;&gt;"",CHAR(34)&amp;"cl_"&amp;BO7&amp;CHAR(34)&amp;",","")</f>
        <v>"cl_RED",</v>
      </c>
      <c r="GX7" s="48" t="str">
        <f>IF(BP7&lt;&gt;"",CHAR(34)&amp;"cl_"&amp;BP7&amp;CHAR(34)&amp;",","")</f>
        <v/>
      </c>
      <c r="GY7" s="48" t="str">
        <f>IF(BQ7&lt;&gt;"",CHAR(34)&amp;"cl_"&amp;BQ7&amp;CHAR(34)&amp;",","")</f>
        <v/>
      </c>
      <c r="GZ7" s="48" t="str">
        <f>IF(BR7&lt;&gt;"",CHAR(34)&amp;"cl_"&amp;BR7&amp;CHAR(34)&amp;",","")</f>
        <v/>
      </c>
      <c r="HA7" s="48" t="str">
        <f>IF(BS7&lt;&gt;"",CHAR(34)&amp;"cl_"&amp;BS7&amp;CHAR(34)&amp;",","")</f>
        <v/>
      </c>
      <c r="HB7" s="48" t="str">
        <f>IF(BT7&lt;&gt;"",CHAR(34)&amp;"cl_"&amp;BT7&amp;CHAR(34)&amp;",","")</f>
        <v>"cl_WHI",</v>
      </c>
      <c r="HC7" s="48" t="str">
        <f>SUBSTITUTE("["&amp;_xlfn.CONCAT(GT7:HB7)&amp;"]",",]","]")</f>
        <v>["cl_BLU","cl_GRE","cl_RED","cl_WHI"]</v>
      </c>
      <c r="HE7" s="71"/>
      <c r="HF7" s="72" t="str">
        <f>"{couname:"&amp;CT7&amp;(IF(HK7&lt;&gt;"",",subtype:"&amp;CHAR(34)&amp;HK7&amp;CHAR(34),""))&amp;",year:"&amp;HJ7&amp;",region:"&amp;CU7&amp;",Colors:"&amp;HC7&amp;",Items:"&amp;GS7&amp;",Flag:"&amp;CV7&amp;",HDFlag:"&amp;CHAR(34)&amp;E7&amp;CHAR(34)&amp;",type:"&amp;GP7&amp;", describe: "&amp;HH7&amp;", isnew:"&amp;CHAR(34)&amp;F7&amp;CHAR(34)&amp;", links: "&amp;HL7&amp;"},"</f>
        <v>{couname:"[RSA] Vierkleur",year:"1857, 1875, 1881, 1914",region:"rgn_Africa",Colors:["cl_BLU","cl_GRE","cl_RED","cl_WHI"],Items:["4Color","lets09","startV","with_v","year18","year19","4+Band","Horizo","Vertic","Unequa","OnlyBa","NO_YEL","NO_BLA","myrEQ","histor","NoStar"],Flag:"https://upload.wikimedia.org/wikipedia/commons/thumb/d/d0/Flag_of_Transvaal.svg/640px-Flag_of_Transvaal.svg.png",HDFlag:"https://upload.wikimedia.org/wikipedia/commons/thumb/d/d0/Flag_of_Transvaal.svg/1280px-Flag_of_Transvaal.svg.png",type:"Historical", describe: "\nThe flag symbolises freedom, glory and divinity. The red colour represents freedom; the white colour represents purity and cleanliness; the blue colour shows the faith which the Republic placed in God and the green colour represents hope.", isnew:".", links: "https://en.m.wikipedia.org/wiki/Flag_of_the_South_African_Republic"},</v>
      </c>
      <c r="HG7" s="73" t="str">
        <f>"{couname:"&amp;CT7&amp;(IF(HK7&lt;&gt;"",",subtype:"&amp;CHAR(34)&amp;HK7&amp;CHAR(34),""))&amp;",year:"&amp;HJ7&amp;",region:"&amp;CU7&amp;",Colors:"&amp;HC7&amp;",Items:"&amp;GS7&amp;",Flag:"&amp;CV7&amp;",HDFlag:"&amp;CHAR(34)&amp;E7&amp;CHAR(34)&amp;",type:"&amp;GP7&amp;", describe: "&amp;HI7&amp;", links: "&amp;HL7&amp;"},"</f>
        <v>{couname:"[RSA] Vierkleur",year:"1857, 1875, 1881, 1914",region:"rgn_Africa",Colors:["cl_BLU","cl_GRE","cl_RED","cl_WHI"],Items:["4Color","lets09","startV","with_v","year18","year19","4+Band","Horizo","Vertic","Unequa","OnlyBa","NO_YEL","NO_BLA","myrEQ","histor","NoStar"],Flag:"https://upload.wikimedia.org/wikipedia/commons/thumb/d/d0/Flag_of_Transvaal.svg/640px-Flag_of_Transvaal.svg.png",HDFlag:"https://upload.wikimedia.org/wikipedia/commons/thumb/d/d0/Flag_of_Transvaal.svg/1280px-Flag_of_Transvaal.svg.png",type:"Historical", describe: "\nThe flag symbolises freedom, glory and divinity. The red colour represents freedom; the white colour represents purity and cleanliness; the blue colour shows the faith which the Republic placed in God and the green colour represents hope.", links: "https://en.m.wikipedia.org/wiki/Flag_of_the_South_African_Republic"},</v>
      </c>
      <c r="HH7" s="48" t="str">
        <f>IF(P7&lt;&gt;"",CHAR(34)&amp;"\n"&amp;P7&amp;CHAR(34),CHAR(34)&amp;CHAR(34))</f>
        <v>"\nThe flag symbolises freedom, glory and divinity. The red colour represents freedom; the white colour represents purity and cleanliness; the blue colour shows the faith which the Republic placed in God and the green colour represents hope."</v>
      </c>
      <c r="HI7" s="48" t="str">
        <f>IF(J7=0,CHAR(34)&amp;CHAR(34),HH7)</f>
        <v>"\nThe flag symbolises freedom, glory and divinity. The red colour represents freedom; the white colour represents purity and cleanliness; the blue colour shows the faith which the Republic placed in God and the green colour represents hope."</v>
      </c>
      <c r="HJ7" s="48" t="str">
        <f>CHAR(34)&amp;O7&amp;CHAR(34)</f>
        <v>"1857, 1875, 1881, 1914"</v>
      </c>
      <c r="HL7" s="48" t="str">
        <f>CHAR(34)&amp;I7&amp;CHAR(34)</f>
        <v>"https://en.m.wikipedia.org/wiki/Flag_of_the_South_African_Republic"</v>
      </c>
      <c r="HM7" s="72" t="str">
        <f>"{"&amp;CHAR(34)&amp;"couname"&amp;CHAR(34)&amp;":"&amp;CT7&amp;(IF(H7&lt;&gt;"",","&amp;CHAR(34)&amp;"subtype"&amp;CHAR(34)&amp;":"&amp;CHAR(34)&amp;H7&amp;CHAR(34),""))&amp;","&amp;CHAR(34)&amp;"year"&amp;CHAR(34)&amp;":"&amp;HJ7&amp;","&amp;CHAR(34)&amp;"region"&amp;CHAR(34)&amp;":"&amp;CU7&amp;","&amp;CHAR(34)&amp;"Colors"&amp;CHAR(34)&amp;":"&amp;HC7&amp;","&amp;CHAR(34)&amp;"Items"&amp;CHAR(34)&amp;":"&amp;GS7&amp;","&amp;CHAR(34)&amp;"Flag"&amp;CHAR(34)&amp;":"&amp;CV7&amp;","&amp;CHAR(34)&amp;"HDFlag"&amp;CHAR(34)&amp;":"&amp;CHAR(34)&amp;E7&amp;CHAR(34)&amp;","&amp;CHAR(34)&amp;"type"&amp;CHAR(34)&amp;":"&amp;GP7&amp;", "&amp;CHAR(34)&amp;"describe"&amp;CHAR(34)&amp;": "&amp;HH7&amp;", "&amp;CHAR(34)&amp;"isnew"&amp;CHAR(34)&amp;": "&amp;CHAR(34)&amp;F7&amp;CHAR(34)&amp;", "&amp;CHAR(34)&amp;"links"&amp;CHAR(34)&amp;": "&amp;HL7&amp;"},"</f>
        <v>{"couname":"[RSA] Vierkleur","subtype":"[RSA] Other","year":"1857, 1875, 1881, 1914","region":"rgn_Africa","Colors":["cl_BLU","cl_GRE","cl_RED","cl_WHI"],"Items":["4Color","lets09","startV","with_v","year18","year19","4+Band","Horizo","Vertic","Unequa","OnlyBa","NO_YEL","NO_BLA","myrEQ","histor","NoStar"],"Flag":"https://upload.wikimedia.org/wikipedia/commons/thumb/d/d0/Flag_of_Transvaal.svg/640px-Flag_of_Transvaal.svg.png","HDFlag":"https://upload.wikimedia.org/wikipedia/commons/thumb/d/d0/Flag_of_Transvaal.svg/1280px-Flag_of_Transvaal.svg.png","type":"Historical", "describe": "\nThe flag symbolises freedom, glory and divinity. The red colour represents freedom; the white colour represents purity and cleanliness; the blue colour shows the faith which the Republic placed in God and the green colour represents hope.", "isnew": ".", "links": "https://en.m.wikipedia.org/wiki/Flag_of_the_South_African_Republic"},</v>
      </c>
      <c r="HN7" s="74" t="str">
        <f>"{"&amp;CHAR(34)&amp;"couname"&amp;CHAR(34)&amp;":"&amp;CT7&amp;(IF(H7&lt;&gt;"",","&amp;CHAR(34)&amp;"subtype"&amp;CHAR(34)&amp;":"&amp;CHAR(34)&amp;H7&amp;CHAR(34),""))&amp;","&amp;CHAR(34)&amp;"year"&amp;CHAR(34)&amp;":"&amp;HJ7&amp;","&amp;CHAR(34)&amp;"region"&amp;CHAR(34)&amp;":"&amp;CU7&amp;","&amp;CHAR(34)&amp;"Colors"&amp;CHAR(34)&amp;":"&amp;HC7&amp;","&amp;CHAR(34)&amp;"Items"&amp;CHAR(34)&amp;":"&amp;GS7&amp;","&amp;CHAR(34)&amp;"Flag"&amp;CHAR(34)&amp;":"&amp;CV7&amp;","&amp;CHAR(34)&amp;"HDFlag"&amp;CHAR(34)&amp;":"&amp;CHAR(34)&amp;E7&amp;CHAR(34)&amp;","&amp;CHAR(34)&amp;"type"&amp;CHAR(34)&amp;":"&amp;GP7&amp;", "&amp;CHAR(34)&amp;"describe"&amp;CHAR(34)&amp;": "&amp;HI7&amp;", "&amp;CHAR(34)&amp;"isnew"&amp;CHAR(34)&amp;": "&amp;CHAR(34)&amp;F7&amp;CHAR(34)&amp;", "&amp;CHAR(34)&amp;"links"&amp;CHAR(34)&amp;": "&amp;HL7&amp;"},"</f>
        <v>{"couname":"[RSA] Vierkleur","subtype":"[RSA] Other","year":"1857, 1875, 1881, 1914","region":"rgn_Africa","Colors":["cl_BLU","cl_GRE","cl_RED","cl_WHI"],"Items":["4Color","lets09","startV","with_v","year18","year19","4+Band","Horizo","Vertic","Unequa","OnlyBa","NO_YEL","NO_BLA","myrEQ","histor","NoStar"],"Flag":"https://upload.wikimedia.org/wikipedia/commons/thumb/d/d0/Flag_of_Transvaal.svg/640px-Flag_of_Transvaal.svg.png","HDFlag":"https://upload.wikimedia.org/wikipedia/commons/thumb/d/d0/Flag_of_Transvaal.svg/1280px-Flag_of_Transvaal.svg.png","type":"Historical", "describe": "\nThe flag symbolises freedom, glory and divinity. The red colour represents freedom; the white colour represents purity and cleanliness; the blue colour shows the faith which the Republic placed in God and the green colour represents hope.", "isnew": ".", "links": "https://en.m.wikipedia.org/wiki/Flag_of_the_South_African_Republic"},</v>
      </c>
      <c r="HO7" s="75">
        <v>45596</v>
      </c>
      <c r="HP7" s="48" t="str" cm="1">
        <f t="array" ref="HP7">IF(_xlfn.TEXTJOIN(", ", TRUE, IF(ISNUMBER(SEARCH("BLA", BL7:BT7)), COLUMN(BL7:BT7) - COLUMN(BL7) + 1, ""))&lt;&gt;"","BLA","")</f>
        <v/>
      </c>
      <c r="HQ7" s="48" t="str" cm="1">
        <f t="array" ref="HQ7">IF(_xlfn.TEXTJOIN(", ", TRUE, IF(ISNUMBER(SEARCH("BLU", BL7:BT7)), COLUMN(BL7:BT7) - COLUMN(BL7) + 1, ""))&lt;&gt;"","BLU","")</f>
        <v>BLU</v>
      </c>
      <c r="HR7" s="48" t="str" cm="1">
        <f t="array" ref="HR7">IF(_xlfn.TEXTJOIN(", ", TRUE, IF(ISNUMBER(SEARCH("GRE", BL7:BT7)), COLUMN(BL7:BT7) - COLUMN(BL7) + 1, ""))&lt;&gt;"","GRE","")</f>
        <v>GRE</v>
      </c>
      <c r="HS7" s="48" t="str" cm="1">
        <f t="array" ref="HS7">IF(_xlfn.TEXTJOIN(", ", TRUE, IF(ISNUMBER(SEARCH("RED", BL7:BT7)), COLUMN(BL7:BT7) - COLUMN(BL7) + 1, ""))&lt;&gt;"","RED","")</f>
        <v>RED</v>
      </c>
      <c r="HT7" s="48" t="str" cm="1">
        <f t="array" ref="HT7">IF(_xlfn.TEXTJOIN(", ", TRUE, IF(ISNUMBER(SEARCH("YEL", BL7:BT7)), COLUMN(BL7:BT7) - COLUMN(BL7) + 1, ""))&lt;&gt;"","YEL","")</f>
        <v/>
      </c>
      <c r="HU7" s="48" t="str" cm="1">
        <f t="array" ref="HU7">IF(_xlfn.TEXTJOIN(", ", TRUE, IF(ISNUMBER(SEARCH("ORA", BL7:BT7)), COLUMN(BL7:BT7) - COLUMN(BL7) + 1, ""))&lt;&gt;"","ORA","")</f>
        <v/>
      </c>
      <c r="HV7" s="48" t="str" cm="1">
        <f t="array" ref="HV7">IF(_xlfn.TEXTJOIN(", ", TRUE, IF(ISNUMBER(SEARCH("BRO", BL7:BT7)), COLUMN(BL7:BT7) - COLUMN(BL7) + 1, ""))&lt;&gt;"","BRO","")</f>
        <v/>
      </c>
      <c r="HW7" s="48" t="str" cm="1">
        <f t="array" ref="HW7">IF(_xlfn.TEXTJOIN(", ", TRUE, IF(ISNUMBER(SEARCH("PUR", BL7:BT7)), COLUMN(BL7:BT7) - COLUMN(BL7) + 1, ""))&lt;&gt;"","PUR","")</f>
        <v/>
      </c>
      <c r="HX7" s="48" t="str" cm="1">
        <f t="array" ref="HX7">IF(_xlfn.TEXTJOIN(", ", TRUE, IF(ISNUMBER(SEARCH("WHI", BL7:BT7)), COLUMN(BL7:BT7) - COLUMN(BL7) + 1, ""))&lt;&gt;"","WHI","")</f>
        <v>WHI</v>
      </c>
      <c r="HY7" s="76"/>
      <c r="HZ7" s="76"/>
      <c r="IA7" s="6"/>
      <c r="IB7" s="6"/>
      <c r="IC7" s="77"/>
      <c r="ID7" s="77"/>
      <c r="IE7" s="77"/>
      <c r="IF7" s="77"/>
      <c r="IG7" s="77"/>
      <c r="IH7" s="77"/>
      <c r="II7" s="77"/>
      <c r="IJ7" s="77"/>
      <c r="IK7" s="77"/>
      <c r="IM7" s="45">
        <f>COUNTIF(IC7:IK7,"&gt;0")-CG7</f>
        <v>-4</v>
      </c>
      <c r="IN7" s="78" t="str">
        <f>"http://mkweb.bcgsc.ca/color-summarizer/?url="&amp;D7&amp;"&amp;precision=low&amp;num_clusters="&amp;CG7&amp;"&amp;text=1"</f>
        <v>http://mkweb.bcgsc.ca/color-summarizer/?url=https://upload.wikimedia.org/wikipedia/commons/thumb/d/d0/Flag_of_Transvaal.svg/640px-Flag_of_Transvaal.svg.png&amp;precision=low&amp;num_clusters=4&amp;text=1</v>
      </c>
      <c r="IO7" s="48" t="str">
        <f>IF(HP7&lt;&gt;"",CHAR(34)&amp;"black"&amp;CHAR(34),"")</f>
        <v/>
      </c>
      <c r="IP7" s="48" t="str">
        <f>IF(HQ7&lt;&gt;"",CHAR(34)&amp;"blue"&amp;CHAR(34),"")</f>
        <v>"blue"</v>
      </c>
      <c r="IQ7" s="48" t="str">
        <f>IF(HR7&lt;&gt;"",CHAR(34)&amp;"green"&amp;CHAR(34),"")</f>
        <v>"green"</v>
      </c>
      <c r="IR7" s="48" t="str">
        <f>IF(HS7&lt;&gt;"",CHAR(34)&amp;"red"&amp;CHAR(34),"")</f>
        <v>"red"</v>
      </c>
      <c r="IS7" s="48" t="str">
        <f>IF(HT7&lt;&gt;"",CHAR(34)&amp;"yellow"&amp;CHAR(34),"")</f>
        <v/>
      </c>
      <c r="IT7" s="48" t="str">
        <f>IF(HU7&lt;&gt;"",CHAR(34)&amp;"orange"&amp;CHAR(34),"")</f>
        <v/>
      </c>
      <c r="IU7" s="48" t="str">
        <f>IF(HV7&lt;&gt;"",CHAR(34)&amp;"brown"&amp;CHAR(34),"")</f>
        <v/>
      </c>
      <c r="IV7" s="48" t="str">
        <f>IF(HW7&lt;&gt;"",CHAR(34)&amp;"purple"&amp;CHAR(34),"")</f>
        <v/>
      </c>
      <c r="IW7" s="48" t="str">
        <f>IF(HX7&lt;&gt;"",CHAR(34)&amp;"white"&amp;CHAR(34),"")</f>
        <v>"white"</v>
      </c>
      <c r="IX7" s="48" t="str">
        <f>"{"&amp;CHAR(34)&amp;"url"&amp;CHAR(34)&amp;":"&amp;CHAR(34)&amp;IN7&amp;CHAR(34)&amp;","&amp;CHAR(34)&amp;"name"&amp;CHAR(34)&amp;":"&amp;CHAR(34)&amp;A7&amp;CHAR(34)&amp;"},"</f>
        <v>{"url":"http://mkweb.bcgsc.ca/color-summarizer/?url=https://upload.wikimedia.org/wikipedia/commons/thumb/d/d0/Flag_of_Transvaal.svg/640px-Flag_of_Transvaal.svg.png&amp;precision=low&amp;num_clusters=4&amp;text=1","name":"[RSA] Vierkleur"},</v>
      </c>
      <c r="IY7" s="48">
        <v>1395</v>
      </c>
    </row>
    <row r="8" spans="1:259" s="48" customFormat="1" ht="38.4" customHeight="1" thickBot="1" x14ac:dyDescent="0.35">
      <c r="A8" s="80" t="s">
        <v>353</v>
      </c>
      <c r="B8" s="40" t="e" vm="100">
        <v>#VALUE!</v>
      </c>
      <c r="C8" s="41" t="s">
        <v>370</v>
      </c>
      <c r="D8" s="42" t="s">
        <v>354</v>
      </c>
      <c r="E8" s="43" t="s">
        <v>355</v>
      </c>
      <c r="F8" s="44" t="s">
        <v>163</v>
      </c>
      <c r="G8" s="45">
        <f>COUNTIF($A$1:$A$8405,A8)</f>
        <v>1</v>
      </c>
      <c r="H8" s="46" t="s">
        <v>371</v>
      </c>
      <c r="I8" s="47" t="s">
        <v>356</v>
      </c>
      <c r="J8" s="48" t="str">
        <f>""</f>
        <v/>
      </c>
      <c r="K8" s="49"/>
      <c r="L8" s="50"/>
      <c r="M8" s="50"/>
      <c r="N8" s="51" t="s">
        <v>180</v>
      </c>
      <c r="O8" s="52">
        <v>2004</v>
      </c>
      <c r="P8" s="53" t="s">
        <v>357</v>
      </c>
      <c r="Q8" s="54">
        <v>1</v>
      </c>
      <c r="R8" s="55" t="s">
        <v>180</v>
      </c>
      <c r="S8" s="56">
        <v>2</v>
      </c>
      <c r="T8" s="57" t="s">
        <v>164</v>
      </c>
      <c r="U8" s="58" t="s">
        <v>164</v>
      </c>
      <c r="V8" s="58" t="s">
        <v>164</v>
      </c>
      <c r="W8" s="58" t="s">
        <v>167</v>
      </c>
      <c r="X8" s="58" t="s">
        <v>164</v>
      </c>
      <c r="Y8" s="58" t="s">
        <v>164</v>
      </c>
      <c r="Z8" s="58" t="s">
        <v>164</v>
      </c>
      <c r="AA8" s="58" t="s">
        <v>164</v>
      </c>
      <c r="AB8" s="58" t="s">
        <v>164</v>
      </c>
      <c r="AC8" s="58" t="s">
        <v>164</v>
      </c>
      <c r="AD8" s="58" t="s">
        <v>164</v>
      </c>
      <c r="AE8" s="58" t="s">
        <v>164</v>
      </c>
      <c r="AF8" s="59" t="s">
        <v>164</v>
      </c>
      <c r="AG8" s="59" t="s">
        <v>164</v>
      </c>
      <c r="AH8" s="59" t="s">
        <v>164</v>
      </c>
      <c r="AI8" s="59" t="s">
        <v>164</v>
      </c>
      <c r="AJ8" s="59" t="s">
        <v>164</v>
      </c>
      <c r="AK8" s="59" t="s">
        <v>164</v>
      </c>
      <c r="AL8" s="59" t="s">
        <v>164</v>
      </c>
      <c r="AM8" s="59" t="s">
        <v>164</v>
      </c>
      <c r="AN8" s="59" t="s">
        <v>167</v>
      </c>
      <c r="AO8" s="59" t="s">
        <v>164</v>
      </c>
      <c r="AP8" s="59" t="s">
        <v>164</v>
      </c>
      <c r="AQ8" s="59" t="s">
        <v>164</v>
      </c>
      <c r="AR8" s="59" t="s">
        <v>164</v>
      </c>
      <c r="AS8" s="59" t="s">
        <v>164</v>
      </c>
      <c r="AT8" s="60">
        <v>0</v>
      </c>
      <c r="AU8" s="59" t="s">
        <v>358</v>
      </c>
      <c r="AV8" s="59" t="str">
        <f>IF(LEFT(A8,1)="[",LEFT(A8,5)&amp;AU8&amp;A8,"")</f>
        <v>[RSA]Micronation[RSA] Orania</v>
      </c>
      <c r="AW8" s="59" t="str">
        <f>C8&amp;H8&amp;A8</f>
        <v>3c[RSA] Other[RSA] Orania</v>
      </c>
      <c r="AX8" s="61"/>
      <c r="AY8" s="61"/>
      <c r="AZ8" s="62" t="s">
        <v>172</v>
      </c>
      <c r="BA8" s="62" t="s">
        <v>172</v>
      </c>
      <c r="BB8" s="62"/>
      <c r="BC8" s="63"/>
      <c r="BD8" s="64" t="s">
        <v>156</v>
      </c>
      <c r="BE8" s="47"/>
      <c r="BF8" s="64" t="s">
        <v>152</v>
      </c>
      <c r="BG8" s="64" t="s">
        <v>172</v>
      </c>
      <c r="BH8" s="64" t="s">
        <v>156</v>
      </c>
      <c r="BI8" s="64"/>
      <c r="BJ8" s="64"/>
      <c r="BK8" s="47"/>
      <c r="BL8" s="64" t="s">
        <v>172</v>
      </c>
      <c r="BM8" s="64" t="s">
        <v>152</v>
      </c>
      <c r="BN8" s="64" t="s">
        <v>172</v>
      </c>
      <c r="BO8" s="64" t="s">
        <v>172</v>
      </c>
      <c r="BP8" s="64" t="s">
        <v>172</v>
      </c>
      <c r="BQ8" s="64" t="s">
        <v>156</v>
      </c>
      <c r="BR8" s="64" t="s">
        <v>172</v>
      </c>
      <c r="BS8" s="64" t="s">
        <v>172</v>
      </c>
      <c r="BT8" s="64" t="s">
        <v>159</v>
      </c>
      <c r="BU8" s="65"/>
      <c r="BV8" s="66"/>
      <c r="BW8" s="66">
        <v>0</v>
      </c>
      <c r="BX8" s="47"/>
      <c r="CB8" s="6"/>
      <c r="CC8" s="6"/>
      <c r="CD8" s="67">
        <v>0</v>
      </c>
      <c r="CE8" s="67">
        <v>0</v>
      </c>
      <c r="CF8" s="67" t="e">
        <v>#REF!</v>
      </c>
      <c r="CG8" s="68" cm="1">
        <f t="array" ref="CG8">SUMPRODUCT(--(LEN(TRIM(BL8:BT8))&gt;0))</f>
        <v>3</v>
      </c>
      <c r="CH8" s="59" t="str">
        <f>IF(CG8=2,"y","n")</f>
        <v>n</v>
      </c>
      <c r="CI8" s="59" t="str">
        <f>IF(CG8=3,"y","n")</f>
        <v>y</v>
      </c>
      <c r="CJ8" s="59" t="str">
        <f>IF(CG8=4,"y","n")</f>
        <v>n</v>
      </c>
      <c r="CK8" s="59" t="str">
        <f>IF(CG8&gt;4,"y","n")</f>
        <v>n</v>
      </c>
      <c r="CL8" s="59" t="str">
        <f>IF(S8=0,"y","n")</f>
        <v>n</v>
      </c>
      <c r="CM8" s="59" t="str">
        <f>IF(S8=2,"y","n")</f>
        <v>y</v>
      </c>
      <c r="CN8" s="59" t="str">
        <f>IF(S8=3,"y","n")</f>
        <v>n</v>
      </c>
      <c r="CO8" s="59" t="str">
        <f>IF(S8&gt;=4,"y","n")</f>
        <v>n</v>
      </c>
      <c r="CP8" s="59" t="str">
        <f>IF(AT8=0,"y","n")</f>
        <v>y</v>
      </c>
      <c r="CQ8" s="59" t="str">
        <f>IF(AT8=1,"y","n")</f>
        <v>n</v>
      </c>
      <c r="CR8" s="59" t="str">
        <f>IF(AT8=2,"y","n")</f>
        <v>n</v>
      </c>
      <c r="CS8" s="59" t="str">
        <f>IF(AT8&gt;=3,"y","n")</f>
        <v>n</v>
      </c>
      <c r="CT8" s="69" t="str">
        <f>CHAR(34)&amp;A8&amp;CHAR(34)</f>
        <v>"[RSA] Orania"</v>
      </c>
      <c r="CU8" s="70" t="str">
        <f>CHAR(34)&amp;"rgn_"&amp;R8&amp;CHAR(34)</f>
        <v>"rgn_Africa"</v>
      </c>
      <c r="CV8" s="48" t="str">
        <f>CHAR(34)&amp;D8&amp;CHAR(34)</f>
        <v>"https://upload.wikimedia.org/wikipedia/commons/thumb/c/c1/Orania_flag.svg/300px-Orania_flag.svg.png"</v>
      </c>
      <c r="CW8" s="48" t="str">
        <f>IF(CH8="y",CHAR(34)&amp;CH$1&amp;CHAR(34)&amp;",","")</f>
        <v/>
      </c>
      <c r="CX8" s="48" t="str">
        <f>IF(CI8="y",CHAR(34)&amp;CI$1&amp;CHAR(34)&amp;",","")</f>
        <v>"3Color",</v>
      </c>
      <c r="CY8" s="48" t="str">
        <f>IF(CJ8="y",CHAR(34)&amp;CJ$1&amp;CHAR(34)&amp;",","")</f>
        <v/>
      </c>
      <c r="CZ8" s="48" t="str">
        <f>IF(CK8="y",CHAR(34)&amp;CK$1&amp;CHAR(34)&amp;",","")</f>
        <v/>
      </c>
      <c r="DA8" s="48" t="str">
        <f>IF(Q8&gt;1,CHAR(34)&amp;"words2"&amp;CHAR(34)&amp;",","")</f>
        <v/>
      </c>
      <c r="DB8" s="48" t="str">
        <f>IF(Q8&gt;2,CHAR(34)&amp;"words3"&amp;CHAR(34)&amp;",","")</f>
        <v/>
      </c>
      <c r="DD8" s="48" t="str">
        <f>IF(LEN(CHAR(34)&amp;"lets"&amp;LEN(SUBSTITUTE(SUBSTITUTE(IFERROR(TRIM(SUBSTITUTE(A8,MID(A8,FIND("[",A8),FIND("]",A8)-FIND("[",A8)+1),"")),A8)," ",""),"-",""))&amp;CHAR(34)&amp;",")=9,CHAR(34)&amp;"lets"&amp;LEN(SUBSTITUTE(SUBSTITUTE(IFERROR(TRIM(SUBSTITUTE(A8,MID(A8,FIND("[",A8),FIND("]",A8)-FIND("[",A8)+1),"")),A8)," ",""),"-",""))&amp;CHAR(34)&amp;",",CHAR(34)&amp;"lets0"&amp;LEN(SUBSTITUTE(SUBSTITUTE(IFERROR(TRIM(SUBSTITUTE(A8,MID(A8,FIND("[",A8),FIND("]",A8)-FIND("[",A8)+1),"")),A8)," ",""),"-",""))&amp;CHAR(34)&amp;",")</f>
        <v>"lets06",</v>
      </c>
      <c r="DE8" s="48" t="str">
        <f>CHAR(34)&amp;"start"&amp;IFERROR(LEFT(SUBSTITUTE(A8,"["&amp;MID(A8,FIND("[",A8)+1,FIND("]",A8)-FIND("[",A8)-1)&amp;"] ",""),1),LEFT(A8,1))&amp;CHAR(34)&amp;","</f>
        <v>"startO",</v>
      </c>
      <c r="DF8" s="48" t="str">
        <f>IFERROR(IF(SEARCH("tan",A8)&gt;0,CHAR(34)&amp;"withtn"&amp;CHAR(34)&amp;",",""),"")</f>
        <v/>
      </c>
      <c r="DG8" s="48" t="str">
        <f>IFERROR(IF(SEARCH("q",A8)&gt;0,CHAR(34)&amp;"with_q"&amp;CHAR(34)&amp;",",""),"")</f>
        <v/>
      </c>
      <c r="DH8" s="48" t="str">
        <f>IFERROR(IF(SEARCH("v",A8)&gt;0,CHAR(34)&amp;"with_v"&amp;CHAR(34)&amp;",",""),"")</f>
        <v/>
      </c>
      <c r="DI8" s="48" t="str">
        <f>IFERROR(IF(SEARCH("w",A8)&gt;0,CHAR(34)&amp;"with_w"&amp;CHAR(34)&amp;",",""),"")</f>
        <v/>
      </c>
      <c r="DJ8" s="48" t="str">
        <f>IFERROR(IF(SEARCH("y",A8)&gt;0,CHAR(34)&amp;"with_y"&amp;CHAR(34)&amp;",",""),"")</f>
        <v/>
      </c>
      <c r="DK8" s="48" t="str">
        <f>IFERROR(IF(SEARCH("z",A8)&gt;0,CHAR(34)&amp;"with_z"&amp;CHAR(34)&amp;",",""),"")</f>
        <v/>
      </c>
      <c r="DL8" s="48" t="str">
        <f>IF(CG8=2, CHAR(34) &amp; _xlfn.TEXTJOIN("", TRUE, _xlfn._xlws.SORT(HP8:HX8)) &amp; CHAR(34) &amp; ",", "")</f>
        <v/>
      </c>
      <c r="DM8" s="48" t="str" cm="1">
        <f t="array" ref="DM8">IF(CG8=3,CHAR(34) &amp; _xlfn.TEXTJOIN("", TRUE, RIGHT(HP8:HX8, 2)) &amp; CHAR(34) &amp; ",", "")</f>
        <v>"LURAHI",</v>
      </c>
      <c r="DN8" s="48" t="str">
        <f>IF(AND(ISNUMBER(SEARCH("18", O8)), ISERROR(SEARCH("1918", O8)), ISERROR(SEARCH("2018", O8))), CHAR(34) &amp; "year18" &amp; CHAR(34) &amp; ",", "")</f>
        <v/>
      </c>
      <c r="DO8" s="48" t="str">
        <f>IF(AND(ISNUMBER(SEARCH("19", O8)), ISERROR(SEARCH("1819", O8)),  ISERROR(SEARCH("1219", O8)),ISERROR(SEARCH("1119", O8)),ISERROR(SEARCH("1190", O8)),ISERROR(SEARCH("2019", O8))), CHAR(34) &amp; "year19" &amp; CHAR(34) &amp; ",", "")</f>
        <v/>
      </c>
      <c r="DP8" s="6" t="str">
        <f>IF(AND(ISNUMBER(SEARCH("20", O8)), ISERROR(SEARCH("1920", O8))), CHAR(34)&amp;"year00"&amp;CHAR(34)&amp;",", "")</f>
        <v>"year00",</v>
      </c>
      <c r="DQ8" s="6" t="str">
        <f>IF(CC8="y",CHAR(34)&amp;"soviet"&amp;CHAR(34)&amp;",","")</f>
        <v/>
      </c>
      <c r="DR8" s="6" t="str">
        <f>IF(BY8="y",CHAR(34)&amp;"dgband"&amp;CHAR(34)&amp;",","")</f>
        <v/>
      </c>
      <c r="DS8" s="6" t="str">
        <f>IF(W8="y",IF(AND(V8="n",BY8&lt;&gt;"y"),CHAR(34)&amp;"allver"&amp;CHAR(34)&amp;",",""),"")</f>
        <v>"allver",</v>
      </c>
      <c r="DT8" s="6" t="str">
        <f>IF(V8="y",IF(AND(W8="n",BY8&lt;&gt;"y"),CHAR(34)&amp;"allhor"&amp;CHAR(34)&amp;",",""),"")</f>
        <v/>
      </c>
      <c r="DU8" s="6" t="str">
        <f>IF(BY8="y",IF(AND(W8="n",V8="n"),CHAR(34)&amp;"alldia"&amp;CHAR(34)&amp;",",""),"")</f>
        <v/>
      </c>
      <c r="DW8" s="48" t="str">
        <f>IF(CL8="y",CHAR(34)&amp;CL$1&amp;CHAR(34)&amp;",","")</f>
        <v/>
      </c>
      <c r="DX8" s="48" t="str">
        <f>IF(CM8="y",CHAR(34)&amp;CM$1&amp;CHAR(34)&amp;",","")</f>
        <v>"2Bands",</v>
      </c>
      <c r="DY8" s="48" t="str">
        <f>IF(CN8="y",CHAR(34)&amp;CN$1&amp;CHAR(34)&amp;",","")</f>
        <v/>
      </c>
      <c r="DZ8" s="48" t="str">
        <f>IF(CO8="y",CHAR(34)&amp;CO$1&amp;CHAR(34)&amp;",","")</f>
        <v/>
      </c>
      <c r="EA8" s="48" t="str">
        <f>IF(T8="y",CHAR(34)&amp;T$1&amp;CHAR(34)&amp;",","")</f>
        <v/>
      </c>
      <c r="EB8" s="48" t="str">
        <f>IF(U8="y",CHAR(34)&amp;U$1&amp;CHAR(34)&amp;",","")</f>
        <v/>
      </c>
      <c r="EC8" s="48" t="str">
        <f>IF(V8="y",CHAR(34)&amp;V$1&amp;CHAR(34)&amp;",","")</f>
        <v/>
      </c>
      <c r="ED8" s="48" t="str">
        <f>IF(W8="y",CHAR(34)&amp;W$1&amp;CHAR(34)&amp;",","")</f>
        <v>"Vertic",</v>
      </c>
      <c r="EE8" s="48" t="str">
        <f>IF(X8="y",CHAR(34)&amp;X$1&amp;CHAR(34)&amp;",","")</f>
        <v/>
      </c>
      <c r="EF8" s="48" t="str">
        <f>IF(AND(Y8&lt;&gt;"n",Y8&lt;&gt;""),CHAR(34)&amp;Y$1&amp;CHAR(34)&amp;",","")</f>
        <v/>
      </c>
      <c r="EG8" s="48" t="str">
        <f>IF(Z8="y",CHAR(34)&amp;Z$1&amp;CHAR(34)&amp;",","")</f>
        <v/>
      </c>
      <c r="EH8" s="48" t="str">
        <f>IF(AA8="y",CHAR(34)&amp;AA$1&amp;CHAR(34)&amp;",","")</f>
        <v/>
      </c>
      <c r="EI8" s="48" t="str">
        <f>IF(AB8="y",CHAR(34)&amp;AB$1&amp;CHAR(34)&amp;",","")</f>
        <v/>
      </c>
      <c r="EJ8" s="48" t="str">
        <f>IF(AC8="y",CHAR(34)&amp;AC$1&amp;CHAR(34)&amp;",","")</f>
        <v/>
      </c>
      <c r="EK8" s="48" t="str">
        <f>IF(AD8="y",CHAR(34)&amp;AD$1&amp;CHAR(34)&amp;",","")</f>
        <v/>
      </c>
      <c r="EL8" s="48" t="str">
        <f>IF(AE8="y",CHAR(34)&amp;AE$1&amp;CHAR(34)&amp;",","")</f>
        <v/>
      </c>
      <c r="EM8" s="48" t="str">
        <f>IF(AF8="y",CHAR(34)&amp;AF$1&amp;CHAR(34)&amp;",","")</f>
        <v/>
      </c>
      <c r="EN8" s="48" t="str">
        <f>IF(AG8="y",CHAR(34)&amp;AG$1&amp;CHAR(34)&amp;",","")</f>
        <v/>
      </c>
      <c r="EO8" s="48" t="str">
        <f>IF(AH8="y",CHAR(34)&amp;AH$1&amp;CHAR(34)&amp;",","")</f>
        <v/>
      </c>
      <c r="EP8" s="48" t="str">
        <f>IF(AI8="y",CHAR(34)&amp;AI$1&amp;CHAR(34)&amp;",","")</f>
        <v/>
      </c>
      <c r="EQ8" s="48" t="str">
        <f>IF(AJ8="y",CHAR(34)&amp;AJ$1&amp;CHAR(34)&amp;",","")</f>
        <v/>
      </c>
      <c r="ER8" s="48" t="str">
        <f>IF(AK8="y",CHAR(34)&amp;AK$1&amp;CHAR(34)&amp;",","")</f>
        <v/>
      </c>
      <c r="ES8" s="48" t="str">
        <f>IF(AL8="y",CHAR(34)&amp;AL$1&amp;CHAR(34)&amp;",","")</f>
        <v/>
      </c>
      <c r="ET8" s="48" t="str">
        <f>IF(AM8="y",CHAR(34)&amp;AM$1&amp;CHAR(34)&amp;",","")</f>
        <v/>
      </c>
      <c r="EU8" s="48" t="str">
        <f>IF(AN8="y",CHAR(34)&amp;AN$1&amp;CHAR(34)&amp;",","")</f>
        <v>"Humans",</v>
      </c>
      <c r="EV8" s="48" t="str">
        <f>IF(AO8="y",CHAR(34)&amp;AO$1&amp;CHAR(34)&amp;",","")</f>
        <v/>
      </c>
      <c r="EW8" s="48" t="str">
        <f>IF(AP8="y",CHAR(34)&amp;AP$1&amp;CHAR(34)&amp;",","")</f>
        <v/>
      </c>
      <c r="EX8" s="48" t="str">
        <f>IF(AQ8="y",CHAR(34)&amp;AQ$1&amp;CHAR(34)&amp;",","")</f>
        <v/>
      </c>
      <c r="EY8" s="48" t="str">
        <f>IF(AR8="y",CHAR(34)&amp;AR$1&amp;CHAR(34)&amp;",","")</f>
        <v/>
      </c>
      <c r="EZ8" s="48" t="str">
        <f>IF(AS8="y",CHAR(34)&amp;AS$1&amp;CHAR(34)&amp;",","")</f>
        <v/>
      </c>
      <c r="FA8" s="48" t="str">
        <f>IF(AT8&gt;0,CHAR(34)&amp;"sta"&amp;AZ8&amp;CHAR(34)&amp;",","")</f>
        <v/>
      </c>
      <c r="FB8" s="48" t="str">
        <f>IF(AND(AT8&gt;0,BA8&lt;&gt;""),CHAR(34)&amp;"sta"&amp;BA8&amp;CHAR(34)&amp;",","")</f>
        <v/>
      </c>
      <c r="FD8" s="48" t="str">
        <f>IF(BV8="n",CHAR(34)&amp;"tcWHYE"&amp;CHAR(34)&amp;",",IF(BV8="y",CHAR(34)&amp;FD$1&amp;CHAR(34)&amp;",",""))</f>
        <v/>
      </c>
      <c r="FE8" s="48" t="str">
        <f>IF(COUNTIF(BL8:BT8,"BLU")=0,CHAR(34)&amp;"NO_BLU"&amp;CHAR(34)&amp;",", "")</f>
        <v/>
      </c>
      <c r="FF8" s="48" t="str">
        <f>IF(COUNTIF(BL8:BT8,"WHI")=0,CHAR(34)&amp;"NO_WHI"&amp;CHAR(34)&amp;",", "")</f>
        <v/>
      </c>
      <c r="FG8" s="48" t="str">
        <f>IF(COUNTIF(BL8:BT8,"RED")=0,CHAR(34)&amp;"NO_RED"&amp;CHAR(34)&amp;",", "")</f>
        <v>"NO_RED",</v>
      </c>
      <c r="FH8" s="48" t="str">
        <f>IF(COUNTIF(BL8:BS8,"GRE")=0,CHAR(34)&amp;"NO_GRE"&amp;CHAR(34)&amp;",", "")</f>
        <v>"NO_GRE",</v>
      </c>
      <c r="FI8" s="48" t="str">
        <f>IF(COUNTIF(BL8:BT8,"YEL")=0,CHAR(34)&amp;"NO_YEL"&amp;CHAR(34)&amp;",", "")</f>
        <v>"NO_YEL",</v>
      </c>
      <c r="FJ8" s="48" t="str">
        <f>IF(COUNTIF(BL8:BT8,"BLA")=0,CHAR(34)&amp;"NO_BLA"&amp;CHAR(34)&amp;",", "")</f>
        <v>"NO_BLA",</v>
      </c>
      <c r="FK8" s="48" t="str">
        <f>IF(AND(FH8&lt;&gt;"",FF8&lt;&gt;""),CHAR(34)&amp;"WHGRNO"&amp;CHAR(34)&amp;",","")</f>
        <v/>
      </c>
      <c r="FL8" s="48" t="str">
        <f>IF(AND(FI8&lt;&gt;"",FF8&lt;&gt;""),CHAR(34)&amp;"WHYENO"&amp;CHAR(34)&amp;",","")</f>
        <v/>
      </c>
      <c r="FM8" s="48" t="str">
        <f>IF(AND(FJ8&lt;&gt;"",FF8&lt;&gt;""),CHAR(34)&amp;"BAWHNO"&amp;CHAR(34)&amp;",","")</f>
        <v/>
      </c>
      <c r="FN8" s="48" t="str">
        <f>IF(AND(FE8&lt;&gt;"",FF8&lt;&gt;""),CHAR(34)&amp;"BLWHNO"&amp;CHAR(34)&amp;",","")</f>
        <v/>
      </c>
      <c r="FO8" s="48" t="str">
        <f>IF(AND(FE8&lt;&gt;"",FG8&lt;&gt;""),CHAR(34)&amp;"BLRENO"&amp;CHAR(34)&amp;",","")</f>
        <v/>
      </c>
      <c r="FP8" s="48" t="str">
        <f>IF(AND(FF8&lt;&gt;"",FF8&lt;&gt;""),CHAR(34)&amp;"WHRENO"&amp;CHAR(34)&amp;",","")</f>
        <v/>
      </c>
      <c r="FQ8" s="48" t="str">
        <f>IF(LEN(BF8)=3,CHAR(34)&amp;"001"&amp;BF8&amp;CHAR(34)&amp;",","")</f>
        <v>"001BLU",</v>
      </c>
      <c r="FR8" s="48" t="str">
        <f>IF(LEN(BG8)=3,CHAR(34)&amp;"002"&amp;BG8&amp;CHAR(34)&amp;",","")</f>
        <v/>
      </c>
      <c r="FS8" s="48" t="str">
        <f>IF(LEN(BH8)=3,CHAR(34)&amp;"003"&amp;BH8&amp;CHAR(34)&amp;",","")</f>
        <v>"003ORA",</v>
      </c>
      <c r="FT8" s="48" t="str">
        <f>CHAR(34)&amp;"myr"&amp;BD8&amp;CHAR(34)&amp;","</f>
        <v>"myrORA",</v>
      </c>
      <c r="FU8" s="48" t="str">
        <f>IF(AY8="y",CHAR(34)&amp;"island"&amp;CHAR(34)&amp;",","")</f>
        <v/>
      </c>
      <c r="FV8" s="48" t="str">
        <f>IF(BZ8="y",CHAR(34)&amp;"landlo"&amp;CHAR(34)&amp;",","")</f>
        <v/>
      </c>
      <c r="FW8" s="48" t="str">
        <f>IF(CA8="y",CHAR(34)&amp;"eunion"&amp;CHAR(34)&amp;",","")</f>
        <v/>
      </c>
      <c r="FY8" s="48" t="str">
        <f>IFERROR(IF(SEARCH("Arabic",CB8)&gt;0,CHAR(34)&amp;"arabic"&amp;CHAR(34)&amp;",",""),"")</f>
        <v/>
      </c>
      <c r="FZ8" s="48" t="str">
        <f>IFERROR(IF(SEARCH("English",CB8)&gt;0,CHAR(34)&amp;"englis"&amp;CHAR(34)&amp;",",""),"")</f>
        <v/>
      </c>
      <c r="GA8" s="48" t="str">
        <f>IFERROR(IF(SEARCH("French",CB8)&gt;0,CHAR(34)&amp;"french"&amp;CHAR(34)&amp;",",""),"")</f>
        <v/>
      </c>
      <c r="GB8" s="48" t="str">
        <f>IFERROR(IF(SEARCH("Spanish",CB8)&gt;0,CHAR(34)&amp;"spanis"&amp;CHAR(34)&amp;",",""),"")</f>
        <v/>
      </c>
      <c r="GE8" s="48" t="str">
        <f>IFERROR(IF(SEARCH("Dutch",CB8)&gt;0,CHAR(34)&amp;"dutchs"&amp;CHAR(34)&amp;",",""),"")</f>
        <v/>
      </c>
      <c r="GF8" s="48" t="str">
        <f>IFERROR(IF(SEARCH("Historical",AU8)&gt;0,CHAR(34)&amp;"histor"&amp;CHAR(34)&amp;",",""),"")</f>
        <v/>
      </c>
      <c r="GG8" s="48" t="str">
        <f>IF(BU8="y",CHAR(34)&amp;"unjack"&amp;CHAR(34)&amp;",","")</f>
        <v/>
      </c>
      <c r="GH8" s="48" t="str">
        <f>IF(CD8=1,CHAR(34)&amp;"southc"&amp;CHAR(34)&amp;",","")</f>
        <v/>
      </c>
      <c r="GI8" s="48" t="str">
        <f>IF(CE8=1,CHAR(34)&amp;"hasmap"&amp;CHAR(34)&amp;",","")</f>
        <v/>
      </c>
      <c r="GJ8" s="48" t="str">
        <f>IF(CP8="y",CHAR(34)&amp;CP$1&amp;CHAR(34)&amp;",","")</f>
        <v>"NoStar",</v>
      </c>
      <c r="GK8" s="48" t="str">
        <f>IF(GJ8="",CHAR(34)&amp;"HasSta"&amp;CHAR(34)&amp;",","")</f>
        <v/>
      </c>
      <c r="GL8" s="48" t="str">
        <f>IF(CQ8="y",CHAR(34)&amp;CQ$1&amp;CHAR(34)&amp;",","")</f>
        <v/>
      </c>
      <c r="GM8" s="48" t="str">
        <f>IF(CR8="y",CHAR(34)&amp;CR$1&amp;CHAR(34)&amp;",","")</f>
        <v/>
      </c>
      <c r="GN8" s="48" t="str">
        <f>IF(CS8="y",CHAR(34)&amp;CS$1&amp;CHAR(34)&amp;",","")</f>
        <v/>
      </c>
      <c r="GP8" s="48" t="str">
        <f>CHAR(34)&amp;AU8&amp;CHAR(34)</f>
        <v>"Micronation"</v>
      </c>
      <c r="GS8" s="48" t="str">
        <f>SUBSTITUTE("["&amp;_xlfn.CONCAT(CW8:GN8)&amp;"]",",]","]")</f>
        <v>["3Color","lets06","startO","LURAHI","year00","allver","2Bands","Vertic","Humans","NO_RED","NO_GRE","NO_YEL","NO_BLA","001BLU","003ORA","myrORA","NoStar"]</v>
      </c>
      <c r="GT8" s="48" t="str">
        <f>IF(BL8&lt;&gt;"",CHAR(34)&amp;"cl_"&amp;BL8&amp;CHAR(34)&amp;",","")</f>
        <v/>
      </c>
      <c r="GU8" s="48" t="str">
        <f>IF(BM8&lt;&gt;"",CHAR(34)&amp;"cl_"&amp;BM8&amp;CHAR(34)&amp;",","")</f>
        <v>"cl_BLU",</v>
      </c>
      <c r="GV8" s="48" t="str">
        <f>IF(BN8&lt;&gt;"",CHAR(34)&amp;"cl_"&amp;BN8&amp;CHAR(34)&amp;",","")</f>
        <v/>
      </c>
      <c r="GW8" s="48" t="str">
        <f>IF(BO8&lt;&gt;"",CHAR(34)&amp;"cl_"&amp;BO8&amp;CHAR(34)&amp;",","")</f>
        <v/>
      </c>
      <c r="GX8" s="48" t="str">
        <f>IF(BP8&lt;&gt;"",CHAR(34)&amp;"cl_"&amp;BP8&amp;CHAR(34)&amp;",","")</f>
        <v/>
      </c>
      <c r="GY8" s="48" t="str">
        <f>IF(BQ8&lt;&gt;"",CHAR(34)&amp;"cl_"&amp;BQ8&amp;CHAR(34)&amp;",","")</f>
        <v>"cl_ORA",</v>
      </c>
      <c r="GZ8" s="48" t="str">
        <f>IF(BR8&lt;&gt;"",CHAR(34)&amp;"cl_"&amp;BR8&amp;CHAR(34)&amp;",","")</f>
        <v/>
      </c>
      <c r="HA8" s="48" t="str">
        <f>IF(BS8&lt;&gt;"",CHAR(34)&amp;"cl_"&amp;BS8&amp;CHAR(34)&amp;",","")</f>
        <v/>
      </c>
      <c r="HB8" s="48" t="str">
        <f>IF(BT8&lt;&gt;"",CHAR(34)&amp;"cl_"&amp;BT8&amp;CHAR(34)&amp;",","")</f>
        <v>"cl_WHI",</v>
      </c>
      <c r="HC8" s="48" t="str">
        <f>SUBSTITUTE("["&amp;_xlfn.CONCAT(GT8:HB8)&amp;"]",",]","]")</f>
        <v>["cl_BLU","cl_ORA","cl_WHI"]</v>
      </c>
      <c r="HE8" s="71"/>
      <c r="HF8" s="72" t="str">
        <f>"{couname:"&amp;CT8&amp;(IF(HK8&lt;&gt;"",",subtype:"&amp;CHAR(34)&amp;HK8&amp;CHAR(34),""))&amp;",year:"&amp;HJ8&amp;",region:"&amp;CU8&amp;",Colors:"&amp;HC8&amp;",Items:"&amp;GS8&amp;",Flag:"&amp;CV8&amp;",HDFlag:"&amp;CHAR(34)&amp;E8&amp;CHAR(34)&amp;",type:"&amp;GP8&amp;", describe: "&amp;HH8&amp;", isnew:"&amp;CHAR(34)&amp;F8&amp;CHAR(34)&amp;", links: "&amp;HL8&amp;"},"</f>
        <v>{couname:"[RSA] Orania",year:"2004",region:"rgn_Africa",Colors:["cl_BLU","cl_ORA","cl_WHI"],Items:["3Color","lets06","startO","LURAHI","year00","allver","2Bands","Vertic","Humans","NO_RED","NO_GRE","NO_YEL","NO_BLA","001BLU","003ORA","myrORA","NoStar"],Flag:"https://upload.wikimedia.org/wikipedia/commons/thumb/c/c1/Orania_flag.svg/300px-Orania_flag.svg.png",HDFlag:"https://upload.wikimedia.org/wikipedia/commons/thumb/c/c1/Orania_flag.svg/640px-Orania_flag.svg.png",type:"Micronation", describe: "\nAccording to the Orania Beweging, the colours are indicative of their ancestors and history, which are also to be found in the Prinzenvlag of the Netherlands, then later in the flags of the Orange Free State, the Zuid-Afrikaansche Republiek and finally in the former national flag of South Africa. The colours on the new flag of Orania have been reversed to blue, white, and orange to symbolise a fresh beginning.\n\nThe white figure so placed to overlap the blue and orange. Blue is symbolic of heaven, of faith and of devotion. White symbolises purity and peace with orange symbolising freedom, energy, protection and honour. Orange is also the symbolic colour of Orania.\n\nThe little boy rolling up his sleeves represents freedom through hard work.", isnew:".", links: "https://www.fotw.info/flags/za%7Dorani.html"},</v>
      </c>
      <c r="HG8" s="73" t="str">
        <f>"{couname:"&amp;CT8&amp;(IF(HK8&lt;&gt;"",",subtype:"&amp;CHAR(34)&amp;HK8&amp;CHAR(34),""))&amp;",year:"&amp;HJ8&amp;",region:"&amp;CU8&amp;",Colors:"&amp;HC8&amp;",Items:"&amp;GS8&amp;",Flag:"&amp;CV8&amp;",HDFlag:"&amp;CHAR(34)&amp;E8&amp;CHAR(34)&amp;",type:"&amp;GP8&amp;", describe: "&amp;HI8&amp;", links: "&amp;HL8&amp;"},"</f>
        <v>{couname:"[RSA] Orania",year:"2004",region:"rgn_Africa",Colors:["cl_BLU","cl_ORA","cl_WHI"],Items:["3Color","lets06","startO","LURAHI","year00","allver","2Bands","Vertic","Humans","NO_RED","NO_GRE","NO_YEL","NO_BLA","001BLU","003ORA","myrORA","NoStar"],Flag:"https://upload.wikimedia.org/wikipedia/commons/thumb/c/c1/Orania_flag.svg/300px-Orania_flag.svg.png",HDFlag:"https://upload.wikimedia.org/wikipedia/commons/thumb/c/c1/Orania_flag.svg/640px-Orania_flag.svg.png",type:"Micronation", describe: "\nAccording to the Orania Beweging, the colours are indicative of their ancestors and history, which are also to be found in the Prinzenvlag of the Netherlands, then later in the flags of the Orange Free State, the Zuid-Afrikaansche Republiek and finally in the former national flag of South Africa. The colours on the new flag of Orania have been reversed to blue, white, and orange to symbolise a fresh beginning.\n\nThe white figure so placed to overlap the blue and orange. Blue is symbolic of heaven, of faith and of devotion. White symbolises purity and peace with orange symbolising freedom, energy, protection and honour. Orange is also the symbolic colour of Orania.\n\nThe little boy rolling up his sleeves represents freedom through hard work.", links: "https://www.fotw.info/flags/za%7Dorani.html"},</v>
      </c>
      <c r="HH8" s="48" t="str">
        <f>IF(P8&lt;&gt;"",CHAR(34)&amp;"\n"&amp;P8&amp;CHAR(34),CHAR(34)&amp;CHAR(34))</f>
        <v>"\nAccording to the Orania Beweging, the colours are indicative of their ancestors and history, which are also to be found in the Prinzenvlag of the Netherlands, then later in the flags of the Orange Free State, the Zuid-Afrikaansche Republiek and finally in the former national flag of South Africa. The colours on the new flag of Orania have been reversed to blue, white, and orange to symbolise a fresh beginning.\n\nThe white figure so placed to overlap the blue and orange. Blue is symbolic of heaven, of faith and of devotion. White symbolises purity and peace with orange symbolising freedom, energy, protection and honour. Orange is also the symbolic colour of Orania.\n\nThe little boy rolling up his sleeves represents freedom through hard work."</v>
      </c>
      <c r="HI8" s="48" t="str">
        <f>IF(J8=0,CHAR(34)&amp;CHAR(34),HH8)</f>
        <v>"\nAccording to the Orania Beweging, the colours are indicative of their ancestors and history, which are also to be found in the Prinzenvlag of the Netherlands, then later in the flags of the Orange Free State, the Zuid-Afrikaansche Republiek and finally in the former national flag of South Africa. The colours on the new flag of Orania have been reversed to blue, white, and orange to symbolise a fresh beginning.\n\nThe white figure so placed to overlap the blue and orange. Blue is symbolic of heaven, of faith and of devotion. White symbolises purity and peace with orange symbolising freedom, energy, protection and honour. Orange is also the symbolic colour of Orania.\n\nThe little boy rolling up his sleeves represents freedom through hard work."</v>
      </c>
      <c r="HJ8" s="48" t="str">
        <f>CHAR(34)&amp;O8&amp;CHAR(34)</f>
        <v>"2004"</v>
      </c>
      <c r="HL8" s="48" t="str">
        <f>CHAR(34)&amp;I8&amp;CHAR(34)</f>
        <v>"https://www.fotw.info/flags/za%7Dorani.html"</v>
      </c>
      <c r="HM8" s="72" t="str">
        <f>"{"&amp;CHAR(34)&amp;"couname"&amp;CHAR(34)&amp;":"&amp;CT8&amp;(IF(H8&lt;&gt;"",","&amp;CHAR(34)&amp;"subtype"&amp;CHAR(34)&amp;":"&amp;CHAR(34)&amp;H8&amp;CHAR(34),""))&amp;","&amp;CHAR(34)&amp;"year"&amp;CHAR(34)&amp;":"&amp;HJ8&amp;","&amp;CHAR(34)&amp;"region"&amp;CHAR(34)&amp;":"&amp;CU8&amp;","&amp;CHAR(34)&amp;"Colors"&amp;CHAR(34)&amp;":"&amp;HC8&amp;","&amp;CHAR(34)&amp;"Items"&amp;CHAR(34)&amp;":"&amp;GS8&amp;","&amp;CHAR(34)&amp;"Flag"&amp;CHAR(34)&amp;":"&amp;CV8&amp;","&amp;CHAR(34)&amp;"HDFlag"&amp;CHAR(34)&amp;":"&amp;CHAR(34)&amp;E8&amp;CHAR(34)&amp;","&amp;CHAR(34)&amp;"type"&amp;CHAR(34)&amp;":"&amp;GP8&amp;", "&amp;CHAR(34)&amp;"describe"&amp;CHAR(34)&amp;": "&amp;HH8&amp;", "&amp;CHAR(34)&amp;"isnew"&amp;CHAR(34)&amp;": "&amp;CHAR(34)&amp;F8&amp;CHAR(34)&amp;", "&amp;CHAR(34)&amp;"links"&amp;CHAR(34)&amp;": "&amp;HL8&amp;"},"</f>
        <v>{"couname":"[RSA] Orania","subtype":"[RSA] Other","year":"2004","region":"rgn_Africa","Colors":["cl_BLU","cl_ORA","cl_WHI"],"Items":["3Color","lets06","startO","LURAHI","year00","allver","2Bands","Vertic","Humans","NO_RED","NO_GRE","NO_YEL","NO_BLA","001BLU","003ORA","myrORA","NoStar"],"Flag":"https://upload.wikimedia.org/wikipedia/commons/thumb/c/c1/Orania_flag.svg/300px-Orania_flag.svg.png","HDFlag":"https://upload.wikimedia.org/wikipedia/commons/thumb/c/c1/Orania_flag.svg/640px-Orania_flag.svg.png","type":"Micronation", "describe": "\nAccording to the Orania Beweging, the colours are indicative of their ancestors and history, which are also to be found in the Prinzenvlag of the Netherlands, then later in the flags of the Orange Free State, the Zuid-Afrikaansche Republiek and finally in the former national flag of South Africa. The colours on the new flag of Orania have been reversed to blue, white, and orange to symbolise a fresh beginning.\n\nThe white figure so placed to overlap the blue and orange. Blue is symbolic of heaven, of faith and of devotion. White symbolises purity and peace with orange symbolising freedom, energy, protection and honour. Orange is also the symbolic colour of Orania.\n\nThe little boy rolling up his sleeves represents freedom through hard work.", "isnew": ".", "links": "https://www.fotw.info/flags/za%7Dorani.html"},</v>
      </c>
      <c r="HN8" s="74" t="str">
        <f>"{"&amp;CHAR(34)&amp;"couname"&amp;CHAR(34)&amp;":"&amp;CT8&amp;(IF(H8&lt;&gt;"",","&amp;CHAR(34)&amp;"subtype"&amp;CHAR(34)&amp;":"&amp;CHAR(34)&amp;H8&amp;CHAR(34),""))&amp;","&amp;CHAR(34)&amp;"year"&amp;CHAR(34)&amp;":"&amp;HJ8&amp;","&amp;CHAR(34)&amp;"region"&amp;CHAR(34)&amp;":"&amp;CU8&amp;","&amp;CHAR(34)&amp;"Colors"&amp;CHAR(34)&amp;":"&amp;HC8&amp;","&amp;CHAR(34)&amp;"Items"&amp;CHAR(34)&amp;":"&amp;GS8&amp;","&amp;CHAR(34)&amp;"Flag"&amp;CHAR(34)&amp;":"&amp;CV8&amp;","&amp;CHAR(34)&amp;"HDFlag"&amp;CHAR(34)&amp;":"&amp;CHAR(34)&amp;E8&amp;CHAR(34)&amp;","&amp;CHAR(34)&amp;"type"&amp;CHAR(34)&amp;":"&amp;GP8&amp;", "&amp;CHAR(34)&amp;"describe"&amp;CHAR(34)&amp;": "&amp;HI8&amp;", "&amp;CHAR(34)&amp;"isnew"&amp;CHAR(34)&amp;": "&amp;CHAR(34)&amp;F8&amp;CHAR(34)&amp;", "&amp;CHAR(34)&amp;"links"&amp;CHAR(34)&amp;": "&amp;HL8&amp;"},"</f>
        <v>{"couname":"[RSA] Orania","subtype":"[RSA] Other","year":"2004","region":"rgn_Africa","Colors":["cl_BLU","cl_ORA","cl_WHI"],"Items":["3Color","lets06","startO","LURAHI","year00","allver","2Bands","Vertic","Humans","NO_RED","NO_GRE","NO_YEL","NO_BLA","001BLU","003ORA","myrORA","NoStar"],"Flag":"https://upload.wikimedia.org/wikipedia/commons/thumb/c/c1/Orania_flag.svg/300px-Orania_flag.svg.png","HDFlag":"https://upload.wikimedia.org/wikipedia/commons/thumb/c/c1/Orania_flag.svg/640px-Orania_flag.svg.png","type":"Micronation", "describe": "\nAccording to the Orania Beweging, the colours are indicative of their ancestors and history, which are also to be found in the Prinzenvlag of the Netherlands, then later in the flags of the Orange Free State, the Zuid-Afrikaansche Republiek and finally in the former national flag of South Africa. The colours on the new flag of Orania have been reversed to blue, white, and orange to symbolise a fresh beginning.\n\nThe white figure so placed to overlap the blue and orange. Blue is symbolic of heaven, of faith and of devotion. White symbolises purity and peace with orange symbolising freedom, energy, protection and honour. Orange is also the symbolic colour of Orania.\n\nThe little boy rolling up his sleeves represents freedom through hard work.", "isnew": ".", "links": "https://www.fotw.info/flags/za%7Dorani.html"},</v>
      </c>
      <c r="HO8" s="75">
        <v>45596</v>
      </c>
      <c r="HP8" s="48" t="str" cm="1">
        <f t="array" ref="HP8">IF(_xlfn.TEXTJOIN(", ", TRUE, IF(ISNUMBER(SEARCH("BLA", BL8:BT8)), COLUMN(BL8:BT8) - COLUMN(BL8) + 1, ""))&lt;&gt;"","BLA","")</f>
        <v/>
      </c>
      <c r="HQ8" s="48" t="str" cm="1">
        <f t="array" ref="HQ8">IF(_xlfn.TEXTJOIN(", ", TRUE, IF(ISNUMBER(SEARCH("BLU", BL8:BT8)), COLUMN(BL8:BT8) - COLUMN(BL8) + 1, ""))&lt;&gt;"","BLU","")</f>
        <v>BLU</v>
      </c>
      <c r="HR8" s="48" t="str" cm="1">
        <f t="array" ref="HR8">IF(_xlfn.TEXTJOIN(", ", TRUE, IF(ISNUMBER(SEARCH("GRE", BL8:BT8)), COLUMN(BL8:BT8) - COLUMN(BL8) + 1, ""))&lt;&gt;"","GRE","")</f>
        <v/>
      </c>
      <c r="HS8" s="48" t="str" cm="1">
        <f t="array" ref="HS8">IF(_xlfn.TEXTJOIN(", ", TRUE, IF(ISNUMBER(SEARCH("RED", BL8:BT8)), COLUMN(BL8:BT8) - COLUMN(BL8) + 1, ""))&lt;&gt;"","RED","")</f>
        <v/>
      </c>
      <c r="HT8" s="48" t="str" cm="1">
        <f t="array" ref="HT8">IF(_xlfn.TEXTJOIN(", ", TRUE, IF(ISNUMBER(SEARCH("YEL", BL8:BT8)), COLUMN(BL8:BT8) - COLUMN(BL8) + 1, ""))&lt;&gt;"","YEL","")</f>
        <v/>
      </c>
      <c r="HU8" s="48" t="str" cm="1">
        <f t="array" ref="HU8">IF(_xlfn.TEXTJOIN(", ", TRUE, IF(ISNUMBER(SEARCH("ORA", BL8:BT8)), COLUMN(BL8:BT8) - COLUMN(BL8) + 1, ""))&lt;&gt;"","ORA","")</f>
        <v>ORA</v>
      </c>
      <c r="HV8" s="48" t="str" cm="1">
        <f t="array" ref="HV8">IF(_xlfn.TEXTJOIN(", ", TRUE, IF(ISNUMBER(SEARCH("BRO", BL8:BT8)), COLUMN(BL8:BT8) - COLUMN(BL8) + 1, ""))&lt;&gt;"","BRO","")</f>
        <v/>
      </c>
      <c r="HW8" s="48" t="str" cm="1">
        <f t="array" ref="HW8">IF(_xlfn.TEXTJOIN(", ", TRUE, IF(ISNUMBER(SEARCH("PUR", BL8:BT8)), COLUMN(BL8:BT8) - COLUMN(BL8) + 1, ""))&lt;&gt;"","PUR","")</f>
        <v/>
      </c>
      <c r="HX8" s="48" t="str" cm="1">
        <f t="array" ref="HX8">IF(_xlfn.TEXTJOIN(", ", TRUE, IF(ISNUMBER(SEARCH("WHI", BL8:BT8)), COLUMN(BL8:BT8) - COLUMN(BL8) + 1, ""))&lt;&gt;"","WHI","")</f>
        <v>WHI</v>
      </c>
      <c r="HY8" s="76"/>
      <c r="HZ8" s="76"/>
      <c r="IA8" s="6"/>
      <c r="IB8" s="6"/>
      <c r="IC8" s="77"/>
      <c r="ID8" s="77"/>
      <c r="IE8" s="77"/>
      <c r="IF8" s="77"/>
      <c r="IG8" s="77"/>
      <c r="IH8" s="77"/>
      <c r="II8" s="77"/>
      <c r="IJ8" s="77"/>
      <c r="IK8" s="77"/>
      <c r="IM8" s="45">
        <f>COUNTIF(IC8:IK8,"&gt;0")-CG8</f>
        <v>-3</v>
      </c>
      <c r="IN8" s="78" t="str">
        <f>"http://mkweb.bcgsc.ca/color-summarizer/?url="&amp;D8&amp;"&amp;precision=low&amp;num_clusters="&amp;CG8&amp;"&amp;text=1"</f>
        <v>http://mkweb.bcgsc.ca/color-summarizer/?url=https://upload.wikimedia.org/wikipedia/commons/thumb/c/c1/Orania_flag.svg/300px-Orania_flag.svg.png&amp;precision=low&amp;num_clusters=3&amp;text=1</v>
      </c>
      <c r="IO8" s="48" t="str">
        <f>IF(HP8&lt;&gt;"",CHAR(34)&amp;"black"&amp;CHAR(34),"")</f>
        <v/>
      </c>
      <c r="IP8" s="48" t="str">
        <f>IF(HQ8&lt;&gt;"",CHAR(34)&amp;"blue"&amp;CHAR(34),"")</f>
        <v>"blue"</v>
      </c>
      <c r="IQ8" s="48" t="str">
        <f>IF(HR8&lt;&gt;"",CHAR(34)&amp;"green"&amp;CHAR(34),"")</f>
        <v/>
      </c>
      <c r="IR8" s="48" t="str">
        <f>IF(HS8&lt;&gt;"",CHAR(34)&amp;"red"&amp;CHAR(34),"")</f>
        <v/>
      </c>
      <c r="IS8" s="48" t="str">
        <f>IF(HT8&lt;&gt;"",CHAR(34)&amp;"yellow"&amp;CHAR(34),"")</f>
        <v/>
      </c>
      <c r="IT8" s="48" t="str">
        <f>IF(HU8&lt;&gt;"",CHAR(34)&amp;"orange"&amp;CHAR(34),"")</f>
        <v>"orange"</v>
      </c>
      <c r="IU8" s="48" t="str">
        <f>IF(HV8&lt;&gt;"",CHAR(34)&amp;"brown"&amp;CHAR(34),"")</f>
        <v/>
      </c>
      <c r="IV8" s="48" t="str">
        <f>IF(HW8&lt;&gt;"",CHAR(34)&amp;"purple"&amp;CHAR(34),"")</f>
        <v/>
      </c>
      <c r="IW8" s="48" t="str">
        <f>IF(HX8&lt;&gt;"",CHAR(34)&amp;"white"&amp;CHAR(34),"")</f>
        <v>"white"</v>
      </c>
      <c r="IX8" s="48" t="str">
        <f>"{"&amp;CHAR(34)&amp;"url"&amp;CHAR(34)&amp;":"&amp;CHAR(34)&amp;IN8&amp;CHAR(34)&amp;","&amp;CHAR(34)&amp;"name"&amp;CHAR(34)&amp;":"&amp;CHAR(34)&amp;A8&amp;CHAR(34)&amp;"},"</f>
        <v>{"url":"http://mkweb.bcgsc.ca/color-summarizer/?url=https://upload.wikimedia.org/wikipedia/commons/thumb/c/c1/Orania_flag.svg/300px-Orania_flag.svg.png&amp;precision=low&amp;num_clusters=3&amp;text=1","name":"[RSA] Orania"},</v>
      </c>
      <c r="IY8" s="48">
        <v>1396</v>
      </c>
    </row>
    <row r="9" spans="1:259" ht="38.4" customHeight="1" x14ac:dyDescent="0.3">
      <c r="G9" s="83"/>
      <c r="H9" s="83"/>
    </row>
    <row r="10" spans="1:259" ht="38.4" customHeight="1" x14ac:dyDescent="0.3">
      <c r="G10" s="83"/>
      <c r="H10" s="83"/>
    </row>
    <row r="11" spans="1:259" ht="38.4" customHeight="1" x14ac:dyDescent="0.3">
      <c r="G11" s="83"/>
      <c r="H11" s="83"/>
    </row>
    <row r="12" spans="1:259" ht="38.4" customHeight="1" x14ac:dyDescent="0.3">
      <c r="G12" s="83"/>
      <c r="H12" s="83"/>
    </row>
  </sheetData>
  <autoFilter ref="A1:IY1" xr:uid="{A1051193-A95B-4CFB-A73C-F0184620C81F}">
    <sortState xmlns:xlrd2="http://schemas.microsoft.com/office/spreadsheetml/2017/richdata2" ref="A2:IY8">
      <sortCondition ref="AW1"/>
    </sortState>
  </autoFilter>
  <conditionalFormatting sqref="H1 CW1:GS1 IA1:IB1">
    <cfRule type="cellIs" dxfId="1970" priority="118" operator="greaterThan">
      <formula>0</formula>
    </cfRule>
  </conditionalFormatting>
  <conditionalFormatting sqref="H1 H9:H1048576">
    <cfRule type="cellIs" dxfId="1969" priority="84" stopIfTrue="1" operator="notEqual">
      <formula>""</formula>
    </cfRule>
  </conditionalFormatting>
  <conditionalFormatting sqref="T1:BK1">
    <cfRule type="cellIs" dxfId="1968" priority="121" operator="greaterThan">
      <formula>0</formula>
    </cfRule>
  </conditionalFormatting>
  <conditionalFormatting sqref="BV1:BW1 BV9:BW1048576">
    <cfRule type="cellIs" dxfId="1967" priority="120" operator="equal">
      <formula>"nc"</formula>
    </cfRule>
  </conditionalFormatting>
  <conditionalFormatting sqref="HF1:HG1">
    <cfRule type="cellIs" dxfId="1966" priority="122" operator="greaterThan">
      <formula>0</formula>
    </cfRule>
  </conditionalFormatting>
  <conditionalFormatting sqref="HK1">
    <cfRule type="cellIs" dxfId="1965" priority="119" operator="greaterThan">
      <formula>0</formula>
    </cfRule>
  </conditionalFormatting>
  <conditionalFormatting sqref="HP1:HX1">
    <cfRule type="cellIs" dxfId="1964" priority="96" operator="equal">
      <formula>"PIN"</formula>
    </cfRule>
    <cfRule type="cellIs" dxfId="1963" priority="97" operator="equal">
      <formula>"ORA"</formula>
    </cfRule>
    <cfRule type="cellIs" dxfId="1962" priority="98" operator="equal">
      <formula>"GRA"</formula>
    </cfRule>
    <cfRule type="cellIs" dxfId="1961" priority="99" operator="equal">
      <formula>"PUR"</formula>
    </cfRule>
    <cfRule type="cellIs" dxfId="1960" priority="100" operator="equal">
      <formula>"BRO"</formula>
    </cfRule>
    <cfRule type="cellIs" dxfId="1959" priority="101" operator="equal">
      <formula>"YEL"</formula>
    </cfRule>
    <cfRule type="cellIs" dxfId="1958" priority="102" operator="equal">
      <formula>"BLU"</formula>
    </cfRule>
    <cfRule type="cellIs" dxfId="1957" priority="103" operator="equal">
      <formula>"WHI"</formula>
    </cfRule>
    <cfRule type="cellIs" dxfId="1956" priority="104" operator="equal">
      <formula>"GRE"</formula>
    </cfRule>
    <cfRule type="cellIs" dxfId="1955" priority="105" operator="equal">
      <formula>"RED"</formula>
    </cfRule>
    <cfRule type="cellIs" dxfId="1954" priority="106" operator="equal">
      <formula>"BLA"</formula>
    </cfRule>
  </conditionalFormatting>
  <conditionalFormatting sqref="IC1:IK1">
    <cfRule type="cellIs" dxfId="1953" priority="107" operator="equal">
      <formula>"PIN"</formula>
    </cfRule>
    <cfRule type="cellIs" dxfId="1952" priority="108" operator="equal">
      <formula>"ORA"</formula>
    </cfRule>
    <cfRule type="cellIs" dxfId="1951" priority="109" operator="equal">
      <formula>"GRA"</formula>
    </cfRule>
    <cfRule type="cellIs" dxfId="1950" priority="110" operator="equal">
      <formula>"PUR"</formula>
    </cfRule>
    <cfRule type="cellIs" dxfId="1949" priority="111" operator="equal">
      <formula>"BRO"</formula>
    </cfRule>
    <cfRule type="cellIs" dxfId="1948" priority="112" operator="equal">
      <formula>"YEL"</formula>
    </cfRule>
    <cfRule type="cellIs" dxfId="1947" priority="113" operator="equal">
      <formula>"BLU"</formula>
    </cfRule>
    <cfRule type="cellIs" dxfId="1946" priority="114" operator="equal">
      <formula>"WHI"</formula>
    </cfRule>
    <cfRule type="cellIs" dxfId="1945" priority="115" operator="equal">
      <formula>"GRE"</formula>
    </cfRule>
    <cfRule type="cellIs" dxfId="1944" priority="116" operator="equal">
      <formula>"RED"</formula>
    </cfRule>
    <cfRule type="cellIs" dxfId="1943" priority="117" operator="equal">
      <formula>"BLA"</formula>
    </cfRule>
  </conditionalFormatting>
  <conditionalFormatting sqref="IO1:IW1">
    <cfRule type="cellIs" dxfId="1942" priority="85" operator="equal">
      <formula>"PIN"</formula>
    </cfRule>
    <cfRule type="cellIs" dxfId="1941" priority="86" operator="equal">
      <formula>"ORA"</formula>
    </cfRule>
    <cfRule type="cellIs" dxfId="1940" priority="87" operator="equal">
      <formula>"GRA"</formula>
    </cfRule>
    <cfRule type="cellIs" dxfId="1939" priority="88" operator="equal">
      <formula>"PUR"</formula>
    </cfRule>
    <cfRule type="cellIs" dxfId="1938" priority="89" operator="equal">
      <formula>"BRO"</formula>
    </cfRule>
    <cfRule type="cellIs" dxfId="1937" priority="90" operator="equal">
      <formula>"YEL"</formula>
    </cfRule>
    <cfRule type="cellIs" dxfId="1936" priority="91" operator="equal">
      <formula>"BLU"</formula>
    </cfRule>
    <cfRule type="cellIs" dxfId="1935" priority="92" operator="equal">
      <formula>"WHI"</formula>
    </cfRule>
    <cfRule type="cellIs" dxfId="1934" priority="93" operator="equal">
      <formula>"GRE"</formula>
    </cfRule>
    <cfRule type="cellIs" dxfId="1933" priority="94" operator="equal">
      <formula>"RED"</formula>
    </cfRule>
    <cfRule type="cellIs" dxfId="1932" priority="95" operator="equal">
      <formula>"BLA"</formula>
    </cfRule>
  </conditionalFormatting>
  <conditionalFormatting sqref="H2">
    <cfRule type="cellIs" dxfId="1931" priority="77" stopIfTrue="1" operator="notEqual">
      <formula>""</formula>
    </cfRule>
  </conditionalFormatting>
  <conditionalFormatting sqref="R2 CU2">
    <cfRule type="cellIs" dxfId="1930" priority="79" operator="greaterThan">
      <formula>0</formula>
    </cfRule>
  </conditionalFormatting>
  <conditionalFormatting sqref="T2:AS2 CH2:CS2">
    <cfRule type="cellIs" dxfId="1929" priority="74" stopIfTrue="1" operator="equal">
      <formula>"n"</formula>
    </cfRule>
    <cfRule type="cellIs" dxfId="1928" priority="75" stopIfTrue="1" operator="equal">
      <formula>"y"</formula>
    </cfRule>
    <cfRule type="cellIs" dxfId="1927" priority="76" operator="greaterThan">
      <formula>0</formula>
    </cfRule>
  </conditionalFormatting>
  <conditionalFormatting sqref="AZ2:BB2">
    <cfRule type="expression" dxfId="1926" priority="61">
      <formula>$AT2=0</formula>
    </cfRule>
  </conditionalFormatting>
  <conditionalFormatting sqref="AZ2:BU2">
    <cfRule type="cellIs" dxfId="1925" priority="62" operator="equal">
      <formula>"PIN"</formula>
    </cfRule>
    <cfRule type="cellIs" dxfId="1924" priority="63" operator="equal">
      <formula>"ORA"</formula>
    </cfRule>
    <cfRule type="cellIs" dxfId="1923" priority="64" operator="equal">
      <formula>"GRA"</formula>
    </cfRule>
    <cfRule type="cellIs" dxfId="1922" priority="65" operator="equal">
      <formula>"PUR"</formula>
    </cfRule>
    <cfRule type="cellIs" dxfId="1921" priority="66" operator="equal">
      <formula>"BRO"</formula>
    </cfRule>
    <cfRule type="cellIs" dxfId="1920" priority="67" operator="equal">
      <formula>"YEL"</formula>
    </cfRule>
    <cfRule type="cellIs" dxfId="1919" priority="68" operator="equal">
      <formula>"BLU"</formula>
    </cfRule>
    <cfRule type="cellIs" dxfId="1918" priority="69" operator="equal">
      <formula>"WHI"</formula>
    </cfRule>
    <cfRule type="cellIs" dxfId="1917" priority="70" operator="equal">
      <formula>"GRE"</formula>
    </cfRule>
    <cfRule type="cellIs" dxfId="1916" priority="71" operator="equal">
      <formula>"RED"</formula>
    </cfRule>
    <cfRule type="cellIs" dxfId="1915" priority="72" operator="equal">
      <formula>"BLA"</formula>
    </cfRule>
  </conditionalFormatting>
  <conditionalFormatting sqref="BV2">
    <cfRule type="cellIs" dxfId="1914" priority="78" operator="equal">
      <formula>"nc"</formula>
    </cfRule>
  </conditionalFormatting>
  <conditionalFormatting sqref="CD2:CF2 BZ2:CA2">
    <cfRule type="cellIs" dxfId="1913" priority="73" operator="greaterThan">
      <formula>0</formula>
    </cfRule>
  </conditionalFormatting>
  <conditionalFormatting sqref="IC2:IK2">
    <cfRule type="expression" dxfId="1912" priority="60">
      <formula>$IL2&gt;0</formula>
    </cfRule>
  </conditionalFormatting>
  <conditionalFormatting sqref="BX2:CA2 CD2:CF2">
    <cfRule type="cellIs" dxfId="1911" priority="48" operator="equal">
      <formula>"y"</formula>
    </cfRule>
    <cfRule type="cellIs" dxfId="1910" priority="49" operator="equal">
      <formula>"PIN"</formula>
    </cfRule>
    <cfRule type="cellIs" dxfId="1909" priority="50" operator="equal">
      <formula>"ORA"</formula>
    </cfRule>
    <cfRule type="cellIs" dxfId="1908" priority="51" operator="equal">
      <formula>"GRA"</formula>
    </cfRule>
    <cfRule type="cellIs" dxfId="1907" priority="52" operator="equal">
      <formula>"PUR"</formula>
    </cfRule>
    <cfRule type="cellIs" dxfId="1906" priority="53" operator="equal">
      <formula>"BRO"</formula>
    </cfRule>
    <cfRule type="cellIs" dxfId="1905" priority="54" operator="equal">
      <formula>"YEL"</formula>
    </cfRule>
    <cfRule type="cellIs" dxfId="1904" priority="55" operator="equal">
      <formula>"BLU"</formula>
    </cfRule>
    <cfRule type="cellIs" dxfId="1903" priority="56" operator="equal">
      <formula>"WHI"</formula>
    </cfRule>
    <cfRule type="cellIs" dxfId="1902" priority="57" operator="equal">
      <formula>"GRE"</formula>
    </cfRule>
    <cfRule type="cellIs" dxfId="1901" priority="58" operator="equal">
      <formula>"RED"</formula>
    </cfRule>
    <cfRule type="cellIs" dxfId="1900" priority="59" operator="equal">
      <formula>"BLA"</formula>
    </cfRule>
  </conditionalFormatting>
  <conditionalFormatting sqref="J2">
    <cfRule type="colorScale" priority="80">
      <colorScale>
        <cfvo type="min"/>
        <cfvo type="percentile" val="50"/>
        <cfvo type="max"/>
        <color rgb="FFF8696B"/>
        <color rgb="FFFFEB84"/>
        <color rgb="FF63BE7B"/>
      </colorScale>
    </cfRule>
  </conditionalFormatting>
  <conditionalFormatting sqref="S2">
    <cfRule type="colorScale" priority="81">
      <colorScale>
        <cfvo type="min"/>
        <cfvo type="max"/>
        <color rgb="FFFCFCFF"/>
        <color rgb="FF754BFB"/>
      </colorScale>
    </cfRule>
  </conditionalFormatting>
  <conditionalFormatting sqref="AT2">
    <cfRule type="colorScale" priority="82">
      <colorScale>
        <cfvo type="min"/>
        <cfvo type="max"/>
        <color rgb="FFFCFCFF"/>
        <color theme="8" tint="0.39997558519241921"/>
      </colorScale>
    </cfRule>
  </conditionalFormatting>
  <conditionalFormatting sqref="CG2">
    <cfRule type="colorScale" priority="83">
      <colorScale>
        <cfvo type="min"/>
        <cfvo type="max"/>
        <color rgb="FFFCFCFF"/>
        <color rgb="FF63BE7B"/>
      </colorScale>
    </cfRule>
  </conditionalFormatting>
  <conditionalFormatting sqref="H3:H8">
    <cfRule type="cellIs" dxfId="1899" priority="40" stopIfTrue="1" operator="notEqual">
      <formula>""</formula>
    </cfRule>
  </conditionalFormatting>
  <conditionalFormatting sqref="R3:R8 CU3:CU8">
    <cfRule type="cellIs" dxfId="1898" priority="43" operator="greaterThan">
      <formula>0</formula>
    </cfRule>
  </conditionalFormatting>
  <conditionalFormatting sqref="T3:AS8 CH3:CS8">
    <cfRule type="cellIs" dxfId="1897" priority="37" stopIfTrue="1" operator="equal">
      <formula>"n"</formula>
    </cfRule>
    <cfRule type="cellIs" dxfId="1896" priority="38" stopIfTrue="1" operator="equal">
      <formula>"y"</formula>
    </cfRule>
    <cfRule type="cellIs" dxfId="1895" priority="39" operator="greaterThan">
      <formula>0</formula>
    </cfRule>
  </conditionalFormatting>
  <conditionalFormatting sqref="AZ3:BB8">
    <cfRule type="expression" dxfId="1894" priority="24">
      <formula>$AT3=0</formula>
    </cfRule>
  </conditionalFormatting>
  <conditionalFormatting sqref="CD3:CF8 BX3:CA8 AZ3:BU8">
    <cfRule type="cellIs" dxfId="1893" priority="25" operator="equal">
      <formula>"PIN"</formula>
    </cfRule>
    <cfRule type="cellIs" dxfId="1892" priority="26" operator="equal">
      <formula>"ORA"</formula>
    </cfRule>
    <cfRule type="cellIs" dxfId="1891" priority="27" operator="equal">
      <formula>"GRA"</formula>
    </cfRule>
    <cfRule type="cellIs" dxfId="1890" priority="28" operator="equal">
      <formula>"PUR"</formula>
    </cfRule>
    <cfRule type="cellIs" dxfId="1889" priority="29" operator="equal">
      <formula>"BRO"</formula>
    </cfRule>
    <cfRule type="cellIs" dxfId="1888" priority="30" operator="equal">
      <formula>"YEL"</formula>
    </cfRule>
    <cfRule type="cellIs" dxfId="1887" priority="31" operator="equal">
      <formula>"BLU"</formula>
    </cfRule>
    <cfRule type="cellIs" dxfId="1886" priority="32" operator="equal">
      <formula>"WHI"</formula>
    </cfRule>
    <cfRule type="cellIs" dxfId="1885" priority="33" operator="equal">
      <formula>"GRE"</formula>
    </cfRule>
    <cfRule type="cellIs" dxfId="1884" priority="34" operator="equal">
      <formula>"RED"</formula>
    </cfRule>
    <cfRule type="cellIs" dxfId="1883" priority="35" operator="equal">
      <formula>"BLA"</formula>
    </cfRule>
  </conditionalFormatting>
  <conditionalFormatting sqref="BV3:BV8">
    <cfRule type="cellIs" dxfId="1882" priority="42" operator="equal">
      <formula>"nc"</formula>
    </cfRule>
  </conditionalFormatting>
  <conditionalFormatting sqref="CD3:CF8 BX3:CA8">
    <cfRule type="cellIs" dxfId="1881" priority="41" operator="equal">
      <formula>"y"</formula>
    </cfRule>
  </conditionalFormatting>
  <conditionalFormatting sqref="CD3:CF8 BZ3:CA8">
    <cfRule type="cellIs" dxfId="1880" priority="36" operator="greaterThan">
      <formula>0</formula>
    </cfRule>
  </conditionalFormatting>
  <conditionalFormatting sqref="IC3:IK8">
    <cfRule type="expression" dxfId="1879" priority="23">
      <formula>$IL3&gt;0</formula>
    </cfRule>
  </conditionalFormatting>
  <conditionalFormatting sqref="IC3:IC8">
    <cfRule type="cellIs" dxfId="1878" priority="17" stopIfTrue="1" operator="greaterThan">
      <formula>0</formula>
    </cfRule>
  </conditionalFormatting>
  <conditionalFormatting sqref="ID3:ID8">
    <cfRule type="cellIs" dxfId="1877" priority="15" stopIfTrue="1" operator="greaterThan">
      <formula>0</formula>
    </cfRule>
  </conditionalFormatting>
  <conditionalFormatting sqref="II3:II8 IE3:IF8">
    <cfRule type="cellIs" dxfId="1876" priority="22" operator="greaterThan">
      <formula>0</formula>
    </cfRule>
  </conditionalFormatting>
  <conditionalFormatting sqref="II3:II8 IF3:IF8">
    <cfRule type="cellIs" dxfId="1875" priority="16" stopIfTrue="1" operator="greaterThan">
      <formula>0</formula>
    </cfRule>
  </conditionalFormatting>
  <conditionalFormatting sqref="IG3:IG8">
    <cfRule type="cellIs" dxfId="1874" priority="21" operator="greaterThan">
      <formula>0</formula>
    </cfRule>
  </conditionalFormatting>
  <conditionalFormatting sqref="IH3:II8">
    <cfRule type="cellIs" dxfId="1873" priority="20" operator="greaterThan">
      <formula>0</formula>
    </cfRule>
  </conditionalFormatting>
  <conditionalFormatting sqref="IJ3:IJ8">
    <cfRule type="cellIs" dxfId="1872" priority="19" operator="greaterThan">
      <formula>0</formula>
    </cfRule>
  </conditionalFormatting>
  <conditionalFormatting sqref="IK3:IK8">
    <cfRule type="cellIs" dxfId="1871" priority="18" operator="greaterThan">
      <formula>0</formula>
    </cfRule>
  </conditionalFormatting>
  <conditionalFormatting sqref="IF3:IF8">
    <cfRule type="cellIs" dxfId="1870" priority="14" stopIfTrue="1" operator="greaterThan">
      <formula>0</formula>
    </cfRule>
  </conditionalFormatting>
  <conditionalFormatting sqref="IM3:IM8">
    <cfRule type="cellIs" dxfId="1869" priority="13" operator="equal">
      <formula>0</formula>
    </cfRule>
  </conditionalFormatting>
  <conditionalFormatting sqref="BX3:CA8 CD3:CF8">
    <cfRule type="cellIs" dxfId="1868" priority="1" operator="equal">
      <formula>"y"</formula>
    </cfRule>
    <cfRule type="cellIs" dxfId="1867" priority="2" operator="equal">
      <formula>"PIN"</formula>
    </cfRule>
    <cfRule type="cellIs" dxfId="1866" priority="3" operator="equal">
      <formula>"ORA"</formula>
    </cfRule>
    <cfRule type="cellIs" dxfId="1865" priority="4" operator="equal">
      <formula>"GRA"</formula>
    </cfRule>
    <cfRule type="cellIs" dxfId="1864" priority="5" operator="equal">
      <formula>"PUR"</formula>
    </cfRule>
    <cfRule type="cellIs" dxfId="1863" priority="6" operator="equal">
      <formula>"BRO"</formula>
    </cfRule>
    <cfRule type="cellIs" dxfId="1862" priority="7" operator="equal">
      <formula>"YEL"</formula>
    </cfRule>
    <cfRule type="cellIs" dxfId="1861" priority="8" operator="equal">
      <formula>"BLU"</formula>
    </cfRule>
    <cfRule type="cellIs" dxfId="1860" priority="9" operator="equal">
      <formula>"WHI"</formula>
    </cfRule>
    <cfRule type="cellIs" dxfId="1859" priority="10" operator="equal">
      <formula>"GRE"</formula>
    </cfRule>
    <cfRule type="cellIs" dxfId="1858" priority="11" operator="equal">
      <formula>"RED"</formula>
    </cfRule>
    <cfRule type="cellIs" dxfId="1857" priority="12" operator="equal">
      <formula>"BLA"</formula>
    </cfRule>
  </conditionalFormatting>
  <conditionalFormatting sqref="AT3:AT8">
    <cfRule type="colorScale" priority="44">
      <colorScale>
        <cfvo type="min"/>
        <cfvo type="max"/>
        <color rgb="FFFCFCFF"/>
        <color theme="8" tint="0.39997558519241921"/>
      </colorScale>
    </cfRule>
  </conditionalFormatting>
  <conditionalFormatting sqref="S3:S8">
    <cfRule type="colorScale" priority="45">
      <colorScale>
        <cfvo type="min"/>
        <cfvo type="max"/>
        <color rgb="FFFCFCFF"/>
        <color rgb="FF754BFB"/>
      </colorScale>
    </cfRule>
  </conditionalFormatting>
  <conditionalFormatting sqref="J3:J8">
    <cfRule type="colorScale" priority="46">
      <colorScale>
        <cfvo type="min"/>
        <cfvo type="percentile" val="50"/>
        <cfvo type="max"/>
        <color rgb="FFF8696B"/>
        <color rgb="FFFFEB84"/>
        <color rgb="FF63BE7B"/>
      </colorScale>
    </cfRule>
  </conditionalFormatting>
  <conditionalFormatting sqref="CG3:CG8">
    <cfRule type="colorScale" priority="47">
      <colorScale>
        <cfvo type="min"/>
        <cfvo type="max"/>
        <color rgb="FFFCFCFF"/>
        <color rgb="FF63BE7B"/>
      </colorScale>
    </cfRule>
  </conditionalFormatting>
  <hyperlinks>
    <hyperlink ref="A2" r:id="rId1" display="https://fbref.com/en/country/RSA/South-Africa-Football" xr:uid="{7DC46A37-33A3-4396-B03A-02D724FFBD73}"/>
    <hyperlink ref="E2" r:id="rId2" xr:uid="{E5769ABF-6842-42AF-93DF-2BE2543562C4}"/>
    <hyperlink ref="I3" r:id="rId3" xr:uid="{E1C1FB4F-26D7-4EA6-9899-653AB23D4F2F}"/>
  </hyperlinks>
  <pageMargins left="0.7" right="0.7" top="0.75" bottom="0.75"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20481" r:id="rId7"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20482" r:id="rId8"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20483" r:id="rId9"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C74633-6B8A-45F1-8282-62A260351FEB}">
  <sheetPr codeName="Sheet32"/>
  <dimension ref="A1:IY6"/>
  <sheetViews>
    <sheetView zoomScale="70" zoomScaleNormal="70" workbookViewId="0">
      <pane xSplit="5" ySplit="1" topLeftCell="F3" activePane="bottomRight" state="frozen"/>
      <selection pane="topRight" activeCell="F1" sqref="F1"/>
      <selection pane="bottomLeft" activeCell="A2" sqref="A2"/>
      <selection pane="bottomRight" activeCell="M4" sqref="M4"/>
    </sheetView>
  </sheetViews>
  <sheetFormatPr defaultRowHeight="38.4" customHeight="1" x14ac:dyDescent="0.3"/>
  <cols>
    <col min="1" max="1" width="52.44140625" style="81" bestFit="1" customWidth="1"/>
    <col min="2" max="2" width="10.109375" style="81" customWidth="1"/>
    <col min="3" max="3" width="7.44140625" style="82" customWidth="1"/>
    <col min="4" max="4" width="4.77734375" style="83" customWidth="1"/>
    <col min="5" max="5" width="4.5546875" style="83" customWidth="1"/>
    <col min="6" max="6" width="5.77734375" style="83" customWidth="1"/>
    <col min="7" max="7" width="7.44140625" style="81" customWidth="1"/>
    <col min="8" max="8" width="11.44140625" style="81" customWidth="1"/>
    <col min="9" max="9" width="10" style="81" customWidth="1"/>
    <col min="10" max="10" width="4.21875" style="81" customWidth="1"/>
    <col min="11" max="11" width="5.6640625" style="83" customWidth="1"/>
    <col min="12" max="12" width="2.88671875" style="83" customWidth="1"/>
    <col min="13" max="13" width="6.44140625" style="83" customWidth="1"/>
    <col min="14" max="14" width="4.5546875" style="83" customWidth="1"/>
    <col min="15" max="15" width="10.5546875" style="84" customWidth="1"/>
    <col min="16" max="16" width="6.88671875" style="83" customWidth="1"/>
    <col min="17" max="17" width="4.77734375" style="83" customWidth="1"/>
    <col min="18" max="18" width="13.109375" style="82" customWidth="1"/>
    <col min="19" max="19" width="6.77734375" style="82" customWidth="1"/>
    <col min="20" max="46" width="8.44140625" style="81" customWidth="1"/>
    <col min="47" max="47" width="24.5546875" style="81" customWidth="1"/>
    <col min="48" max="51" width="16.6640625" style="81" customWidth="1"/>
    <col min="52" max="52" width="6.5546875" style="81" customWidth="1"/>
    <col min="53" max="54" width="5.88671875" style="81" customWidth="1"/>
    <col min="55" max="55" width="1.33203125" style="81" customWidth="1"/>
    <col min="56" max="56" width="7.44140625" style="81" customWidth="1"/>
    <col min="57" max="57" width="2.33203125" style="81" customWidth="1"/>
    <col min="58" max="62" width="6.109375" style="81" customWidth="1"/>
    <col min="63" max="63" width="2.33203125" style="81" customWidth="1"/>
    <col min="64" max="64" width="7" style="81" bestFit="1" customWidth="1"/>
    <col min="65" max="65" width="6.44140625" style="81" bestFit="1" customWidth="1"/>
    <col min="66" max="66" width="7.109375" style="81" bestFit="1" customWidth="1"/>
    <col min="67" max="71" width="6.44140625" style="81" bestFit="1" customWidth="1"/>
    <col min="72" max="73" width="6.44140625" style="81" customWidth="1"/>
    <col min="74" max="75" width="13.44140625" style="81" customWidth="1"/>
    <col min="76" max="84" width="14.6640625" style="81" customWidth="1"/>
    <col min="85" max="85" width="6.44140625" style="81" customWidth="1"/>
    <col min="86" max="87" width="11.6640625" style="81" bestFit="1" customWidth="1"/>
    <col min="88" max="88" width="11.6640625" style="81" customWidth="1"/>
    <col min="89" max="89" width="12.77734375" style="81" bestFit="1" customWidth="1"/>
    <col min="90" max="90" width="16.44140625" style="82" bestFit="1" customWidth="1"/>
    <col min="91" max="92" width="14.88671875" style="82" bestFit="1" customWidth="1"/>
    <col min="93" max="93" width="16" style="82" bestFit="1" customWidth="1"/>
    <col min="94" max="97" width="7.77734375" style="81" customWidth="1"/>
    <col min="98" max="98" width="33.21875" style="81" customWidth="1"/>
    <col min="99" max="99" width="18" style="81" customWidth="1"/>
    <col min="100" max="100" width="75.6640625" style="81" customWidth="1"/>
    <col min="101" max="125" width="33" style="81" customWidth="1"/>
    <col min="126" max="126" width="8.88671875" style="81"/>
    <col min="127" max="128" width="9.44140625" style="81" bestFit="1" customWidth="1"/>
    <col min="129" max="129" width="10.77734375" style="81" bestFit="1" customWidth="1"/>
    <col min="130" max="134" width="10.77734375" style="81" customWidth="1"/>
    <col min="135" max="135" width="10.109375" style="81" bestFit="1" customWidth="1"/>
    <col min="136" max="136" width="7.77734375" style="81" bestFit="1" customWidth="1"/>
    <col min="137" max="137" width="7.77734375" style="81" customWidth="1"/>
    <col min="138" max="138" width="9" style="81" bestFit="1" customWidth="1"/>
    <col min="139" max="139" width="11.33203125" style="81" bestFit="1" customWidth="1"/>
    <col min="140" max="140" width="9.109375" style="81" bestFit="1" customWidth="1"/>
    <col min="141" max="141" width="9" style="81" bestFit="1" customWidth="1"/>
    <col min="142" max="142" width="12" style="81" bestFit="1" customWidth="1"/>
    <col min="143" max="166" width="12" style="81" customWidth="1"/>
    <col min="167" max="167" width="17.21875" style="81" customWidth="1"/>
    <col min="168" max="191" width="12" style="81" customWidth="1"/>
    <col min="192" max="192" width="8.5546875" style="81" bestFit="1" customWidth="1"/>
    <col min="193" max="193" width="8.5546875" style="81" customWidth="1"/>
    <col min="194" max="194" width="7.109375" style="81" bestFit="1" customWidth="1"/>
    <col min="195" max="195" width="7.5546875" style="81" bestFit="1" customWidth="1"/>
    <col min="196" max="196" width="8.5546875" style="81" bestFit="1" customWidth="1"/>
    <col min="197" max="200" width="8.5546875" style="81" customWidth="1"/>
    <col min="201" max="201" width="188.88671875" style="81" customWidth="1"/>
    <col min="202" max="202" width="9.5546875" style="81" bestFit="1" customWidth="1"/>
    <col min="203" max="203" width="10.44140625" style="81" bestFit="1" customWidth="1"/>
    <col min="204" max="204" width="11.109375" style="81" bestFit="1" customWidth="1"/>
    <col min="205" max="205" width="10.44140625" style="81" bestFit="1" customWidth="1"/>
    <col min="206" max="210" width="10.44140625" style="81" customWidth="1"/>
    <col min="211" max="211" width="45.44140625" style="81" customWidth="1"/>
    <col min="212" max="212" width="47.5546875" style="81" bestFit="1" customWidth="1"/>
    <col min="213" max="213" width="9.33203125" style="85" customWidth="1"/>
    <col min="214" max="214" width="119.5546875" style="81" customWidth="1"/>
    <col min="215" max="215" width="69.6640625" style="81" customWidth="1"/>
    <col min="216" max="218" width="8.88671875" style="81"/>
    <col min="219" max="219" width="37.109375" style="81" customWidth="1"/>
    <col min="220" max="220" width="16.33203125" style="81" customWidth="1"/>
    <col min="221" max="222" width="8.88671875" style="81"/>
    <col min="223" max="223" width="10.109375" style="81" bestFit="1" customWidth="1"/>
    <col min="224" max="232" width="10.88671875" style="81" customWidth="1"/>
    <col min="233" max="234" width="30.77734375" style="81" customWidth="1"/>
    <col min="235" max="235" width="5.109375" style="81" customWidth="1"/>
    <col min="236" max="236" width="3" style="81" customWidth="1"/>
    <col min="237" max="245" width="6.77734375" style="86" customWidth="1"/>
    <col min="246" max="247" width="8.88671875" style="81"/>
    <col min="248" max="248" width="61.5546875" style="81" customWidth="1"/>
    <col min="249" max="253" width="8.88671875" style="81"/>
    <col min="254" max="254" width="9" style="81" customWidth="1"/>
    <col min="255" max="16384" width="8.88671875" style="8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3" spans="1:259" s="48" customFormat="1" ht="38.4" customHeight="1" thickBot="1" x14ac:dyDescent="0.35">
      <c r="A3" s="39" t="s">
        <v>412</v>
      </c>
      <c r="B3" s="40" t="e" vm="101">
        <v>#VALUE!</v>
      </c>
      <c r="C3" s="41">
        <v>1</v>
      </c>
      <c r="D3" s="42" t="s">
        <v>413</v>
      </c>
      <c r="E3" s="43" t="s">
        <v>414</v>
      </c>
      <c r="F3" s="44" t="s">
        <v>163</v>
      </c>
      <c r="G3" s="45">
        <f>COUNTIF($A$1:$A$8381,A3)</f>
        <v>1</v>
      </c>
      <c r="H3" s="46"/>
      <c r="I3" s="47" t="s">
        <v>415</v>
      </c>
      <c r="J3" s="48" t="str">
        <f>""</f>
        <v/>
      </c>
      <c r="K3" s="49">
        <v>4255</v>
      </c>
      <c r="L3" s="50">
        <v>4427</v>
      </c>
      <c r="M3" s="50" t="s">
        <v>432</v>
      </c>
      <c r="N3" s="51" t="s">
        <v>180</v>
      </c>
      <c r="O3" s="52" t="s">
        <v>416</v>
      </c>
      <c r="P3" s="53" t="s">
        <v>417</v>
      </c>
      <c r="Q3" s="54">
        <v>2</v>
      </c>
      <c r="R3" s="55" t="s">
        <v>180</v>
      </c>
      <c r="S3" s="56">
        <v>0</v>
      </c>
      <c r="T3" s="57" t="s">
        <v>164</v>
      </c>
      <c r="U3" s="58" t="s">
        <v>167</v>
      </c>
      <c r="V3" s="58" t="s">
        <v>164</v>
      </c>
      <c r="W3" s="58" t="s">
        <v>164</v>
      </c>
      <c r="X3" s="58" t="s">
        <v>164</v>
      </c>
      <c r="Y3" s="58" t="s">
        <v>167</v>
      </c>
      <c r="Z3" s="58" t="s">
        <v>167</v>
      </c>
      <c r="AA3" s="58" t="s">
        <v>164</v>
      </c>
      <c r="AB3" s="58" t="s">
        <v>164</v>
      </c>
      <c r="AC3" s="58" t="s">
        <v>164</v>
      </c>
      <c r="AD3" s="58" t="s">
        <v>164</v>
      </c>
      <c r="AE3" s="58" t="s">
        <v>164</v>
      </c>
      <c r="AF3" s="59" t="s">
        <v>164</v>
      </c>
      <c r="AG3" s="59" t="s">
        <v>164</v>
      </c>
      <c r="AH3" s="59" t="s">
        <v>164</v>
      </c>
      <c r="AI3" s="59" t="s">
        <v>167</v>
      </c>
      <c r="AJ3" s="59" t="s">
        <v>164</v>
      </c>
      <c r="AK3" s="59" t="s">
        <v>164</v>
      </c>
      <c r="AL3" s="59" t="s">
        <v>167</v>
      </c>
      <c r="AM3" s="59" t="s">
        <v>167</v>
      </c>
      <c r="AN3" s="59" t="s">
        <v>164</v>
      </c>
      <c r="AO3" s="59" t="s">
        <v>164</v>
      </c>
      <c r="AP3" s="59" t="s">
        <v>167</v>
      </c>
      <c r="AQ3" s="59" t="s">
        <v>164</v>
      </c>
      <c r="AR3" s="59" t="s">
        <v>164</v>
      </c>
      <c r="AS3" s="59" t="s">
        <v>167</v>
      </c>
      <c r="AT3" s="60">
        <v>0</v>
      </c>
      <c r="AU3" s="59"/>
      <c r="AV3" s="59" t="str">
        <f>IF(LEFT(A3,1)="[",LEFT(A3,5)&amp;AU3&amp;A3,"")</f>
        <v/>
      </c>
      <c r="AW3" s="59" t="str">
        <f t="shared" ref="AW3" si="0">C3&amp;H3&amp;A3</f>
        <v>1Saint Helena</v>
      </c>
      <c r="AX3" s="61" t="str">
        <f>_xlfn.TEXTJOIN(";",TRUE,AU3:AW3)</f>
        <v>1Saint Helena</v>
      </c>
      <c r="AY3" s="61" t="s">
        <v>167</v>
      </c>
      <c r="AZ3" s="62"/>
      <c r="BA3" s="62"/>
      <c r="BB3" s="62"/>
      <c r="BC3" s="63"/>
      <c r="BD3" s="64" t="s">
        <v>152</v>
      </c>
      <c r="BE3" s="47"/>
      <c r="BF3" s="64"/>
      <c r="BG3" s="64"/>
      <c r="BH3" s="64"/>
      <c r="BI3" s="64"/>
      <c r="BJ3" s="64"/>
      <c r="BK3" s="47"/>
      <c r="BL3" s="64" t="s">
        <v>152</v>
      </c>
      <c r="BM3" s="64" t="s">
        <v>154</v>
      </c>
      <c r="BN3" s="64" t="s">
        <v>159</v>
      </c>
      <c r="BO3" s="64" t="s">
        <v>157</v>
      </c>
      <c r="BP3" s="64" t="s">
        <v>151</v>
      </c>
      <c r="BQ3" s="64"/>
      <c r="BR3" s="64"/>
      <c r="BS3" s="64"/>
      <c r="BT3" s="64"/>
      <c r="BU3" s="65" t="s">
        <v>167</v>
      </c>
      <c r="BV3" s="66" t="s">
        <v>165</v>
      </c>
      <c r="BW3" s="66" t="s">
        <v>166</v>
      </c>
      <c r="BX3" s="47"/>
      <c r="CB3" s="6" t="s">
        <v>136</v>
      </c>
      <c r="CC3" s="6"/>
      <c r="CD3" s="67">
        <v>0</v>
      </c>
      <c r="CE3" s="67">
        <v>0</v>
      </c>
      <c r="CF3" s="67" t="e">
        <v>#REF!</v>
      </c>
      <c r="CG3" s="68" cm="1">
        <f t="array" ref="CG3">SUMPRODUCT(--(LEN(TRIM(BL3:BT3))&gt;0))</f>
        <v>5</v>
      </c>
      <c r="CH3" s="59" t="str">
        <f>IF(CG3=2,"y","n")</f>
        <v>n</v>
      </c>
      <c r="CI3" s="59" t="str">
        <f>IF(CG3=3,"y","n")</f>
        <v>n</v>
      </c>
      <c r="CJ3" s="59" t="str">
        <f>IF(CG3=4,"y","n")</f>
        <v>n</v>
      </c>
      <c r="CK3" s="59" t="str">
        <f>IF(CG3&gt;4,"y","n")</f>
        <v>y</v>
      </c>
      <c r="CL3" s="59" t="str">
        <f>IF(S3=0,"y","n")</f>
        <v>y</v>
      </c>
      <c r="CM3" s="59" t="str">
        <f>IF(S3=2,"y","n")</f>
        <v>n</v>
      </c>
      <c r="CN3" s="59" t="str">
        <f>IF(S3=3,"y","n")</f>
        <v>n</v>
      </c>
      <c r="CO3" s="59" t="str">
        <f>IF(S3&gt;=4,"y","n")</f>
        <v>n</v>
      </c>
      <c r="CP3" s="59" t="str">
        <f>IF(AT3=0,"y","n")</f>
        <v>y</v>
      </c>
      <c r="CQ3" s="59" t="str">
        <f>IF(AT3=1,"y","n")</f>
        <v>n</v>
      </c>
      <c r="CR3" s="59" t="str">
        <f>IF(AT3=2,"y","n")</f>
        <v>n</v>
      </c>
      <c r="CS3" s="59" t="str">
        <f>IF(AT3&gt;=3,"y","n")</f>
        <v>n</v>
      </c>
      <c r="CT3" s="69" t="str">
        <f>CHAR(34)&amp;A3&amp;CHAR(34)</f>
        <v>"Saint Helena"</v>
      </c>
      <c r="CU3" s="70" t="str">
        <f>CHAR(34)&amp;"rgn_"&amp;R3&amp;CHAR(34)</f>
        <v>"rgn_Africa"</v>
      </c>
      <c r="CV3" s="48" t="str">
        <f>CHAR(34)&amp;D3&amp;CHAR(34)</f>
        <v>"https://upload.wikimedia.org/wikipedia/commons/thumb/0/00/Flag_of_Saint_Helena.svg/383px-Flag_of_Saint_Helena.svg.png"</v>
      </c>
      <c r="CW3" s="48" t="str">
        <f>IF(CH3="y",CHAR(34)&amp;CH$1&amp;CHAR(34)&amp;",","")</f>
        <v/>
      </c>
      <c r="CX3" s="48" t="str">
        <f>IF(CI3="y",CHAR(34)&amp;CI$1&amp;CHAR(34)&amp;",","")</f>
        <v/>
      </c>
      <c r="CY3" s="48" t="str">
        <f>IF(CJ3="y",CHAR(34)&amp;CJ$1&amp;CHAR(34)&amp;",","")</f>
        <v/>
      </c>
      <c r="CZ3" s="48" t="str">
        <f>IF(CK3="y",CHAR(34)&amp;CK$1&amp;CHAR(34)&amp;",","")</f>
        <v>"5+Colo",</v>
      </c>
      <c r="DA3" s="48" t="str">
        <f>IF(Q3&gt;1,CHAR(34)&amp;"words2"&amp;CHAR(34)&amp;",","")</f>
        <v>"words2",</v>
      </c>
      <c r="DB3" s="48" t="str">
        <f>IF(Q3&gt;2,CHAR(34)&amp;"words3"&amp;CHAR(34)&amp;",","")</f>
        <v/>
      </c>
      <c r="DC3" s="48" t="str">
        <f>IF(Q3=2,CHAR(34)&amp;"exact2"&amp;CHAR(34)&amp;",","")</f>
        <v>"exact2",</v>
      </c>
      <c r="DD3" s="48" t="str">
        <f>IF(LEN(CHAR(34)&amp;"lets"&amp;LEN(SUBSTITUTE(SUBSTITUTE(IFERROR(TRIM(SUBSTITUTE(SUBSTITUTE(SUBSTITUTE(IFERROR(TRIM(SUBSTITUTE(A3,MID(A3,FIND("(",A3),FIND(")",A3)-FIND("(",A3)+1),"")),A3),"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",""),"-",""))&amp;CHAR(34)&amp;",")=9,CHAR(34)&amp;"lets"&amp;LEN(SUBSTITUTE(SUBSTITUTE(IFERROR(TRIM(SUBSTITUTE(SUBSTITUTE(SUBSTITUTE(IFERROR(TRIM(SUBSTITUTE(A3,MID(A3,FIND("(",A3),FIND(")",A3)-FIND("(",A3)+1),"")),A3),"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",""),"-",""))&amp;CHAR(34)&amp;",",CHAR(34)&amp;"lets0"&amp;LEN(SUBSTITUTE(SUBSTITUTE(IFERROR(TRIM(SUBSTITUTE(SUBSTITUTE(SUBSTITUTE(IFERROR(TRIM(SUBSTITUTE(A3,MID(A3,FIND("(",A3),FIND(")",A3)-FIND("(",A3)+1),"")),A3),"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f>
        <v>"lets11",</v>
      </c>
      <c r="DE3" s="48" t="str">
        <f>IFERROR(CHAR(34)&amp;"start"&amp;LEFT(TRIM(SUBSTITUTE(SUBSTITUTE(TRIM(SUBSTITUTE(SUBSTITUTE(A3, MID(A3, FIND("[", A3), FIND("]", A3) - FIND("[", A3) + 1), ""), "  ", " ")), MID(TRIM(SUBSTITUTE(SUBSTITUTE(A3, MID(A3, FIND("[", A3), FIND("]", A3) - FIND("[", A3) + 1), ""), "  ", " ")), FIND("[", TRIM(SUBSTITUTE(SUBSTITUTE(A3, MID(A3, FIND("[", A3), FIND("]", A3) - FIND("[", A3) + 1), ""), "  ", " "))), FIND("]", TRIM(SUBSTITUTE(SUBSTITUTE(A3, MID(A3, FIND("[", A3), FIND("]", A3) - FIND("[", A3) + 1), ""), "  ", " "))) - FIND("[", TRIM(SUBSTITUTE(SUBSTITUTE(A3, MID(A3, FIND("[", A3), FIND("]", A3) - FIND("[", A3) + 1), ""), "  ", " "))) + 1), ""), "  ", " ")),1)&amp;CHAR(34)&amp;",",CHAR(34)&amp;"start"&amp;IFERROR(LEFT(SUBSTITUTE(A3,"["&amp;MID(A3,FIND("[",A3)+1,FIND("]",A3)-FIND("[",A3)-1)&amp;"] ",""),1),LEFT(A3,1))&amp;CHAR(34)&amp;",")</f>
        <v>"startS",</v>
      </c>
      <c r="DF3" s="48" t="str">
        <f>IFERROR(IF(SEARCH("tan",A3)&gt;0,CHAR(34)&amp;"withtn"&amp;CHAR(34)&amp;",",""),"")</f>
        <v/>
      </c>
      <c r="DG3" s="48" t="str">
        <f>IFERROR(IF(SEARCH("q",A3)&gt;0,CHAR(34)&amp;"with_q"&amp;CHAR(34)&amp;",",""),"")</f>
        <v/>
      </c>
      <c r="DH3" s="48" t="str">
        <f>IFERROR(IF(SEARCH("v",A3)&gt;0,CHAR(34)&amp;"with_v"&amp;CHAR(34)&amp;",",""),"")</f>
        <v/>
      </c>
      <c r="DI3" s="48" t="str">
        <f>IFERROR(IF(SEARCH("w",A3)&gt;0,CHAR(34)&amp;"with_w"&amp;CHAR(34)&amp;",",""),"")</f>
        <v/>
      </c>
      <c r="DJ3" s="48" t="str">
        <f>IFERROR(IF(SEARCH("y",A3)&gt;0,CHAR(34)&amp;"with_y"&amp;CHAR(34)&amp;",",""),"")</f>
        <v/>
      </c>
      <c r="DK3" s="48" t="str">
        <f>IFERROR(IF(SEARCH("z",A3)&gt;0,CHAR(34)&amp;"with_z"&amp;CHAR(34)&amp;",",""),"")</f>
        <v/>
      </c>
      <c r="DL3" s="48" t="str">
        <f>IF(CG3=2, CHAR(34) &amp; _xlfn.TEXTJOIN("", TRUE, _xlfn._xlws.SORT(HP3:HX3)) &amp; CHAR(34) &amp; ",", "")</f>
        <v/>
      </c>
      <c r="DM3" s="48" t="str" cm="1">
        <f t="array" ref="DM3">IF(CG3=3,CHAR(34) &amp; _xlfn.TEXTJOIN("", TRUE, RIGHT(HP3:HX3, 2)) &amp; CHAR(34) &amp; ",", "")</f>
        <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"year19",</v>
      </c>
      <c r="DP3" s="6" t="str">
        <f>IF(AND(ISNUMBER(SEARCH("20", O3)), ISERROR(SEARCH("1920", O3))), CHAR(34)&amp;"year00"&amp;CHAR(34)&amp;",", "")</f>
        <v/>
      </c>
      <c r="DQ3" s="6" t="str">
        <f>IF(CC3="y",CHAR(34)&amp;"soviet"&amp;CHAR(34)&amp;",","")</f>
        <v/>
      </c>
      <c r="DR3" s="6" t="str">
        <f>IF(BY3="y",CHAR(34)&amp;"dgband"&amp;CHAR(34)&amp;",","")</f>
        <v/>
      </c>
      <c r="DS3" s="6" t="str">
        <f>IF(W3="y",IF(AND(V3="n",BY3&lt;&gt;"y"),CHAR(34)&amp;"allver"&amp;CHAR(34)&amp;",",""),"")</f>
        <v/>
      </c>
      <c r="DT3" s="6" t="str">
        <f>IF(V3="y",IF(AND(W3="n",BY3&lt;&gt;"y"),CHAR(34)&amp;"allhor"&amp;CHAR(34)&amp;",",""),"")</f>
        <v/>
      </c>
      <c r="DU3" s="6" t="str">
        <f>IF(BY3="y",IF(AND(W3="n",V3="n"),CHAR(34)&amp;"alldia"&amp;CHAR(34)&amp;",",""),"")</f>
        <v/>
      </c>
      <c r="DV3" s="48" t="str">
        <f>IF(IA3&lt;&gt;"",(IF(IA3="y",CHAR(34)&amp;"largec"&amp;CHAR(34)&amp;",",CHAR(34)&amp;"smallc"&amp;CHAR(34)&amp;",")),"")</f>
        <v>"smallc",</v>
      </c>
      <c r="DW3" s="48" t="str">
        <f>IF(CL3="y",CHAR(34)&amp;CL$1&amp;CHAR(34)&amp;",","")</f>
        <v>"NoBand",</v>
      </c>
      <c r="DX3" s="48" t="str">
        <f>IF(CM3="y",CHAR(34)&amp;CM$1&amp;CHAR(34)&amp;",","")</f>
        <v/>
      </c>
      <c r="DY3" s="48" t="str">
        <f>IF(CN3="y",CHAR(34)&amp;CN$1&amp;CHAR(34)&amp;",","")</f>
        <v/>
      </c>
      <c r="DZ3" s="48" t="str">
        <f>IF(CO3="y",CHAR(34)&amp;CO$1&amp;CHAR(34)&amp;",","")</f>
        <v/>
      </c>
      <c r="EA3" s="48" t="str">
        <f>IF(T3="y",CHAR(34)&amp;T$1&amp;CHAR(34)&amp;",","")</f>
        <v/>
      </c>
      <c r="EB3" s="48" t="str">
        <f>IF(U3="y",CHAR(34)&amp;U$1&amp;CHAR(34)&amp;",","")</f>
        <v>"Crosse",</v>
      </c>
      <c r="EC3" s="48" t="str">
        <f>IF(V3="y",CHAR(34)&amp;V$1&amp;CHAR(34)&amp;",","")</f>
        <v/>
      </c>
      <c r="ED3" s="48" t="str">
        <f>IF(W3="y",CHAR(34)&amp;W$1&amp;CHAR(34)&amp;",","")</f>
        <v/>
      </c>
      <c r="EE3" s="48" t="str">
        <f>IF(X3="y",CHAR(34)&amp;X$1&amp;CHAR(34)&amp;",","")</f>
        <v/>
      </c>
      <c r="EF3" s="48" t="str">
        <f>IF(AND(Y3&lt;&gt;"n",Y3&lt;&gt;""),CHAR(34)&amp;Y$1&amp;CHAR(34)&amp;",","")</f>
        <v>"Animal",</v>
      </c>
      <c r="EG3" s="48" t="str">
        <f>IF(Z3="y",CHAR(34)&amp;Z$1&amp;CHAR(34)&amp;",","")</f>
        <v>"Bird",</v>
      </c>
      <c r="EH3" s="48" t="str">
        <f>IF(AA3="y",CHAR(34)&amp;AA$1&amp;CHAR(34)&amp;",","")</f>
        <v/>
      </c>
      <c r="EI3" s="48" t="str">
        <f>IF(AB3="y",CHAR(34)&amp;AB$1&amp;CHAR(34)&amp;",","")</f>
        <v/>
      </c>
      <c r="EJ3" s="48" t="str">
        <f>IF(AC3="y",CHAR(34)&amp;AC$1&amp;CHAR(34)&amp;",","")</f>
        <v/>
      </c>
      <c r="EK3" s="48" t="str">
        <f>IF(AD3="y",CHAR(34)&amp;AD$1&amp;CHAR(34)&amp;",","")</f>
        <v/>
      </c>
      <c r="EL3" s="48" t="str">
        <f>IF(AE3="y",CHAR(34)&amp;AE$1&amp;CHAR(34)&amp;",","")</f>
        <v/>
      </c>
      <c r="EM3" s="48" t="str">
        <f>IF(AF3="y",CHAR(34)&amp;AF$1&amp;CHAR(34)&amp;",","")</f>
        <v/>
      </c>
      <c r="EN3" s="48" t="str">
        <f>IF(AG3="y",CHAR(34)&amp;AG$1&amp;CHAR(34)&amp;",","")</f>
        <v/>
      </c>
      <c r="EO3" s="48" t="str">
        <f>IF(AH3="y",CHAR(34)&amp;AH$1&amp;CHAR(34)&amp;",","")</f>
        <v/>
      </c>
      <c r="EP3" s="48" t="str">
        <f>IF(AI3="y",CHAR(34)&amp;AI$1&amp;CHAR(34)&amp;",","")</f>
        <v>"Canton",</v>
      </c>
      <c r="EQ3" s="48" t="str">
        <f>IF(AJ3="y",CHAR(34)&amp;AJ$1&amp;CHAR(34)&amp;",","")</f>
        <v/>
      </c>
      <c r="ER3" s="48" t="str">
        <f>IF(AK3="y",CHAR(34)&amp;AK$1&amp;CHAR(34)&amp;",","")</f>
        <v/>
      </c>
      <c r="ES3" s="48" t="str">
        <f>IF(AL3="y",CHAR(34)&amp;AL$1&amp;CHAR(34)&amp;",","")</f>
        <v>"Wavess",</v>
      </c>
      <c r="ET3" s="48" t="str">
        <f>IF(AM3="y",CHAR(34)&amp;AM$1&amp;CHAR(34)&amp;",","")</f>
        <v>"Geogrh",</v>
      </c>
      <c r="EU3" s="48" t="str">
        <f>IF(AN3="y",CHAR(34)&amp;AN$1&amp;CHAR(34)&amp;",","")</f>
        <v/>
      </c>
      <c r="EV3" s="48" t="str">
        <f>IF(AO3="y",CHAR(34)&amp;AO$1&amp;CHAR(34)&amp;",","")</f>
        <v/>
      </c>
      <c r="EW3" s="48" t="str">
        <f>IF(AP3="y",CHAR(34)&amp;AP$1&amp;CHAR(34)&amp;",","")</f>
        <v>"Ships!",</v>
      </c>
      <c r="EX3" s="48" t="str">
        <f>IF(AQ3="y",CHAR(34)&amp;AQ$1&amp;CHAR(34)&amp;",","")</f>
        <v/>
      </c>
      <c r="EY3" s="48" t="str">
        <f>IF(AR3="y",CHAR(34)&amp;AR$1&amp;CHAR(34)&amp;",","")</f>
        <v/>
      </c>
      <c r="EZ3" s="48" t="str">
        <f>IF(AS3="y",CHAR(34)&amp;AS$1&amp;CHAR(34)&amp;",","")</f>
        <v>"Waters",</v>
      </c>
      <c r="FA3" s="48" t="str">
        <f>IF(AT3&gt;0,CHAR(34)&amp;"sta"&amp;AZ3&amp;CHAR(34)&amp;",","")</f>
        <v/>
      </c>
      <c r="FB3" s="48" t="str">
        <f>IF(AND(AT3&gt;0,BA3&lt;&gt;""),CHAR(34)&amp;"sta"&amp;BA3&amp;CHAR(34)&amp;",","")</f>
        <v/>
      </c>
      <c r="FC3" s="48" t="str">
        <f>IF(AND(AT3&gt;0,BB3&lt;&gt;""),CHAR(34)&amp;"sta"&amp;BB3&amp;CHAR(34)&amp;",","")</f>
        <v/>
      </c>
      <c r="FD3" s="48" t="str">
        <f>IF(BV3="n",CHAR(34)&amp;"tcWHYE"&amp;CHAR(34)&amp;",",IF(BV3="y",CHAR(34)&amp;FD$1&amp;CHAR(34)&amp;",",""))</f>
        <v/>
      </c>
      <c r="FE3" s="48" t="str">
        <f>IF(COUNTIF(BL3:BT3,"BLU")=0,CHAR(34)&amp;"NO_BLU"&amp;CHAR(34)&amp;",", "")</f>
        <v/>
      </c>
      <c r="FF3" s="48" t="str">
        <f>IF(COUNTIF(BL3:BT3,"WHI")=0,CHAR(34)&amp;"NO_WHI"&amp;CHAR(34)&amp;",", "")</f>
        <v/>
      </c>
      <c r="FG3" s="48" t="str">
        <f>IF(COUNTIF(BL3:BT3,"RED")=0,CHAR(34)&amp;"NO_RED"&amp;CHAR(34)&amp;",", "")</f>
        <v/>
      </c>
      <c r="FH3" s="48" t="str">
        <f>IF(COUNTIF(BL3:BS3,"GRE")=0,CHAR(34)&amp;"NO_GRE"&amp;CHAR(34)&amp;",", "")</f>
        <v>"NO_GRE",</v>
      </c>
      <c r="FI3" s="48" t="str">
        <f>IF(COUNTIF(BL3:BT3,"YEL")=0,CHAR(34)&amp;"NO_YEL"&amp;CHAR(34)&amp;",", "")</f>
        <v>"NO_YEL",</v>
      </c>
      <c r="FJ3" s="48" t="str">
        <f>IF(COUNTIF(BL3:BT3,"BLA")=0,CHAR(34)&amp;"NO_BLA"&amp;CHAR(34)&amp;",", "")</f>
        <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
      </c>
      <c r="FQ3" s="48" t="str">
        <f>IF(LEN(BF3)=3,CHAR(34)&amp;"001"&amp;BF3&amp;CHAR(34)&amp;",","")</f>
        <v/>
      </c>
      <c r="FR3" s="48" t="str">
        <f>IF(LEN(BG3)=3,CHAR(34)&amp;"002"&amp;BG3&amp;CHAR(34)&amp;",","")</f>
        <v/>
      </c>
      <c r="FS3" s="48" t="str">
        <f>IF(LEN(BH3)=3,CHAR(34)&amp;"003"&amp;BH3&amp;CHAR(34)&amp;",","")</f>
        <v/>
      </c>
      <c r="FT3" s="48" t="str">
        <f>CHAR(34)&amp;"myr"&amp;BD3&amp;CHAR(34)&amp;","</f>
        <v>"myrBLU",</v>
      </c>
      <c r="FU3" s="48" t="str">
        <f>IF(AY3="y",CHAR(34)&amp;"island"&amp;CHAR(34)&amp;",","")</f>
        <v>"island",</v>
      </c>
      <c r="FV3" s="48" t="str">
        <f>IF(BZ3="y",CHAR(34)&amp;"landlo"&amp;CHAR(34)&amp;",","")</f>
        <v/>
      </c>
      <c r="FW3" s="48" t="str">
        <f>IF(CA3="y",CHAR(34)&amp;"eunion"&amp;CHAR(34)&amp;",","")</f>
        <v/>
      </c>
      <c r="FX3" s="48" t="str">
        <f>SUBSTITUTE(IFERROR(SEARCH("[",A3),IFERROR(IF(AND(CA3&lt;&gt;"y",SEARCH("Europe",R3)&gt;0),CHAR(34)&amp;"noeuni"&amp;CHAR(34)&amp;",",""),"")),"1","")</f>
        <v/>
      </c>
      <c r="FY3" s="48" t="str">
        <f>IFERROR(IF(SEARCH("Arabic",CB3)&gt;0,CHAR(34)&amp;"arabic"&amp;CHAR(34)&amp;",",""),"")</f>
        <v/>
      </c>
      <c r="FZ3" s="48" t="str">
        <f>IFERROR(IF(SEARCH("English",CB3)&gt;0,CHAR(34)&amp;"englis"&amp;CHAR(34)&amp;",",""),"")</f>
        <v>"englis",</v>
      </c>
      <c r="GA3" s="48" t="str">
        <f>IFERROR(IF(SEARCH("French",CB3)&gt;0,CHAR(34)&amp;"french"&amp;CHAR(34)&amp;",",""),"")</f>
        <v/>
      </c>
      <c r="GB3" s="48" t="str">
        <f>IFERROR(IF(SEARCH("Spanish",CB3)&gt;0,CHAR(34)&amp;"spanis"&amp;CHAR(34)&amp;",",""),"")</f>
        <v/>
      </c>
      <c r="GC3" s="48" t="str">
        <f>IFERROR(IF(SEARCH("Portuguese",CB3)&gt;0,CHAR(34)&amp;"portug"&amp;CHAR(34)&amp;",",""),"")</f>
        <v/>
      </c>
      <c r="GD3" s="48" t="str">
        <f>IFERROR(IF(SEARCH("German",CB3)&gt;0,CHAR(34)&amp;"german"&amp;CHAR(34)&amp;",",""),"")</f>
        <v/>
      </c>
      <c r="GE3" s="48" t="str">
        <f>IFERROR(IF(SEARCH("Dutch",CB3)&gt;0,CHAR(34)&amp;"dutchs"&amp;CHAR(34)&amp;",",""),"")</f>
        <v/>
      </c>
      <c r="GF3" s="48" t="str">
        <f>IFERROR(IF(SEARCH("Histor",AU3)&gt;0,CHAR(34)&amp;"histor"&amp;CHAR(34)&amp;",",""),"")</f>
        <v/>
      </c>
      <c r="GG3" s="48" t="str">
        <f>IF(BU3="y",CHAR(34)&amp;"unjack"&amp;CHAR(34)&amp;",","")</f>
        <v>"unjack",</v>
      </c>
      <c r="GH3" s="48" t="str">
        <f>IF(CD3=1,CHAR(34)&amp;"southc"&amp;CHAR(34)&amp;",","")</f>
        <v/>
      </c>
      <c r="GI3" s="48" t="str">
        <f>IF(CE3=1,CHAR(34)&amp;"hasmap"&amp;CHAR(34)&amp;",","")</f>
        <v/>
      </c>
      <c r="GJ3" s="48" t="str">
        <f>IF(CP3="y",CHAR(34)&amp;CP$1&amp;CHAR(34)&amp;",","")</f>
        <v>"NoStar",</v>
      </c>
      <c r="GK3" s="48" t="str">
        <f>IF(GJ3="",CHAR(34)&amp;"HasSta"&amp;CHAR(34)&amp;",","")</f>
        <v/>
      </c>
      <c r="GL3" s="48" t="str">
        <f>IF(CQ3="y",CHAR(34)&amp;CQ$1&amp;CHAR(34)&amp;",","")</f>
        <v/>
      </c>
      <c r="GM3" s="48" t="str">
        <f>IF(CR3="y",CHAR(34)&amp;CR$1&amp;CHAR(34)&amp;",","")</f>
        <v/>
      </c>
      <c r="GN3" s="48" t="str">
        <f>IF(CS3="y",CHAR(34)&amp;CS$1&amp;CHAR(34)&amp;",","")</f>
        <v/>
      </c>
      <c r="GP3" s="48" t="str">
        <f>CHAR(34)&amp;AU3&amp;CHAR(34)</f>
        <v>""</v>
      </c>
      <c r="GS3" s="48" t="str">
        <f>SUBSTITUTE("["&amp;_xlfn.CONCAT(CW3:GN3)&amp;"]",",]","]")</f>
        <v>["5+Colo","words2","exact2","lets11","startS","year19","smallc","NoBand","Crosse","Animal","Bird","Canton","Wavess","Geogrh","Ships!","Waters","NO_GRE","NO_YEL","myrBLU","island","englis","unjack","NoStar"]</v>
      </c>
      <c r="GT3" s="48" t="str">
        <f>IF(BL3&lt;&gt;"",CHAR(34)&amp;"cl_"&amp;BL3&amp;CHAR(34)&amp;",","")</f>
        <v>"cl_BLU",</v>
      </c>
      <c r="GU3" s="48" t="str">
        <f>IF(BM3&lt;&gt;"",CHAR(34)&amp;"cl_"&amp;BM3&amp;CHAR(34)&amp;",","")</f>
        <v>"cl_RED",</v>
      </c>
      <c r="GV3" s="48" t="str">
        <f>IF(BN3&lt;&gt;"",CHAR(34)&amp;"cl_"&amp;BN3&amp;CHAR(34)&amp;",","")</f>
        <v>"cl_WHI",</v>
      </c>
      <c r="GW3" s="48" t="str">
        <f>IF(BO3&lt;&gt;"",CHAR(34)&amp;"cl_"&amp;BO3&amp;CHAR(34)&amp;",","")</f>
        <v>"cl_BRO",</v>
      </c>
      <c r="GX3" s="48" t="str">
        <f>IF(BP3&lt;&gt;"",CHAR(34)&amp;"cl_"&amp;BP3&amp;CHAR(34)&amp;",","")</f>
        <v>"cl_BLA",</v>
      </c>
      <c r="GY3" s="48" t="str">
        <f>IF(BQ3&lt;&gt;"",CHAR(34)&amp;"cl_"&amp;BQ3&amp;CHAR(34)&amp;",","")</f>
        <v/>
      </c>
      <c r="GZ3" s="48" t="str">
        <f>IF(BR3&lt;&gt;"",CHAR(34)&amp;"cl_"&amp;BR3&amp;CHAR(34)&amp;",","")</f>
        <v/>
      </c>
      <c r="HA3" s="48" t="str">
        <f>IF(BS3&lt;&gt;"",CHAR(34)&amp;"cl_"&amp;BS3&amp;CHAR(34)&amp;",","")</f>
        <v/>
      </c>
      <c r="HB3" s="48" t="str">
        <f>IF(BT3&lt;&gt;"",CHAR(34)&amp;"cl_"&amp;BT3&amp;CHAR(34)&amp;",","")</f>
        <v/>
      </c>
      <c r="HC3" s="48" t="str">
        <f>SUBSTITUTE("["&amp;_xlfn.CONCAT(GT3:HB3)&amp;"]",",]","]")</f>
        <v>["cl_BLU","cl_RED","cl_WHI","cl_BRO","cl_BLA"]</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{couname:"Saint Helena",year:"1984 ",region:"rgn_Africa",Colors:["cl_BLU","cl_RED","cl_WHI","cl_BRO","cl_BLA"],Items:["5+Colo","words2","exact2","lets11","startS","year19","smallc","NoBand","Crosse","Animal","Bird","Canton","Wavess","Geogrh","Ships!","Waters","NO_GRE","NO_YEL","myrBLU","island","englis","unjack","NoStar"],Flag:"https://upload.wikimedia.org/wikipedia/commons/thumb/0/00/Flag_of_Saint_Helena.svg/383px-Flag_of_Saint_Helena.svg.png",HDFlag:"https://upload.wikimedia.org/wikipedia/commons/thumb/0/00/Flag_of_Saint_Helena.svg/2560px-Flag_of_Saint_Helena.svg.png",type:"", describe: "\nThe bird on the yellow field is a Saint Helena plover that epitomises the fauna of the territory. Popularly referred to by Saint Helenians as the wirebird, it is the last species of bird that is endemic to the island, and is the official bird of Saint Helena. The Cross of Saint George flown from the three-masted sailing ship is a conspicuous symbol of the Kingdom of England, Saint Helena's mother country.", isnew:".", links: "https://en.wikipedia.org/wiki/Flag_of_Saint_Helena"},</v>
      </c>
      <c r="HG3" s="73" t="str">
        <f>"{couname:"&amp;CT3&amp;(IF(HK3&lt;&gt;"",",subtype:"&amp;CHAR(34)&amp;HK3&amp;CHAR(34),""))&amp;",year:"&amp;HJ3&amp;",region:"&amp;CU3&amp;",Colors:"&amp;HC3&amp;",Items:"&amp;GS3&amp;",Flag:"&amp;CV3&amp;",HDFlag:"&amp;CHAR(34)&amp;E3&amp;CHAR(34)&amp;",type:"&amp;GP3&amp;", describe: "&amp;HI3&amp;", links: "&amp;HL3&amp;"},"</f>
        <v>{couname:"Saint Helena",year:"1984 ",region:"rgn_Africa",Colors:["cl_BLU","cl_RED","cl_WHI","cl_BRO","cl_BLA"],Items:["5+Colo","words2","exact2","lets11","startS","year19","smallc","NoBand","Crosse","Animal","Bird","Canton","Wavess","Geogrh","Ships!","Waters","NO_GRE","NO_YEL","myrBLU","island","englis","unjack","NoStar"],Flag:"https://upload.wikimedia.org/wikipedia/commons/thumb/0/00/Flag_of_Saint_Helena.svg/383px-Flag_of_Saint_Helena.svg.png",HDFlag:"https://upload.wikimedia.org/wikipedia/commons/thumb/0/00/Flag_of_Saint_Helena.svg/2560px-Flag_of_Saint_Helena.svg.png",type:"", describe: "\nThe bird on the yellow field is a Saint Helena plover that epitomises the fauna of the territory. Popularly referred to by Saint Helenians as the wirebird, it is the last species of bird that is endemic to the island, and is the official bird of Saint Helena. The Cross of Saint George flown from the three-masted sailing ship is a conspicuous symbol of the Kingdom of England, Saint Helena's mother country.", links: "https://en.wikipedia.org/wiki/Flag_of_Saint_Helena"},</v>
      </c>
      <c r="HH3" s="48" t="str">
        <f>IF(P3&lt;&gt;"",CHAR(34)&amp;"\n"&amp;P3&amp;CHAR(34),CHAR(34)&amp;CHAR(34))</f>
        <v>"\nThe bird on the yellow field is a Saint Helena plover that epitomises the fauna of the territory. Popularly referred to by Saint Helenians as the wirebird, it is the last species of bird that is endemic to the island, and is the official bird of Saint Helena. The Cross of Saint George flown from the three-masted sailing ship is a conspicuous symbol of the Kingdom of England, Saint Helena's mother country."</v>
      </c>
      <c r="HI3" s="48" t="str">
        <f>IF(J3=0,CHAR(34)&amp;CHAR(34),HH3)</f>
        <v>"\nThe bird on the yellow field is a Saint Helena plover that epitomises the fauna of the territory. Popularly referred to by Saint Helenians as the wirebird, it is the last species of bird that is endemic to the island, and is the official bird of Saint Helena. The Cross of Saint George flown from the three-masted sailing ship is a conspicuous symbol of the Kingdom of England, Saint Helena's mother country."</v>
      </c>
      <c r="HJ3" s="48" t="str">
        <f>CHAR(34)&amp;O3&amp;CHAR(34)</f>
        <v>"1984 "</v>
      </c>
      <c r="HL3" s="48" t="str">
        <f>CHAR(34)&amp;I3&amp;CHAR(34)</f>
        <v>"https://en.wikipedia.org/wiki/Flag_of_Saint_Helena"</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{"couname":"Saint Helena","year":"1984 ","region":"rgn_Africa","Colors":["cl_BLU","cl_RED","cl_WHI","cl_BRO","cl_BLA"],"Items":["5+Colo","words2","exact2","lets11","startS","year19","smallc","NoBand","Crosse","Animal","Bird","Canton","Wavess","Geogrh","Ships!","Waters","NO_GRE","NO_YEL","myrBLU","island","englis","unjack","NoStar"],"Flag":"https://upload.wikimedia.org/wikipedia/commons/thumb/0/00/Flag_of_Saint_Helena.svg/383px-Flag_of_Saint_Helena.svg.png","HDFlag":"https://upload.wikimedia.org/wikipedia/commons/thumb/0/00/Flag_of_Saint_Helena.svg/2560px-Flag_of_Saint_Helena.svg.png","type":"", "describe": "\nThe bird on the yellow field is a Saint Helena plover that epitomises the fauna of the territory. Popularly referred to by Saint Helenians as the wirebird, it is the last species of bird that is endemic to the island, and is the official bird of Saint Helena. The Cross of Saint George flown from the three-masted sailing ship is a conspicuous symbol of the Kingdom of England, Saint Helena's mother country.", "isnew": ".", "links": "https://en.wikipedia.org/wiki/Flag_of_Saint_Helena"},</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{"couname":"Saint Helena","year":"1984 ","region":"rgn_Africa","Colors":["cl_BLU","cl_RED","cl_WHI","cl_BRO","cl_BLA"],"Items":["5+Colo","words2","exact2","lets11","startS","year19","smallc","NoBand","Crosse","Animal","Bird","Canton","Wavess","Geogrh","Ships!","Waters","NO_GRE","NO_YEL","myrBLU","island","englis","unjack","NoStar"],"Flag":"https://upload.wikimedia.org/wikipedia/commons/thumb/0/00/Flag_of_Saint_Helena.svg/383px-Flag_of_Saint_Helena.svg.png","HDFlag":"https://upload.wikimedia.org/wikipedia/commons/thumb/0/00/Flag_of_Saint_Helena.svg/2560px-Flag_of_Saint_Helena.svg.png","type":"", "describe": "\nThe bird on the yellow field is a Saint Helena plover that epitomises the fauna of the territory. Popularly referred to by Saint Helenians as the wirebird, it is the last species of bird that is endemic to the island, and is the official bird of Saint Helena. The Cross of Saint George flown from the three-masted sailing ship is a conspicuous symbol of the Kingdom of England, Saint Helena's mother country.", "isnew": ".", "links": "https://en.wikipedia.org/wiki/Flag_of_Saint_Helena"},</v>
      </c>
      <c r="HO3" s="75"/>
      <c r="HP3" s="48" t="str" cm="1">
        <f t="array" ref="HP3">IF(_xlfn.TEXTJOIN(", ", TRUE, IF(ISNUMBER(SEARCH("BLA", BL3:BT3)), COLUMN(BL3:BT3) - COLUMN(BL3) + 1, ""))&lt;&gt;"","BLA","")</f>
        <v>BLA</v>
      </c>
      <c r="HQ3" s="48" t="str" cm="1">
        <f t="array" ref="HQ3">IF(_xlfn.TEXTJOIN(", ", TRUE, IF(ISNUMBER(SEARCH("BLU", BL3:BT3)), COLUMN(BL3:BT3) - COLUMN(BL3) + 1, ""))&lt;&gt;"","BLU","")</f>
        <v>BLU</v>
      </c>
      <c r="HR3" s="48" t="str" cm="1">
        <f t="array" ref="HR3">IF(_xlfn.TEXTJOIN(", ", TRUE, IF(ISNUMBER(SEARCH("GRE", BL3:BT3)), COLUMN(BL3:BT3) - COLUMN(BL3) + 1, ""))&lt;&gt;"","GRE","")</f>
        <v/>
      </c>
      <c r="HS3" s="48" t="str" cm="1">
        <f t="array" ref="HS3">IF(_xlfn.TEXTJOIN(", ", TRUE, IF(ISNUMBER(SEARCH("RED", BL3:BT3)), COLUMN(BL3:BT3) - COLUMN(BL3) + 1, ""))&lt;&gt;"","RED","")</f>
        <v>RED</v>
      </c>
      <c r="HT3" s="48" t="str" cm="1">
        <f t="array" ref="HT3">IF(_xlfn.TEXTJOIN(", ", TRUE, IF(ISNUMBER(SEARCH("YEL", BL3:BT3)), COLUMN(BL3:BT3) - COLUMN(BL3) + 1, ""))&lt;&gt;"","YEL","")</f>
        <v/>
      </c>
      <c r="HU3" s="48" t="str" cm="1">
        <f t="array" ref="HU3">IF(_xlfn.TEXTJOIN(", ", TRUE, IF(ISNUMBER(SEARCH("ORA", BL3:BT3)), COLUMN(BL3:BT3) - COLUMN(BL3) + 1, ""))&lt;&gt;"","ORA","")</f>
        <v/>
      </c>
      <c r="HV3" s="48" t="str" cm="1">
        <f t="array" ref="HV3">IF(_xlfn.TEXTJOIN(", ", TRUE, IF(ISNUMBER(SEARCH("BRO", BL3:BT3)), COLUMN(BL3:BT3) - COLUMN(BL3) + 1, ""))&lt;&gt;"","BRO","")</f>
        <v>BRO</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t="s">
        <v>164</v>
      </c>
      <c r="IB3" s="6"/>
      <c r="IC3" s="77"/>
      <c r="ID3" s="77"/>
      <c r="IE3" s="77"/>
      <c r="IF3" s="77"/>
      <c r="IG3" s="77"/>
      <c r="IH3" s="77"/>
      <c r="II3" s="77"/>
      <c r="IJ3" s="77"/>
      <c r="IK3" s="77"/>
      <c r="IL3" s="48">
        <f>SUM(IC3:IK3)</f>
        <v>0</v>
      </c>
      <c r="IM3" s="45">
        <f>COUNTIF(IC3:IK3,"&gt;0")-CG3</f>
        <v>-5</v>
      </c>
      <c r="IN3" s="78" t="str">
        <f>"http://mkweb.bcgsc.ca/color-summarizer/?url="&amp;D3&amp;"&amp;precision=low&amp;num_clusters="&amp;CG3&amp;"&amp;text=1"</f>
        <v>http://mkweb.bcgsc.ca/color-summarizer/?url=https://upload.wikimedia.org/wikipedia/commons/thumb/0/00/Flag_of_Saint_Helena.svg/383px-Flag_of_Saint_Helena.svg.png&amp;precision=low&amp;num_clusters=5&amp;text=1</v>
      </c>
      <c r="IO3" s="48" t="str">
        <f>IF(HP3&lt;&gt;"",CHAR(34)&amp;"black"&amp;CHAR(34),"")</f>
        <v>"black"</v>
      </c>
      <c r="IP3" s="48" t="str">
        <f>IF(HQ3&lt;&gt;"",CHAR(34)&amp;"blue"&amp;CHAR(34),"")</f>
        <v>"blue"</v>
      </c>
      <c r="IQ3" s="48" t="str">
        <f>IF(HR3&lt;&gt;"",CHAR(34)&amp;"green"&amp;CHAR(34),"")</f>
        <v/>
      </c>
      <c r="IR3" s="48" t="str">
        <f>IF(HS3&lt;&gt;"",CHAR(34)&amp;"red"&amp;CHAR(34),"")</f>
        <v>"red"</v>
      </c>
      <c r="IS3" s="48" t="str">
        <f>IF(HT3&lt;&gt;"",CHAR(34)&amp;"yellow"&amp;CHAR(34),"")</f>
        <v/>
      </c>
      <c r="IT3" s="48" t="str">
        <f>IF(HU3&lt;&gt;"",CHAR(34)&amp;"orange"&amp;CHAR(34),"")</f>
        <v/>
      </c>
      <c r="IU3" s="48" t="str">
        <f>IF(HV3&lt;&gt;"",CHAR(34)&amp;"brown"&amp;CHAR(34),"")</f>
        <v>"brown"</v>
      </c>
      <c r="IV3" s="48" t="str">
        <f>IF(HW3&lt;&gt;"",CHAR(34)&amp;"purple"&amp;CHAR(34),"")</f>
        <v/>
      </c>
      <c r="IW3" s="48" t="str">
        <f>IF(HX3&lt;&gt;"",CHAR(34)&amp;"white"&amp;CHAR(34),"")</f>
        <v>"white"</v>
      </c>
      <c r="IX3" s="48" t="str">
        <f>"{"&amp;CHAR(34)&amp;"url"&amp;CHAR(34)&amp;":"&amp;CHAR(34)&amp;IN3&amp;CHAR(34)&amp;","&amp;CHAR(34)&amp;"name"&amp;CHAR(34)&amp;":"&amp;CHAR(34)&amp;A3&amp;CHAR(34)&amp;"},"</f>
        <v>{"url":"http://mkweb.bcgsc.ca/color-summarizer/?url=https://upload.wikimedia.org/wikipedia/commons/thumb/0/00/Flag_of_Saint_Helena.svg/383px-Flag_of_Saint_Helena.svg.png&amp;precision=low&amp;num_clusters=5&amp;text=1","name":"Saint Helena"},</v>
      </c>
      <c r="IY3" s="48">
        <v>183</v>
      </c>
    </row>
    <row r="4" spans="1:259" s="48" customFormat="1" ht="38.4" customHeight="1" thickBot="1" x14ac:dyDescent="0.35">
      <c r="A4" s="79" t="s">
        <v>401</v>
      </c>
      <c r="B4" s="40" t="e" vm="102">
        <v>#VALUE!</v>
      </c>
      <c r="C4" s="41">
        <v>2</v>
      </c>
      <c r="D4" s="42" t="s">
        <v>402</v>
      </c>
      <c r="E4" s="43" t="s">
        <v>403</v>
      </c>
      <c r="F4" s="44" t="s">
        <v>404</v>
      </c>
      <c r="G4" s="45">
        <f>COUNTIF($A$1:$A$8397,A4)</f>
        <v>1</v>
      </c>
      <c r="H4" s="46"/>
      <c r="I4" s="47" t="s">
        <v>405</v>
      </c>
      <c r="J4" s="48" t="str">
        <f>""</f>
        <v/>
      </c>
      <c r="K4" s="49"/>
      <c r="L4" s="50"/>
      <c r="M4" s="50"/>
      <c r="N4" s="51" t="s">
        <v>180</v>
      </c>
      <c r="O4" s="52">
        <v>2013</v>
      </c>
      <c r="P4" s="53" t="s">
        <v>406</v>
      </c>
      <c r="Q4" s="54">
        <v>2</v>
      </c>
      <c r="R4" s="55" t="s">
        <v>180</v>
      </c>
      <c r="S4" s="56">
        <v>0</v>
      </c>
      <c r="T4" s="57" t="s">
        <v>164</v>
      </c>
      <c r="U4" s="58" t="s">
        <v>167</v>
      </c>
      <c r="V4" s="58" t="s">
        <v>164</v>
      </c>
      <c r="W4" s="58" t="s">
        <v>164</v>
      </c>
      <c r="X4" s="58" t="s">
        <v>164</v>
      </c>
      <c r="Y4" s="58" t="s">
        <v>167</v>
      </c>
      <c r="Z4" s="58" t="s">
        <v>164</v>
      </c>
      <c r="AA4" s="58" t="s">
        <v>167</v>
      </c>
      <c r="AB4" s="58" t="s">
        <v>164</v>
      </c>
      <c r="AC4" s="58" t="s">
        <v>164</v>
      </c>
      <c r="AD4" s="58" t="s">
        <v>164</v>
      </c>
      <c r="AE4" s="58" t="s">
        <v>164</v>
      </c>
      <c r="AF4" s="59" t="s">
        <v>164</v>
      </c>
      <c r="AG4" s="59" t="s">
        <v>164</v>
      </c>
      <c r="AH4" s="59" t="s">
        <v>164</v>
      </c>
      <c r="AI4" s="59" t="s">
        <v>167</v>
      </c>
      <c r="AJ4" s="59" t="s">
        <v>164</v>
      </c>
      <c r="AK4" s="59" t="s">
        <v>164</v>
      </c>
      <c r="AL4" s="59" t="s">
        <v>164</v>
      </c>
      <c r="AM4" s="59" t="s">
        <v>167</v>
      </c>
      <c r="AN4" s="59" t="s">
        <v>164</v>
      </c>
      <c r="AO4" s="59" t="s">
        <v>164</v>
      </c>
      <c r="AP4" s="59" t="s">
        <v>167</v>
      </c>
      <c r="AQ4" s="59" t="s">
        <v>164</v>
      </c>
      <c r="AR4" s="59" t="s">
        <v>164</v>
      </c>
      <c r="AS4" s="59" t="s">
        <v>164</v>
      </c>
      <c r="AT4" s="60">
        <v>0</v>
      </c>
      <c r="AU4" s="59" t="s">
        <v>298</v>
      </c>
      <c r="AV4" s="59" t="str">
        <f>IF(LEFT(A4,1)="[",LEFT(A4,5)&amp;AU4&amp;A4,"")</f>
        <v>[SHN]Territory[SHN] Ascension Island</v>
      </c>
      <c r="AW4" s="59" t="str">
        <f t="shared" ref="AW4:AW5" si="1">C4&amp;H4&amp;A4</f>
        <v>2[SHN] Ascension Island</v>
      </c>
      <c r="AX4" s="61"/>
      <c r="AY4" s="61"/>
      <c r="AZ4" s="62" t="s">
        <v>172</v>
      </c>
      <c r="BA4" s="62" t="s">
        <v>172</v>
      </c>
      <c r="BB4" s="62"/>
      <c r="BC4" s="63"/>
      <c r="BD4" s="64" t="s">
        <v>152</v>
      </c>
      <c r="BE4" s="47"/>
      <c r="BF4" s="64" t="s">
        <v>172</v>
      </c>
      <c r="BG4" s="64" t="s">
        <v>172</v>
      </c>
      <c r="BH4" s="64" t="s">
        <v>172</v>
      </c>
      <c r="BI4" s="64"/>
      <c r="BJ4" s="64"/>
      <c r="BK4" s="47"/>
      <c r="BL4" s="64" t="s">
        <v>172</v>
      </c>
      <c r="BM4" s="64" t="s">
        <v>152</v>
      </c>
      <c r="BN4" s="64" t="s">
        <v>153</v>
      </c>
      <c r="BO4" s="64" t="s">
        <v>154</v>
      </c>
      <c r="BP4" s="64" t="s">
        <v>172</v>
      </c>
      <c r="BQ4" s="64" t="s">
        <v>172</v>
      </c>
      <c r="BR4" s="64" t="s">
        <v>157</v>
      </c>
      <c r="BS4" s="64" t="s">
        <v>172</v>
      </c>
      <c r="BT4" s="64" t="s">
        <v>159</v>
      </c>
      <c r="BU4" s="65" t="s">
        <v>167</v>
      </c>
      <c r="BV4" s="66"/>
      <c r="BW4" s="66">
        <v>0</v>
      </c>
      <c r="BX4" s="47"/>
      <c r="CB4" s="6"/>
      <c r="CC4" s="6"/>
      <c r="CD4" s="67">
        <v>0</v>
      </c>
      <c r="CE4" s="67">
        <v>0</v>
      </c>
      <c r="CF4" s="67" t="e">
        <v>#REF!</v>
      </c>
      <c r="CG4" s="68" cm="1">
        <f t="array" ref="CG4">SUMPRODUCT(--(LEN(TRIM(BL4:BT4))&gt;0))</f>
        <v>5</v>
      </c>
      <c r="CH4" s="59" t="str">
        <f>IF(CG4=2,"y","n")</f>
        <v>n</v>
      </c>
      <c r="CI4" s="59" t="str">
        <f>IF(CG4=3,"y","n")</f>
        <v>n</v>
      </c>
      <c r="CJ4" s="59" t="str">
        <f>IF(CG4=4,"y","n")</f>
        <v>n</v>
      </c>
      <c r="CK4" s="59" t="str">
        <f>IF(CG4&gt;4,"y","n")</f>
        <v>y</v>
      </c>
      <c r="CL4" s="59" t="str">
        <f>IF(S4=0,"y","n")</f>
        <v>y</v>
      </c>
      <c r="CM4" s="59" t="str">
        <f>IF(S4=2,"y","n")</f>
        <v>n</v>
      </c>
      <c r="CN4" s="59" t="str">
        <f>IF(S4=3,"y","n")</f>
        <v>n</v>
      </c>
      <c r="CO4" s="59" t="str">
        <f>IF(S4&gt;=4,"y","n")</f>
        <v>n</v>
      </c>
      <c r="CP4" s="59" t="str">
        <f>IF(AT4=0,"y","n")</f>
        <v>y</v>
      </c>
      <c r="CQ4" s="59" t="str">
        <f>IF(AT4=1,"y","n")</f>
        <v>n</v>
      </c>
      <c r="CR4" s="59" t="str">
        <f>IF(AT4=2,"y","n")</f>
        <v>n</v>
      </c>
      <c r="CS4" s="59" t="str">
        <f>IF(AT4&gt;=3,"y","n")</f>
        <v>n</v>
      </c>
      <c r="CT4" s="69" t="str">
        <f>CHAR(34)&amp;A4&amp;CHAR(34)</f>
        <v>"[SHN] Ascension Island"</v>
      </c>
      <c r="CU4" s="70" t="str">
        <f>CHAR(34)&amp;"rgn_"&amp;R4&amp;CHAR(34)</f>
        <v>"rgn_Africa"</v>
      </c>
      <c r="CV4" s="48" t="str">
        <f>CHAR(34)&amp;D4&amp;CHAR(34)</f>
        <v>"https://upload.wikimedia.org/wikipedia/commons/thumb/6/67/Flag_of_Ascension_Island.png/320px-Flag_of_Ascension_Island.png"</v>
      </c>
      <c r="CW4" s="48" t="str">
        <f>IF(CH4="y",CHAR(34)&amp;CH$1&amp;CHAR(34)&amp;",","")</f>
        <v/>
      </c>
      <c r="CX4" s="48" t="str">
        <f>IF(CI4="y",CHAR(34)&amp;CI$1&amp;CHAR(34)&amp;",","")</f>
        <v/>
      </c>
      <c r="CY4" s="48" t="str">
        <f>IF(CJ4="y",CHAR(34)&amp;CJ$1&amp;CHAR(34)&amp;",","")</f>
        <v/>
      </c>
      <c r="CZ4" s="48" t="str">
        <f>IF(CK4="y",CHAR(34)&amp;CK$1&amp;CHAR(34)&amp;",","")</f>
        <v>"5+Colo",</v>
      </c>
      <c r="DA4" s="48" t="str">
        <f>IF(Q4&gt;1,CHAR(34)&amp;"words2"&amp;CHAR(34)&amp;",","")</f>
        <v>"words2",</v>
      </c>
      <c r="DB4" s="48" t="str">
        <f>IF(Q4&gt;2,CHAR(34)&amp;"words3"&amp;CHAR(34)&amp;",","")</f>
        <v/>
      </c>
      <c r="DD4" s="48" t="str">
        <f>IF(LEN(CHAR(34)&amp;"lets"&amp;LEN(SUBSTITUTE(SUBSTITUTE(IFERROR(TRIM(SUBSTITUTE(A4,MID(A4,FIND("[",A4),FIND("]",A4)-FIND("[",A4)+1),"")),A4)," ",""),"-",""))&amp;CHAR(34)&amp;",")=9,CHAR(34)&amp;"lets"&amp;LEN(SUBSTITUTE(SUBSTITUTE(IFERROR(TRIM(SUBSTITUTE(A4,MID(A4,FIND("[",A4),FIND("]",A4)-FIND("[",A4)+1),"")),A4)," ",""),"-",""))&amp;CHAR(34)&amp;",",CHAR(34)&amp;"lets0"&amp;LEN(SUBSTITUTE(SUBSTITUTE(IFERROR(TRIM(SUBSTITUTE(A4,MID(A4,FIND("[",A4),FIND("]",A4)-FIND("[",A4)+1),"")),A4)," ",""),"-",""))&amp;CHAR(34)&amp;",")</f>
        <v>"lets15",</v>
      </c>
      <c r="DE4" s="48" t="str">
        <f>CHAR(34)&amp;"start"&amp;IFERROR(LEFT(SUBSTITUTE(A4,"["&amp;MID(A4,FIND("[",A4)+1,FIND("]",A4)-FIND("[",A4)-1)&amp;"] ",""),1),LEFT(A4,1))&amp;CHAR(34)&amp;","</f>
        <v>"startA",</v>
      </c>
      <c r="DF4" s="48" t="str">
        <f>IFERROR(IF(SEARCH("tan",A4)&gt;0,CHAR(34)&amp;"withtn"&amp;CHAR(34)&amp;",",""),"")</f>
        <v/>
      </c>
      <c r="DG4" s="48" t="str">
        <f>IFERROR(IF(SEARCH("q",A4)&gt;0,CHAR(34)&amp;"with_q"&amp;CHAR(34)&amp;",",""),"")</f>
        <v/>
      </c>
      <c r="DH4" s="48" t="str">
        <f>IFERROR(IF(SEARCH("v",A4)&gt;0,CHAR(34)&amp;"with_v"&amp;CHAR(34)&amp;",",""),"")</f>
        <v/>
      </c>
      <c r="DI4" s="48" t="str">
        <f>IFERROR(IF(SEARCH("w",A4)&gt;0,CHAR(34)&amp;"with_w"&amp;CHAR(34)&amp;",",""),"")</f>
        <v/>
      </c>
      <c r="DJ4" s="48" t="str">
        <f>IFERROR(IF(SEARCH("y",A4)&gt;0,CHAR(34)&amp;"with_y"&amp;CHAR(34)&amp;",",""),"")</f>
        <v/>
      </c>
      <c r="DK4" s="48" t="str">
        <f>IFERROR(IF(SEARCH("z",A4)&gt;0,CHAR(34)&amp;"with_z"&amp;CHAR(34)&amp;",",""),"")</f>
        <v/>
      </c>
      <c r="DL4" s="48" t="str">
        <f>IF(CG4=2, CHAR(34) &amp; _xlfn.TEXTJOIN("", TRUE, _xlfn._xlws.SORT(HP4:HX4)) &amp; CHAR(34) &amp; ",", "")</f>
        <v/>
      </c>
      <c r="DM4" s="48" t="str" cm="1">
        <f t="array" ref="DM4">IF(CG4=3,CHAR(34) &amp; _xlfn.TEXTJOIN("", TRUE, RIGHT(HP4:HX4, 2)) &amp; CHAR(34) &amp; ",", "")</f>
        <v/>
      </c>
      <c r="DN4" s="48" t="str">
        <f>IF(AND(ISNUMBER(SEARCH("18", O4)), ISERROR(SEARCH("1918", O4)), ISERROR(SEARCH("2018", O4))), CHAR(34) &amp; "year18" &amp; CHAR(34) &amp; ",", "")</f>
        <v/>
      </c>
      <c r="DO4" s="48" t="str">
        <f>IF(AND(ISNUMBER(SEARCH("19", O4)), ISERROR(SEARCH("1819", O4)),  ISERROR(SEARCH("1219", O4)),ISERROR(SEARCH("1119", O4)),ISERROR(SEARCH("1190", O4)),ISERROR(SEARCH("2019", O4))), CHAR(34) &amp; "year19" &amp; CHAR(34) &amp; ",", "")</f>
        <v/>
      </c>
      <c r="DP4" s="6" t="str">
        <f>IF(AND(ISNUMBER(SEARCH("20", O4)), ISERROR(SEARCH("1920", O4))), CHAR(34)&amp;"year00"&amp;CHAR(34)&amp;",", "")</f>
        <v>"year00",</v>
      </c>
      <c r="DQ4" s="6" t="str">
        <f>IF(CC4="y",CHAR(34)&amp;"soviet"&amp;CHAR(34)&amp;",","")</f>
        <v/>
      </c>
      <c r="DR4" s="6" t="str">
        <f>IF(BY4="y",CHAR(34)&amp;"dgband"&amp;CHAR(34)&amp;",","")</f>
        <v/>
      </c>
      <c r="DS4" s="6" t="str">
        <f>IF(W4="y",IF(AND(V4="n",BY4&lt;&gt;"y"),CHAR(34)&amp;"allver"&amp;CHAR(34)&amp;",",""),"")</f>
        <v/>
      </c>
      <c r="DT4" s="6" t="str">
        <f>IF(V4="y",IF(AND(W4="n",BY4&lt;&gt;"y"),CHAR(34)&amp;"allhor"&amp;CHAR(34)&amp;",",""),"")</f>
        <v/>
      </c>
      <c r="DU4" s="6" t="str">
        <f>IF(BY4="y",IF(AND(W4="n",V4="n"),CHAR(34)&amp;"alldia"&amp;CHAR(34)&amp;",",""),"")</f>
        <v/>
      </c>
      <c r="DW4" s="48" t="str">
        <f>IF(CL4="y",CHAR(34)&amp;CL$1&amp;CHAR(34)&amp;",","")</f>
        <v>"NoBand",</v>
      </c>
      <c r="DX4" s="48" t="str">
        <f>IF(CM4="y",CHAR(34)&amp;CM$1&amp;CHAR(34)&amp;",","")</f>
        <v/>
      </c>
      <c r="DY4" s="48" t="str">
        <f>IF(CN4="y",CHAR(34)&amp;CN$1&amp;CHAR(34)&amp;",","")</f>
        <v/>
      </c>
      <c r="DZ4" s="48" t="str">
        <f>IF(CO4="y",CHAR(34)&amp;CO$1&amp;CHAR(34)&amp;",","")</f>
        <v/>
      </c>
      <c r="EA4" s="48" t="str">
        <f>IF(T4="y",CHAR(34)&amp;T$1&amp;CHAR(34)&amp;",","")</f>
        <v/>
      </c>
      <c r="EB4" s="48" t="str">
        <f>IF(U4="y",CHAR(34)&amp;U$1&amp;CHAR(34)&amp;",","")</f>
        <v>"Crosse",</v>
      </c>
      <c r="EC4" s="48" t="str">
        <f>IF(V4="y",CHAR(34)&amp;V$1&amp;CHAR(34)&amp;",","")</f>
        <v/>
      </c>
      <c r="ED4" s="48" t="str">
        <f>IF(W4="y",CHAR(34)&amp;W$1&amp;CHAR(34)&amp;",","")</f>
        <v/>
      </c>
      <c r="EE4" s="48" t="str">
        <f>IF(X4="y",CHAR(34)&amp;X$1&amp;CHAR(34)&amp;",","")</f>
        <v/>
      </c>
      <c r="EF4" s="48" t="str">
        <f>IF(AND(Y4&lt;&gt;"n",Y4&lt;&gt;""),CHAR(34)&amp;Y$1&amp;CHAR(34)&amp;",","")</f>
        <v>"Animal",</v>
      </c>
      <c r="EG4" s="48" t="str">
        <f>IF(Z4="y",CHAR(34)&amp;Z$1&amp;CHAR(34)&amp;",","")</f>
        <v/>
      </c>
      <c r="EH4" s="48" t="str">
        <f>IF(AA4="y",CHAR(34)&amp;AA$1&amp;CHAR(34)&amp;",","")</f>
        <v>"Plants",</v>
      </c>
      <c r="EI4" s="48" t="str">
        <f>IF(AB4="y",CHAR(34)&amp;AB$1&amp;CHAR(34)&amp;",","")</f>
        <v/>
      </c>
      <c r="EJ4" s="48" t="str">
        <f>IF(AC4="y",CHAR(34)&amp;AC$1&amp;CHAR(34)&amp;",","")</f>
        <v/>
      </c>
      <c r="EK4" s="48" t="str">
        <f>IF(AD4="y",CHAR(34)&amp;AD$1&amp;CHAR(34)&amp;",","")</f>
        <v/>
      </c>
      <c r="EL4" s="48" t="str">
        <f>IF(AE4="y",CHAR(34)&amp;AE$1&amp;CHAR(34)&amp;",","")</f>
        <v/>
      </c>
      <c r="EM4" s="48" t="str">
        <f>IF(AF4="y",CHAR(34)&amp;AF$1&amp;CHAR(34)&amp;",","")</f>
        <v/>
      </c>
      <c r="EN4" s="48" t="str">
        <f>IF(AG4="y",CHAR(34)&amp;AG$1&amp;CHAR(34)&amp;",","")</f>
        <v/>
      </c>
      <c r="EO4" s="48" t="str">
        <f>IF(AH4="y",CHAR(34)&amp;AH$1&amp;CHAR(34)&amp;",","")</f>
        <v/>
      </c>
      <c r="EP4" s="48" t="str">
        <f>IF(AI4="y",CHAR(34)&amp;AI$1&amp;CHAR(34)&amp;",","")</f>
        <v>"Canton",</v>
      </c>
      <c r="EQ4" s="48" t="str">
        <f>IF(AJ4="y",CHAR(34)&amp;AJ$1&amp;CHAR(34)&amp;",","")</f>
        <v/>
      </c>
      <c r="ER4" s="48" t="str">
        <f>IF(AK4="y",CHAR(34)&amp;AK$1&amp;CHAR(34)&amp;",","")</f>
        <v/>
      </c>
      <c r="ES4" s="48" t="str">
        <f>IF(AL4="y",CHAR(34)&amp;AL$1&amp;CHAR(34)&amp;",","")</f>
        <v/>
      </c>
      <c r="ET4" s="48" t="str">
        <f>IF(AM4="y",CHAR(34)&amp;AM$1&amp;CHAR(34)&amp;",","")</f>
        <v>"Geogrh",</v>
      </c>
      <c r="EU4" s="48" t="str">
        <f>IF(AN4="y",CHAR(34)&amp;AN$1&amp;CHAR(34)&amp;",","")</f>
        <v/>
      </c>
      <c r="EV4" s="48" t="str">
        <f>IF(AO4="y",CHAR(34)&amp;AO$1&amp;CHAR(34)&amp;",","")</f>
        <v/>
      </c>
      <c r="EW4" s="48" t="str">
        <f>IF(AP4="y",CHAR(34)&amp;AP$1&amp;CHAR(34)&amp;",","")</f>
        <v>"Ships!",</v>
      </c>
      <c r="EX4" s="48" t="str">
        <f>IF(AQ4="y",CHAR(34)&amp;AQ$1&amp;CHAR(34)&amp;",","")</f>
        <v/>
      </c>
      <c r="EY4" s="48" t="str">
        <f>IF(AR4="y",CHAR(34)&amp;AR$1&amp;CHAR(34)&amp;",","")</f>
        <v/>
      </c>
      <c r="EZ4" s="48" t="str">
        <f>IF(AS4="y",CHAR(34)&amp;AS$1&amp;CHAR(34)&amp;",","")</f>
        <v/>
      </c>
      <c r="FA4" s="48" t="str">
        <f>IF(AT4&gt;0,CHAR(34)&amp;"sta"&amp;AZ4&amp;CHAR(34)&amp;",","")</f>
        <v/>
      </c>
      <c r="FB4" s="48" t="str">
        <f>IF(AND(AT4&gt;0,BA4&lt;&gt;""),CHAR(34)&amp;"sta"&amp;BA4&amp;CHAR(34)&amp;",","")</f>
        <v/>
      </c>
      <c r="FD4" s="48" t="str">
        <f>IF(BV4="n",CHAR(34)&amp;"tcWHYE"&amp;CHAR(34)&amp;",",IF(BV4="y",CHAR(34)&amp;FD$1&amp;CHAR(34)&amp;",",""))</f>
        <v/>
      </c>
      <c r="FE4" s="48" t="str">
        <f>IF(COUNTIF(BL4:BT4,"BLU")=0,CHAR(34)&amp;"NO_BLU"&amp;CHAR(34)&amp;",", "")</f>
        <v/>
      </c>
      <c r="FF4" s="48" t="str">
        <f>IF(COUNTIF(BL4:BT4,"WHI")=0,CHAR(34)&amp;"NO_WHI"&amp;CHAR(34)&amp;",", "")</f>
        <v/>
      </c>
      <c r="FG4" s="48" t="str">
        <f>IF(COUNTIF(BL4:BT4,"RED")=0,CHAR(34)&amp;"NO_RED"&amp;CHAR(34)&amp;",", "")</f>
        <v/>
      </c>
      <c r="FH4" s="48" t="str">
        <f>IF(COUNTIF(BL4:BS4,"GRE")=0,CHAR(34)&amp;"NO_GRE"&amp;CHAR(34)&amp;",", "")</f>
        <v/>
      </c>
      <c r="FI4" s="48" t="str">
        <f>IF(COUNTIF(BL4:BT4,"YEL")=0,CHAR(34)&amp;"NO_YEL"&amp;CHAR(34)&amp;",", "")</f>
        <v>"NO_YEL",</v>
      </c>
      <c r="FJ4" s="48" t="str">
        <f>IF(COUNTIF(BL4:BT4,"BLA")=0,CHAR(34)&amp;"NO_BLA"&amp;CHAR(34)&amp;",", "")</f>
        <v>"NO_BLA",</v>
      </c>
      <c r="FK4" s="48" t="str">
        <f>IF(AND(FH4&lt;&gt;"",FF4&lt;&gt;""),CHAR(34)&amp;"WHGRNO"&amp;CHAR(34)&amp;",","")</f>
        <v/>
      </c>
      <c r="FL4" s="48" t="str">
        <f>IF(AND(FI4&lt;&gt;"",FF4&lt;&gt;""),CHAR(34)&amp;"WHYENO"&amp;CHAR(34)&amp;",","")</f>
        <v/>
      </c>
      <c r="FM4" s="48" t="str">
        <f>IF(AND(FJ4&lt;&gt;"",FF4&lt;&gt;""),CHAR(34)&amp;"BAWHNO"&amp;CHAR(34)&amp;",","")</f>
        <v/>
      </c>
      <c r="FN4" s="48" t="str">
        <f>IF(AND(FE4&lt;&gt;"",FF4&lt;&gt;""),CHAR(34)&amp;"BLWHNO"&amp;CHAR(34)&amp;",","")</f>
        <v/>
      </c>
      <c r="FO4" s="48" t="str">
        <f>IF(AND(FE4&lt;&gt;"",FG4&lt;&gt;""),CHAR(34)&amp;"BLRENO"&amp;CHAR(34)&amp;",","")</f>
        <v/>
      </c>
      <c r="FP4" s="48" t="str">
        <f>IF(AND(FF4&lt;&gt;"",FF4&lt;&gt;""),CHAR(34)&amp;"WHRENO"&amp;CHAR(34)&amp;",","")</f>
        <v/>
      </c>
      <c r="FQ4" s="48" t="str">
        <f>IF(LEN(BF4)=3,CHAR(34)&amp;"001"&amp;BF4&amp;CHAR(34)&amp;",","")</f>
        <v/>
      </c>
      <c r="FR4" s="48" t="str">
        <f>IF(LEN(BG4)=3,CHAR(34)&amp;"002"&amp;BG4&amp;CHAR(34)&amp;",","")</f>
        <v/>
      </c>
      <c r="FS4" s="48" t="str">
        <f>IF(LEN(BH4)=3,CHAR(34)&amp;"003"&amp;BH4&amp;CHAR(34)&amp;",","")</f>
        <v/>
      </c>
      <c r="FT4" s="48" t="str">
        <f>CHAR(34)&amp;"myr"&amp;BD4&amp;CHAR(34)&amp;","</f>
        <v>"myrBLU",</v>
      </c>
      <c r="FU4" s="48" t="str">
        <f>IF(AY4="y",CHAR(34)&amp;"island"&amp;CHAR(34)&amp;",","")</f>
        <v/>
      </c>
      <c r="FV4" s="48" t="str">
        <f>IF(BZ4="y",CHAR(34)&amp;"landlo"&amp;CHAR(34)&amp;",","")</f>
        <v/>
      </c>
      <c r="FW4" s="48" t="str">
        <f>IF(CA4="y",CHAR(34)&amp;"eunion"&amp;CHAR(34)&amp;",","")</f>
        <v/>
      </c>
      <c r="FY4" s="48" t="str">
        <f>IFERROR(IF(SEARCH("Arabic",CB4)&gt;0,CHAR(34)&amp;"arabic"&amp;CHAR(34)&amp;",",""),"")</f>
        <v/>
      </c>
      <c r="FZ4" s="48" t="str">
        <f>IFERROR(IF(SEARCH("English",CB4)&gt;0,CHAR(34)&amp;"englis"&amp;CHAR(34)&amp;",",""),"")</f>
        <v/>
      </c>
      <c r="GA4" s="48" t="str">
        <f>IFERROR(IF(SEARCH("French",CB4)&gt;0,CHAR(34)&amp;"french"&amp;CHAR(34)&amp;",",""),"")</f>
        <v/>
      </c>
      <c r="GB4" s="48" t="str">
        <f>IFERROR(IF(SEARCH("Spanish",CB4)&gt;0,CHAR(34)&amp;"spanis"&amp;CHAR(34)&amp;",",""),"")</f>
        <v/>
      </c>
      <c r="GE4" s="48" t="str">
        <f>IFERROR(IF(SEARCH("Dutch",CB4)&gt;0,CHAR(34)&amp;"dutchs"&amp;CHAR(34)&amp;",",""),"")</f>
        <v/>
      </c>
      <c r="GF4" s="48" t="str">
        <f>IFERROR(IF(SEARCH("Historical",AU4)&gt;0,CHAR(34)&amp;"histor"&amp;CHAR(34)&amp;",",""),"")</f>
        <v/>
      </c>
      <c r="GG4" s="48" t="str">
        <f>IF(BU4="y",CHAR(34)&amp;"unjack"&amp;CHAR(34)&amp;",","")</f>
        <v>"unjack",</v>
      </c>
      <c r="GH4" s="48" t="str">
        <f>IF(CD4=1,CHAR(34)&amp;"southc"&amp;CHAR(34)&amp;",","")</f>
        <v/>
      </c>
      <c r="GI4" s="48" t="str">
        <f>IF(CE4=1,CHAR(34)&amp;"hasmap"&amp;CHAR(34)&amp;",","")</f>
        <v/>
      </c>
      <c r="GJ4" s="48" t="str">
        <f>IF(CP4="y",CHAR(34)&amp;CP$1&amp;CHAR(34)&amp;",","")</f>
        <v>"NoStar",</v>
      </c>
      <c r="GK4" s="48" t="str">
        <f>IF(GJ4="",CHAR(34)&amp;"HasSta"&amp;CHAR(34)&amp;",","")</f>
        <v/>
      </c>
      <c r="GL4" s="48" t="str">
        <f>IF(CQ4="y",CHAR(34)&amp;CQ$1&amp;CHAR(34)&amp;",","")</f>
        <v/>
      </c>
      <c r="GM4" s="48" t="str">
        <f>IF(CR4="y",CHAR(34)&amp;CR$1&amp;CHAR(34)&amp;",","")</f>
        <v/>
      </c>
      <c r="GN4" s="48" t="str">
        <f>IF(CS4="y",CHAR(34)&amp;CS$1&amp;CHAR(34)&amp;",","")</f>
        <v/>
      </c>
      <c r="GP4" s="48" t="str">
        <f>CHAR(34)&amp;AU4&amp;CHAR(34)</f>
        <v>"Territory"</v>
      </c>
      <c r="GS4" s="48" t="str">
        <f>SUBSTITUTE("["&amp;_xlfn.CONCAT(CW4:GN4)&amp;"]",",]","]")</f>
        <v>["5+Colo","words2","lets15","startA","year00","NoBand","Crosse","Animal","Plants","Canton","Geogrh","Ships!","NO_YEL","NO_BLA","myrBLU","unjack","NoStar"]</v>
      </c>
      <c r="GT4" s="48" t="str">
        <f>IF(BL4&lt;&gt;"",CHAR(34)&amp;"cl_"&amp;BL4&amp;CHAR(34)&amp;",","")</f>
        <v/>
      </c>
      <c r="GU4" s="48" t="str">
        <f>IF(BM4&lt;&gt;"",CHAR(34)&amp;"cl_"&amp;BM4&amp;CHAR(34)&amp;",","")</f>
        <v>"cl_BLU",</v>
      </c>
      <c r="GV4" s="48" t="str">
        <f>IF(BN4&lt;&gt;"",CHAR(34)&amp;"cl_"&amp;BN4&amp;CHAR(34)&amp;",","")</f>
        <v>"cl_GRE",</v>
      </c>
      <c r="GW4" s="48" t="str">
        <f>IF(BO4&lt;&gt;"",CHAR(34)&amp;"cl_"&amp;BO4&amp;CHAR(34)&amp;",","")</f>
        <v>"cl_RED",</v>
      </c>
      <c r="GX4" s="48" t="str">
        <f>IF(BP4&lt;&gt;"",CHAR(34)&amp;"cl_"&amp;BP4&amp;CHAR(34)&amp;",","")</f>
        <v/>
      </c>
      <c r="GY4" s="48" t="str">
        <f>IF(BQ4&lt;&gt;"",CHAR(34)&amp;"cl_"&amp;BQ4&amp;CHAR(34)&amp;",","")</f>
        <v/>
      </c>
      <c r="GZ4" s="48" t="str">
        <f>IF(BR4&lt;&gt;"",CHAR(34)&amp;"cl_"&amp;BR4&amp;CHAR(34)&amp;",","")</f>
        <v>"cl_BRO",</v>
      </c>
      <c r="HA4" s="48" t="str">
        <f>IF(BS4&lt;&gt;"",CHAR(34)&amp;"cl_"&amp;BS4&amp;CHAR(34)&amp;",","")</f>
        <v/>
      </c>
      <c r="HB4" s="48" t="str">
        <f>IF(BT4&lt;&gt;"",CHAR(34)&amp;"cl_"&amp;BT4&amp;CHAR(34)&amp;",","")</f>
        <v>"cl_WHI",</v>
      </c>
      <c r="HC4" s="48" t="str">
        <f>SUBSTITUTE("["&amp;_xlfn.CONCAT(GT4:HB4)&amp;"]",",]","]")</f>
        <v>["cl_BLU","cl_GRE","cl_RED","cl_BRO","cl_WHI"]</v>
      </c>
      <c r="HE4" s="71"/>
      <c r="HF4" s="72" t="str">
        <f>"{couname:"&amp;CT4&amp;(IF(HK4&lt;&gt;"",",subtype:"&amp;CHAR(34)&amp;HK4&amp;CHAR(34),""))&amp;",year:"&amp;HJ4&amp;",region:"&amp;CU4&amp;",Colors:"&amp;HC4&amp;",Items:"&amp;GS4&amp;",Flag:"&amp;CV4&amp;",HDFlag:"&amp;CHAR(34)&amp;E4&amp;CHAR(34)&amp;",type:"&amp;GP4&amp;", describe: "&amp;HH4&amp;", isnew:"&amp;CHAR(34)&amp;F4&amp;CHAR(34)&amp;", links: "&amp;HL4&amp;"},"</f>
        <v>{couname:"[SHN] Ascension Island",year:"2013",region:"rgn_Africa",Colors:["cl_BLU","cl_GRE","cl_RED","cl_BRO","cl_WHI"],Items:["5+Colo","words2","lets15","startA","year00","NoBand","Crosse","Animal","Plants","Canton","Geogrh","Ships!","NO_YEL","NO_BLA","myrBLU","unjack","NoStar"],Flag:"https://upload.wikimedia.org/wikipedia/commons/thumb/6/67/Flag_of_Ascension_Island.png/320px-Flag_of_Ascension_Island.png",HDFlag:"https://upload.wikimedia.org/wikipedia/commons/6/67/Flag_of_Ascension_Island.png",type:"Territory", describe: "\nThe flag is the Blue Ensign adorned with the Coat of Arms for Ascension Island.\nThe Coat of Arms, shows important symbols from the Territory, including a shield emblazoned with the Green Mountain, which is te highest point of the island, between three Wideawake Birds, endemic to the island, secured by two Green Turtles.\nThe ship comes from the Saint Helena Island (Ascension Island is a dependency of St. Helena).", isnew:"www", links: "https://en.wikipedia.org/wiki/Flag_of_Ascension_Island"},</v>
      </c>
      <c r="HG4" s="73" t="str">
        <f>"{couname:"&amp;CT4&amp;(IF(HK4&lt;&gt;"",",subtype:"&amp;CHAR(34)&amp;HK4&amp;CHAR(34),""))&amp;",year:"&amp;HJ4&amp;",region:"&amp;CU4&amp;",Colors:"&amp;HC4&amp;",Items:"&amp;GS4&amp;",Flag:"&amp;CV4&amp;",HDFlag:"&amp;CHAR(34)&amp;E4&amp;CHAR(34)&amp;",type:"&amp;GP4&amp;", describe: "&amp;HI4&amp;", links: "&amp;HL4&amp;"},"</f>
        <v>{couname:"[SHN] Ascension Island",year:"2013",region:"rgn_Africa",Colors:["cl_BLU","cl_GRE","cl_RED","cl_BRO","cl_WHI"],Items:["5+Colo","words2","lets15","startA","year00","NoBand","Crosse","Animal","Plants","Canton","Geogrh","Ships!","NO_YEL","NO_BLA","myrBLU","unjack","NoStar"],Flag:"https://upload.wikimedia.org/wikipedia/commons/thumb/6/67/Flag_of_Ascension_Island.png/320px-Flag_of_Ascension_Island.png",HDFlag:"https://upload.wikimedia.org/wikipedia/commons/6/67/Flag_of_Ascension_Island.png",type:"Territory", describe: "\nThe flag is the Blue Ensign adorned with the Coat of Arms for Ascension Island.\nThe Coat of Arms, shows important symbols from the Territory, including a shield emblazoned with the Green Mountain, which is te highest point of the island, between three Wideawake Birds, endemic to the island, secured by two Green Turtles.\nThe ship comes from the Saint Helena Island (Ascension Island is a dependency of St. Helena).", links: "https://en.wikipedia.org/wiki/Flag_of_Ascension_Island"},</v>
      </c>
      <c r="HH4" s="48" t="str">
        <f>IF(P4&lt;&gt;"",CHAR(34)&amp;"\n"&amp;P4&amp;CHAR(34),CHAR(34)&amp;CHAR(34))</f>
        <v>"\nThe flag is the Blue Ensign adorned with the Coat of Arms for Ascension Island.\nThe Coat of Arms, shows important symbols from the Territory, including a shield emblazoned with the Green Mountain, which is te highest point of the island, between three Wideawake Birds, endemic to the island, secured by two Green Turtles.\nThe ship comes from the Saint Helena Island (Ascension Island is a dependency of St. Helena)."</v>
      </c>
      <c r="HI4" s="48" t="str">
        <f>IF(J4=0,CHAR(34)&amp;CHAR(34),HH4)</f>
        <v>"\nThe flag is the Blue Ensign adorned with the Coat of Arms for Ascension Island.\nThe Coat of Arms, shows important symbols from the Territory, including a shield emblazoned with the Green Mountain, which is te highest point of the island, between three Wideawake Birds, endemic to the island, secured by two Green Turtles.\nThe ship comes from the Saint Helena Island (Ascension Island is a dependency of St. Helena)."</v>
      </c>
      <c r="HJ4" s="48" t="str">
        <f>CHAR(34)&amp;O4&amp;CHAR(34)</f>
        <v>"2013"</v>
      </c>
      <c r="HL4" s="48" t="str">
        <f>CHAR(34)&amp;I4&amp;CHAR(34)</f>
        <v>"https://en.wikipedia.org/wiki/Flag_of_Ascension_Island"</v>
      </c>
      <c r="HM4" s="72"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"&amp;HH4&amp;", "&amp;CHAR(34)&amp;"isnew"&amp;CHAR(34)&amp;": "&amp;CHAR(34)&amp;F4&amp;CHAR(34)&amp;", "&amp;CHAR(34)&amp;"links"&amp;CHAR(34)&amp;": "&amp;HL4&amp;"},"</f>
        <v>{"couname":"[SHN] Ascension Island","year":"2013","region":"rgn_Africa","Colors":["cl_BLU","cl_GRE","cl_RED","cl_BRO","cl_WHI"],"Items":["5+Colo","words2","lets15","startA","year00","NoBand","Crosse","Animal","Plants","Canton","Geogrh","Ships!","NO_YEL","NO_BLA","myrBLU","unjack","NoStar"],"Flag":"https://upload.wikimedia.org/wikipedia/commons/thumb/6/67/Flag_of_Ascension_Island.png/320px-Flag_of_Ascension_Island.png","HDFlag":"https://upload.wikimedia.org/wikipedia/commons/6/67/Flag_of_Ascension_Island.png","type":"Territory", "describe": "\nThe flag is the Blue Ensign adorned with the Coat of Arms for Ascension Island.\nThe Coat of Arms, shows important symbols from the Territory, including a shield emblazoned with the Green Mountain, which is te highest point of the island, between three Wideawake Birds, endemic to the island, secured by two Green Turtles.\nThe ship comes from the Saint Helena Island (Ascension Island is a dependency of St. Helena).", "isnew": "www", "links": "https://en.wikipedia.org/wiki/Flag_of_Ascension_Island"},</v>
      </c>
      <c r="HN4" s="74"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"&amp;HI4&amp;", "&amp;CHAR(34)&amp;"isnew"&amp;CHAR(34)&amp;": "&amp;CHAR(34)&amp;F4&amp;CHAR(34)&amp;", "&amp;CHAR(34)&amp;"links"&amp;CHAR(34)&amp;": "&amp;HL4&amp;"},"</f>
        <v>{"couname":"[SHN] Ascension Island","year":"2013","region":"rgn_Africa","Colors":["cl_BLU","cl_GRE","cl_RED","cl_BRO","cl_WHI"],"Items":["5+Colo","words2","lets15","startA","year00","NoBand","Crosse","Animal","Plants","Canton","Geogrh","Ships!","NO_YEL","NO_BLA","myrBLU","unjack","NoStar"],"Flag":"https://upload.wikimedia.org/wikipedia/commons/thumb/6/67/Flag_of_Ascension_Island.png/320px-Flag_of_Ascension_Island.png","HDFlag":"https://upload.wikimedia.org/wikipedia/commons/6/67/Flag_of_Ascension_Island.png","type":"Territory", "describe": "\nThe flag is the Blue Ensign adorned with the Coat of Arms for Ascension Island.\nThe Coat of Arms, shows important symbols from the Territory, including a shield emblazoned with the Green Mountain, which is te highest point of the island, between three Wideawake Birds, endemic to the island, secured by two Green Turtles.\nThe ship comes from the Saint Helena Island (Ascension Island is a dependency of St. Helena).", "isnew": "www", "links": "https://en.wikipedia.org/wiki/Flag_of_Ascension_Island"},</v>
      </c>
      <c r="HO4" s="75">
        <v>45653</v>
      </c>
      <c r="HP4" s="48" t="str" cm="1">
        <f t="array" ref="HP4">IF(_xlfn.TEXTJOIN(", ", TRUE, IF(ISNUMBER(SEARCH("BLA", BL4:BT4)), COLUMN(BL4:BT4) - COLUMN(BL4) + 1, ""))&lt;&gt;"","BLA","")</f>
        <v/>
      </c>
      <c r="HQ4" s="48" t="str" cm="1">
        <f t="array" ref="HQ4">IF(_xlfn.TEXTJOIN(", ", TRUE, IF(ISNUMBER(SEARCH("BLU", BL4:BT4)), COLUMN(BL4:BT4) - COLUMN(BL4) + 1, ""))&lt;&gt;"","BLU","")</f>
        <v>BLU</v>
      </c>
      <c r="HR4" s="48" t="str" cm="1">
        <f t="array" ref="HR4">IF(_xlfn.TEXTJOIN(", ", TRUE, IF(ISNUMBER(SEARCH("GRE", BL4:BT4)), COLUMN(BL4:BT4) - COLUMN(BL4) + 1, ""))&lt;&gt;"","GRE","")</f>
        <v>GRE</v>
      </c>
      <c r="HS4" s="48" t="str" cm="1">
        <f t="array" ref="HS4">IF(_xlfn.TEXTJOIN(", ", TRUE, IF(ISNUMBER(SEARCH("RED", BL4:BT4)), COLUMN(BL4:BT4) - COLUMN(BL4) + 1, ""))&lt;&gt;"","RED","")</f>
        <v>RED</v>
      </c>
      <c r="HT4" s="48" t="str" cm="1">
        <f t="array" ref="HT4">IF(_xlfn.TEXTJOIN(", ", TRUE, IF(ISNUMBER(SEARCH("YEL", BL4:BT4)), COLUMN(BL4:BT4) - COLUMN(BL4) + 1, ""))&lt;&gt;"","YEL","")</f>
        <v/>
      </c>
      <c r="HU4" s="48" t="str" cm="1">
        <f t="array" ref="HU4">IF(_xlfn.TEXTJOIN(", ", TRUE, IF(ISNUMBER(SEARCH("ORA", BL4:BT4)), COLUMN(BL4:BT4) - COLUMN(BL4) + 1, ""))&lt;&gt;"","ORA","")</f>
        <v/>
      </c>
      <c r="HV4" s="48" t="str" cm="1">
        <f t="array" ref="HV4">IF(_xlfn.TEXTJOIN(", ", TRUE, IF(ISNUMBER(SEARCH("BRO", BL4:BT4)), COLUMN(BL4:BT4) - COLUMN(BL4) + 1, ""))&lt;&gt;"","BRO","")</f>
        <v>BRO</v>
      </c>
      <c r="HW4" s="48" t="str" cm="1">
        <f t="array" ref="HW4">IF(_xlfn.TEXTJOIN(", ", TRUE, IF(ISNUMBER(SEARCH("PUR", BL4:BT4)), COLUMN(BL4:BT4) - COLUMN(BL4) + 1, ""))&lt;&gt;"","PUR","")</f>
        <v/>
      </c>
      <c r="HX4" s="48" t="str" cm="1">
        <f t="array" ref="HX4">IF(_xlfn.TEXTJOIN(", ", TRUE, IF(ISNUMBER(SEARCH("WHI", BL4:BT4)), COLUMN(BL4:BT4) - COLUMN(BL4) + 1, ""))&lt;&gt;"","WHI","")</f>
        <v>WHI</v>
      </c>
      <c r="HY4" s="76"/>
      <c r="HZ4" s="76"/>
      <c r="IA4" s="6"/>
      <c r="IB4" s="6"/>
      <c r="IC4" s="77"/>
      <c r="ID4" s="77"/>
      <c r="IE4" s="77"/>
      <c r="IF4" s="77"/>
      <c r="IG4" s="77"/>
      <c r="IH4" s="77"/>
      <c r="II4" s="77"/>
      <c r="IJ4" s="77"/>
      <c r="IK4" s="77"/>
      <c r="IM4" s="45">
        <f>COUNTIF(IC4:IK4,"&gt;0")-CG4</f>
        <v>-5</v>
      </c>
      <c r="IN4" s="78" t="str">
        <f>"http://mkweb.bcgsc.ca/color-summarizer/?url="&amp;D4&amp;"&amp;precision=low&amp;num_clusters="&amp;CG4&amp;"&amp;text=1"</f>
        <v>http://mkweb.bcgsc.ca/color-summarizer/?url=https://upload.wikimedia.org/wikipedia/commons/thumb/6/67/Flag_of_Ascension_Island.png/320px-Flag_of_Ascension_Island.png&amp;precision=low&amp;num_clusters=5&amp;text=1</v>
      </c>
      <c r="IO4" s="48" t="str">
        <f>IF(HP4&lt;&gt;"",CHAR(34)&amp;"black"&amp;CHAR(34),"")</f>
        <v/>
      </c>
      <c r="IP4" s="48" t="str">
        <f>IF(HQ4&lt;&gt;"",CHAR(34)&amp;"blue"&amp;CHAR(34),"")</f>
        <v>"blue"</v>
      </c>
      <c r="IQ4" s="48" t="str">
        <f>IF(HR4&lt;&gt;"",CHAR(34)&amp;"green"&amp;CHAR(34),"")</f>
        <v>"green"</v>
      </c>
      <c r="IR4" s="48" t="str">
        <f>IF(HS4&lt;&gt;"",CHAR(34)&amp;"red"&amp;CHAR(34),"")</f>
        <v>"red"</v>
      </c>
      <c r="IS4" s="48" t="str">
        <f>IF(HT4&lt;&gt;"",CHAR(34)&amp;"yellow"&amp;CHAR(34),"")</f>
        <v/>
      </c>
      <c r="IT4" s="48" t="str">
        <f>IF(HU4&lt;&gt;"",CHAR(34)&amp;"orange"&amp;CHAR(34),"")</f>
        <v/>
      </c>
      <c r="IU4" s="48" t="str">
        <f>IF(HV4&lt;&gt;"",CHAR(34)&amp;"brown"&amp;CHAR(34),"")</f>
        <v>"brown"</v>
      </c>
      <c r="IV4" s="48" t="str">
        <f>IF(HW4&lt;&gt;"",CHAR(34)&amp;"purple"&amp;CHAR(34),"")</f>
        <v/>
      </c>
      <c r="IW4" s="48" t="str">
        <f>IF(HX4&lt;&gt;"",CHAR(34)&amp;"white"&amp;CHAR(34),"")</f>
        <v>"white"</v>
      </c>
      <c r="IX4" s="48" t="str">
        <f>"{"&amp;CHAR(34)&amp;"url"&amp;CHAR(34)&amp;":"&amp;CHAR(34)&amp;IN4&amp;CHAR(34)&amp;","&amp;CHAR(34)&amp;"name"&amp;CHAR(34)&amp;":"&amp;CHAR(34)&amp;A4&amp;CHAR(34)&amp;"},"</f>
        <v>{"url":"http://mkweb.bcgsc.ca/color-summarizer/?url=https://upload.wikimedia.org/wikipedia/commons/thumb/6/67/Flag_of_Ascension_Island.png/320px-Flag_of_Ascension_Island.png&amp;precision=low&amp;num_clusters=5&amp;text=1","name":"[SHN] Ascension Island"},</v>
      </c>
      <c r="IY4" s="48">
        <v>1503</v>
      </c>
    </row>
    <row r="5" spans="1:259" s="48" customFormat="1" ht="38.4" customHeight="1" thickBot="1" x14ac:dyDescent="0.35">
      <c r="A5" s="79" t="s">
        <v>407</v>
      </c>
      <c r="B5" s="40" t="e" vm="103">
        <v>#VALUE!</v>
      </c>
      <c r="C5" s="41">
        <v>2</v>
      </c>
      <c r="D5" s="42" t="s">
        <v>408</v>
      </c>
      <c r="E5" s="43" t="s">
        <v>409</v>
      </c>
      <c r="F5" s="44" t="s">
        <v>404</v>
      </c>
      <c r="G5" s="45">
        <f>COUNTIF($A$1:$A$8397,A5)</f>
        <v>1</v>
      </c>
      <c r="H5" s="46"/>
      <c r="I5" s="47" t="s">
        <v>410</v>
      </c>
      <c r="J5" s="48" t="str">
        <f>""</f>
        <v/>
      </c>
      <c r="K5" s="49"/>
      <c r="L5" s="50"/>
      <c r="M5" s="50"/>
      <c r="N5" s="51" t="s">
        <v>180</v>
      </c>
      <c r="O5" s="52">
        <v>2002</v>
      </c>
      <c r="P5" s="53" t="s">
        <v>411</v>
      </c>
      <c r="Q5" s="54">
        <v>3</v>
      </c>
      <c r="R5" s="55" t="s">
        <v>180</v>
      </c>
      <c r="S5" s="56">
        <v>0</v>
      </c>
      <c r="T5" s="57" t="s">
        <v>164</v>
      </c>
      <c r="U5" s="58" t="s">
        <v>167</v>
      </c>
      <c r="V5" s="58" t="s">
        <v>164</v>
      </c>
      <c r="W5" s="58" t="s">
        <v>164</v>
      </c>
      <c r="X5" s="58" t="s">
        <v>164</v>
      </c>
      <c r="Y5" s="58" t="s">
        <v>167</v>
      </c>
      <c r="Z5" s="58" t="s">
        <v>167</v>
      </c>
      <c r="AA5" s="58" t="s">
        <v>164</v>
      </c>
      <c r="AB5" s="58" t="s">
        <v>167</v>
      </c>
      <c r="AC5" s="58" t="s">
        <v>164</v>
      </c>
      <c r="AD5" s="58" t="s">
        <v>164</v>
      </c>
      <c r="AE5" s="58" t="s">
        <v>164</v>
      </c>
      <c r="AF5" s="59" t="s">
        <v>164</v>
      </c>
      <c r="AG5" s="59" t="s">
        <v>164</v>
      </c>
      <c r="AH5" s="59" t="s">
        <v>164</v>
      </c>
      <c r="AI5" s="59" t="s">
        <v>167</v>
      </c>
      <c r="AJ5" s="59" t="s">
        <v>164</v>
      </c>
      <c r="AK5" s="59" t="s">
        <v>164</v>
      </c>
      <c r="AL5" s="59" t="s">
        <v>164</v>
      </c>
      <c r="AM5" s="59" t="s">
        <v>164</v>
      </c>
      <c r="AN5" s="59" t="s">
        <v>164</v>
      </c>
      <c r="AO5" s="59" t="s">
        <v>164</v>
      </c>
      <c r="AP5" s="59" t="s">
        <v>167</v>
      </c>
      <c r="AQ5" s="59" t="s">
        <v>167</v>
      </c>
      <c r="AR5" s="59" t="s">
        <v>164</v>
      </c>
      <c r="AS5" s="59" t="s">
        <v>164</v>
      </c>
      <c r="AT5" s="60">
        <v>0</v>
      </c>
      <c r="AU5" s="59" t="s">
        <v>298</v>
      </c>
      <c r="AV5" s="59" t="str">
        <f>IF(LEFT(A5,1)="[",LEFT(A5,5)&amp;AU5&amp;A5,"")</f>
        <v>[SHN]Territory[SHN] Tristan da Cunha</v>
      </c>
      <c r="AW5" s="59" t="str">
        <f t="shared" si="1"/>
        <v>2[SHN] Tristan da Cunha</v>
      </c>
      <c r="AX5" s="61"/>
      <c r="AY5" s="61"/>
      <c r="AZ5" s="62" t="s">
        <v>172</v>
      </c>
      <c r="BA5" s="62" t="s">
        <v>172</v>
      </c>
      <c r="BB5" s="62"/>
      <c r="BC5" s="63"/>
      <c r="BD5" s="64" t="s">
        <v>152</v>
      </c>
      <c r="BE5" s="47"/>
      <c r="BF5" s="64" t="s">
        <v>172</v>
      </c>
      <c r="BG5" s="64" t="s">
        <v>172</v>
      </c>
      <c r="BH5" s="64" t="s">
        <v>172</v>
      </c>
      <c r="BI5" s="64"/>
      <c r="BJ5" s="64"/>
      <c r="BK5" s="47"/>
      <c r="BL5" s="64" t="s">
        <v>172</v>
      </c>
      <c r="BM5" s="64" t="s">
        <v>152</v>
      </c>
      <c r="BN5" s="64" t="s">
        <v>172</v>
      </c>
      <c r="BO5" s="64" t="s">
        <v>154</v>
      </c>
      <c r="BP5" s="64" t="s">
        <v>155</v>
      </c>
      <c r="BQ5" s="64" t="s">
        <v>172</v>
      </c>
      <c r="BR5" s="64" t="s">
        <v>157</v>
      </c>
      <c r="BS5" s="64" t="s">
        <v>172</v>
      </c>
      <c r="BT5" s="64" t="s">
        <v>159</v>
      </c>
      <c r="BU5" s="65" t="s">
        <v>167</v>
      </c>
      <c r="BV5" s="66"/>
      <c r="BW5" s="66">
        <v>0</v>
      </c>
      <c r="BX5" s="47"/>
      <c r="CB5" s="6"/>
      <c r="CC5" s="6"/>
      <c r="CD5" s="67">
        <v>0</v>
      </c>
      <c r="CE5" s="67">
        <v>0</v>
      </c>
      <c r="CF5" s="67" t="e">
        <v>#REF!</v>
      </c>
      <c r="CG5" s="68" cm="1">
        <f t="array" ref="CG5">SUMPRODUCT(--(LEN(TRIM(BL5:BT5))&gt;0))</f>
        <v>5</v>
      </c>
      <c r="CH5" s="59" t="str">
        <f>IF(CG5=2,"y","n")</f>
        <v>n</v>
      </c>
      <c r="CI5" s="59" t="str">
        <f>IF(CG5=3,"y","n")</f>
        <v>n</v>
      </c>
      <c r="CJ5" s="59" t="str">
        <f>IF(CG5=4,"y","n")</f>
        <v>n</v>
      </c>
      <c r="CK5" s="59" t="str">
        <f>IF(CG5&gt;4,"y","n")</f>
        <v>y</v>
      </c>
      <c r="CL5" s="59" t="str">
        <f>IF(S5=0,"y","n")</f>
        <v>y</v>
      </c>
      <c r="CM5" s="59" t="str">
        <f>IF(S5=2,"y","n")</f>
        <v>n</v>
      </c>
      <c r="CN5" s="59" t="str">
        <f>IF(S5=3,"y","n")</f>
        <v>n</v>
      </c>
      <c r="CO5" s="59" t="str">
        <f>IF(S5&gt;=4,"y","n")</f>
        <v>n</v>
      </c>
      <c r="CP5" s="59" t="str">
        <f>IF(AT5=0,"y","n")</f>
        <v>y</v>
      </c>
      <c r="CQ5" s="59" t="str">
        <f>IF(AT5=1,"y","n")</f>
        <v>n</v>
      </c>
      <c r="CR5" s="59" t="str">
        <f>IF(AT5=2,"y","n")</f>
        <v>n</v>
      </c>
      <c r="CS5" s="59" t="str">
        <f>IF(AT5&gt;=3,"y","n")</f>
        <v>n</v>
      </c>
      <c r="CT5" s="69" t="str">
        <f>CHAR(34)&amp;A5&amp;CHAR(34)</f>
        <v>"[SHN] Tristan da Cunha"</v>
      </c>
      <c r="CU5" s="70" t="str">
        <f>CHAR(34)&amp;"rgn_"&amp;R5&amp;CHAR(34)</f>
        <v>"rgn_Africa"</v>
      </c>
      <c r="CV5" s="48" t="str">
        <f>CHAR(34)&amp;D5&amp;CHAR(34)</f>
        <v>"https://upload.wikimedia.org/wikipedia/commons/thumb/8/89/Flag_of_Tristan_da_Cunha.svg/640px-Flag_of_Tristan_da_Cunha.svg.png"</v>
      </c>
      <c r="CW5" s="48" t="str">
        <f>IF(CH5="y",CHAR(34)&amp;CH$1&amp;CHAR(34)&amp;",","")</f>
        <v/>
      </c>
      <c r="CX5" s="48" t="str">
        <f>IF(CI5="y",CHAR(34)&amp;CI$1&amp;CHAR(34)&amp;",","")</f>
        <v/>
      </c>
      <c r="CY5" s="48" t="str">
        <f>IF(CJ5="y",CHAR(34)&amp;CJ$1&amp;CHAR(34)&amp;",","")</f>
        <v/>
      </c>
      <c r="CZ5" s="48" t="str">
        <f>IF(CK5="y",CHAR(34)&amp;CK$1&amp;CHAR(34)&amp;",","")</f>
        <v>"5+Colo",</v>
      </c>
      <c r="DA5" s="48" t="str">
        <f>IF(Q5&gt;1,CHAR(34)&amp;"words2"&amp;CHAR(34)&amp;",","")</f>
        <v>"words2",</v>
      </c>
      <c r="DB5" s="48" t="str">
        <f>IF(Q5&gt;2,CHAR(34)&amp;"words3"&amp;CHAR(34)&amp;",","")</f>
        <v>"words3",</v>
      </c>
      <c r="DD5" s="48" t="str">
        <f>IF(LEN(CHAR(34)&amp;"lets"&amp;LEN(SUBSTITUTE(SUBSTITUTE(IFERROR(TRIM(SUBSTITUTE(A5,MID(A5,FIND("[",A5),FIND("]",A5)-FIND("[",A5)+1),"")),A5)," ",""),"-",""))&amp;CHAR(34)&amp;",")=9,CHAR(34)&amp;"lets"&amp;LEN(SUBSTITUTE(SUBSTITUTE(IFERROR(TRIM(SUBSTITUTE(A5,MID(A5,FIND("[",A5),FIND("]",A5)-FIND("[",A5)+1),"")),A5)," ",""),"-",""))&amp;CHAR(34)&amp;",",CHAR(34)&amp;"lets0"&amp;LEN(SUBSTITUTE(SUBSTITUTE(IFERROR(TRIM(SUBSTITUTE(A5,MID(A5,FIND("[",A5),FIND("]",A5)-FIND("[",A5)+1),"")),A5)," ",""),"-",""))&amp;CHAR(34)&amp;",")</f>
        <v>"lets14",</v>
      </c>
      <c r="DE5" s="48" t="str">
        <f>CHAR(34)&amp;"start"&amp;IFERROR(LEFT(SUBSTITUTE(A5,"["&amp;MID(A5,FIND("[",A5)+1,FIND("]",A5)-FIND("[",A5)-1)&amp;"] ",""),1),LEFT(A5,1))&amp;CHAR(34)&amp;","</f>
        <v>"startT",</v>
      </c>
      <c r="DF5" s="48" t="str">
        <f>IFERROR(IF(SEARCH("tan",A5)&gt;0,CHAR(34)&amp;"withtn"&amp;CHAR(34)&amp;",",""),"")</f>
        <v>"withtn",</v>
      </c>
      <c r="DG5" s="48" t="str">
        <f>IFERROR(IF(SEARCH("q",A5)&gt;0,CHAR(34)&amp;"with_q"&amp;CHAR(34)&amp;",",""),"")</f>
        <v/>
      </c>
      <c r="DH5" s="48" t="str">
        <f>IFERROR(IF(SEARCH("v",A5)&gt;0,CHAR(34)&amp;"with_v"&amp;CHAR(34)&amp;",",""),"")</f>
        <v/>
      </c>
      <c r="DI5" s="48" t="str">
        <f>IFERROR(IF(SEARCH("w",A5)&gt;0,CHAR(34)&amp;"with_w"&amp;CHAR(34)&amp;",",""),"")</f>
        <v/>
      </c>
      <c r="DJ5" s="48" t="str">
        <f>IFERROR(IF(SEARCH("y",A5)&gt;0,CHAR(34)&amp;"with_y"&amp;CHAR(34)&amp;",",""),"")</f>
        <v/>
      </c>
      <c r="DK5" s="48" t="str">
        <f>IFERROR(IF(SEARCH("z",A5)&gt;0,CHAR(34)&amp;"with_z"&amp;CHAR(34)&amp;",",""),"")</f>
        <v/>
      </c>
      <c r="DL5" s="48" t="str">
        <f>IF(CG5=2, CHAR(34) &amp; _xlfn.TEXTJOIN("", TRUE, _xlfn._xlws.SORT(HP5:HX5)) &amp; CHAR(34) &amp; ",", "")</f>
        <v/>
      </c>
      <c r="DM5" s="48" t="str" cm="1">
        <f t="array" ref="DM5">IF(CG5=3,CHAR(34) &amp; _xlfn.TEXTJOIN("", TRUE, RIGHT(HP5:HX5, 2)) &amp; CHAR(34) &amp; ",", "")</f>
        <v/>
      </c>
      <c r="DN5" s="48" t="str">
        <f>IF(AND(ISNUMBER(SEARCH("18", O5)), ISERROR(SEARCH("1918", O5)), ISERROR(SEARCH("2018", O5))), CHAR(34) &amp; "year18" &amp; CHAR(34) &amp; ",", "")</f>
        <v/>
      </c>
      <c r="DO5" s="48" t="str">
        <f>IF(AND(ISNUMBER(SEARCH("19", O5)), ISERROR(SEARCH("1819", O5)),  ISERROR(SEARCH("1219", O5)),ISERROR(SEARCH("1119", O5)),ISERROR(SEARCH("1190", O5)),ISERROR(SEARCH("2019", O5))), CHAR(34) &amp; "year19" &amp; CHAR(34) &amp; ",", "")</f>
        <v/>
      </c>
      <c r="DP5" s="6" t="str">
        <f>IF(AND(ISNUMBER(SEARCH("20", O5)), ISERROR(SEARCH("1920", O5))), CHAR(34)&amp;"year00"&amp;CHAR(34)&amp;",", "")</f>
        <v>"year00",</v>
      </c>
      <c r="DQ5" s="6" t="str">
        <f>IF(CC5="y",CHAR(34)&amp;"soviet"&amp;CHAR(34)&amp;",","")</f>
        <v/>
      </c>
      <c r="DR5" s="6" t="str">
        <f>IF(BY5="y",CHAR(34)&amp;"dgband"&amp;CHAR(34)&amp;",","")</f>
        <v/>
      </c>
      <c r="DS5" s="6" t="str">
        <f>IF(W5="y",IF(AND(V5="n",BY5&lt;&gt;"y"),CHAR(34)&amp;"allver"&amp;CHAR(34)&amp;",",""),"")</f>
        <v/>
      </c>
      <c r="DT5" s="6" t="str">
        <f>IF(V5="y",IF(AND(W5="n",BY5&lt;&gt;"y"),CHAR(34)&amp;"allhor"&amp;CHAR(34)&amp;",",""),"")</f>
        <v/>
      </c>
      <c r="DU5" s="6" t="str">
        <f>IF(BY5="y",IF(AND(W5="n",V5="n"),CHAR(34)&amp;"alldia"&amp;CHAR(34)&amp;",",""),"")</f>
        <v/>
      </c>
      <c r="DW5" s="48" t="str">
        <f>IF(CL5="y",CHAR(34)&amp;CL$1&amp;CHAR(34)&amp;",","")</f>
        <v>"NoBand",</v>
      </c>
      <c r="DX5" s="48" t="str">
        <f>IF(CM5="y",CHAR(34)&amp;CM$1&amp;CHAR(34)&amp;",","")</f>
        <v/>
      </c>
      <c r="DY5" s="48" t="str">
        <f>IF(CN5="y",CHAR(34)&amp;CN$1&amp;CHAR(34)&amp;",","")</f>
        <v/>
      </c>
      <c r="DZ5" s="48" t="str">
        <f>IF(CO5="y",CHAR(34)&amp;CO$1&amp;CHAR(34)&amp;",","")</f>
        <v/>
      </c>
      <c r="EA5" s="48" t="str">
        <f>IF(T5="y",CHAR(34)&amp;T$1&amp;CHAR(34)&amp;",","")</f>
        <v/>
      </c>
      <c r="EB5" s="48" t="str">
        <f>IF(U5="y",CHAR(34)&amp;U$1&amp;CHAR(34)&amp;",","")</f>
        <v>"Crosse",</v>
      </c>
      <c r="EC5" s="48" t="str">
        <f>IF(V5="y",CHAR(34)&amp;V$1&amp;CHAR(34)&amp;",","")</f>
        <v/>
      </c>
      <c r="ED5" s="48" t="str">
        <f>IF(W5="y",CHAR(34)&amp;W$1&amp;CHAR(34)&amp;",","")</f>
        <v/>
      </c>
      <c r="EE5" s="48" t="str">
        <f>IF(X5="y",CHAR(34)&amp;X$1&amp;CHAR(34)&amp;",","")</f>
        <v/>
      </c>
      <c r="EF5" s="48" t="str">
        <f>IF(AND(Y5&lt;&gt;"n",Y5&lt;&gt;""),CHAR(34)&amp;Y$1&amp;CHAR(34)&amp;",","")</f>
        <v>"Animal",</v>
      </c>
      <c r="EG5" s="48" t="str">
        <f>IF(Z5="y",CHAR(34)&amp;Z$1&amp;CHAR(34)&amp;",","")</f>
        <v>"Bird",</v>
      </c>
      <c r="EH5" s="48" t="str">
        <f>IF(AA5="y",CHAR(34)&amp;AA$1&amp;CHAR(34)&amp;",","")</f>
        <v/>
      </c>
      <c r="EI5" s="48" t="str">
        <f>IF(AB5="y",CHAR(34)&amp;AB$1&amp;CHAR(34)&amp;",","")</f>
        <v>"Texted",</v>
      </c>
      <c r="EJ5" s="48" t="str">
        <f>IF(AC5="y",CHAR(34)&amp;AC$1&amp;CHAR(34)&amp;",","")</f>
        <v/>
      </c>
      <c r="EK5" s="48" t="str">
        <f>IF(AD5="y",CHAR(34)&amp;AD$1&amp;CHAR(34)&amp;",","")</f>
        <v/>
      </c>
      <c r="EL5" s="48" t="str">
        <f>IF(AE5="y",CHAR(34)&amp;AE$1&amp;CHAR(34)&amp;",","")</f>
        <v/>
      </c>
      <c r="EM5" s="48" t="str">
        <f>IF(AF5="y",CHAR(34)&amp;AF$1&amp;CHAR(34)&amp;",","")</f>
        <v/>
      </c>
      <c r="EN5" s="48" t="str">
        <f>IF(AG5="y",CHAR(34)&amp;AG$1&amp;CHAR(34)&amp;",","")</f>
        <v/>
      </c>
      <c r="EO5" s="48" t="str">
        <f>IF(AH5="y",CHAR(34)&amp;AH$1&amp;CHAR(34)&amp;",","")</f>
        <v/>
      </c>
      <c r="EP5" s="48" t="str">
        <f>IF(AI5="y",CHAR(34)&amp;AI$1&amp;CHAR(34)&amp;",","")</f>
        <v>"Canton",</v>
      </c>
      <c r="EQ5" s="48" t="str">
        <f>IF(AJ5="y",CHAR(34)&amp;AJ$1&amp;CHAR(34)&amp;",","")</f>
        <v/>
      </c>
      <c r="ER5" s="48" t="str">
        <f>IF(AK5="y",CHAR(34)&amp;AK$1&amp;CHAR(34)&amp;",","")</f>
        <v/>
      </c>
      <c r="ES5" s="48" t="str">
        <f>IF(AL5="y",CHAR(34)&amp;AL$1&amp;CHAR(34)&amp;",","")</f>
        <v/>
      </c>
      <c r="ET5" s="48" t="str">
        <f>IF(AM5="y",CHAR(34)&amp;AM$1&amp;CHAR(34)&amp;",","")</f>
        <v/>
      </c>
      <c r="EU5" s="48" t="str">
        <f>IF(AN5="y",CHAR(34)&amp;AN$1&amp;CHAR(34)&amp;",","")</f>
        <v/>
      </c>
      <c r="EV5" s="48" t="str">
        <f>IF(AO5="y",CHAR(34)&amp;AO$1&amp;CHAR(34)&amp;",","")</f>
        <v/>
      </c>
      <c r="EW5" s="48" t="str">
        <f>IF(AP5="y",CHAR(34)&amp;AP$1&amp;CHAR(34)&amp;",","")</f>
        <v>"Ships!",</v>
      </c>
      <c r="EX5" s="48" t="str">
        <f>IF(AQ5="y",CHAR(34)&amp;AQ$1&amp;CHAR(34)&amp;",","")</f>
        <v>"Crowns",</v>
      </c>
      <c r="EY5" s="48" t="str">
        <f>IF(AR5="y",CHAR(34)&amp;AR$1&amp;CHAR(34)&amp;",","")</f>
        <v/>
      </c>
      <c r="EZ5" s="48" t="str">
        <f>IF(AS5="y",CHAR(34)&amp;AS$1&amp;CHAR(34)&amp;",","")</f>
        <v/>
      </c>
      <c r="FA5" s="48" t="str">
        <f>IF(AT5&gt;0,CHAR(34)&amp;"sta"&amp;AZ5&amp;CHAR(34)&amp;",","")</f>
        <v/>
      </c>
      <c r="FB5" s="48" t="str">
        <f>IF(AND(AT5&gt;0,BA5&lt;&gt;""),CHAR(34)&amp;"sta"&amp;BA5&amp;CHAR(34)&amp;",","")</f>
        <v/>
      </c>
      <c r="FD5" s="48" t="str">
        <f>IF(BV5="n",CHAR(34)&amp;"tcWHYE"&amp;CHAR(34)&amp;",",IF(BV5="y",CHAR(34)&amp;FD$1&amp;CHAR(34)&amp;",",""))</f>
        <v/>
      </c>
      <c r="FE5" s="48" t="str">
        <f>IF(COUNTIF(BL5:BT5,"BLU")=0,CHAR(34)&amp;"NO_BLU"&amp;CHAR(34)&amp;",", "")</f>
        <v/>
      </c>
      <c r="FF5" s="48" t="str">
        <f>IF(COUNTIF(BL5:BT5,"WHI")=0,CHAR(34)&amp;"NO_WHI"&amp;CHAR(34)&amp;",", "")</f>
        <v/>
      </c>
      <c r="FG5" s="48" t="str">
        <f>IF(COUNTIF(BL5:BT5,"RED")=0,CHAR(34)&amp;"NO_RED"&amp;CHAR(34)&amp;",", "")</f>
        <v/>
      </c>
      <c r="FH5" s="48" t="str">
        <f>IF(COUNTIF(BL5:BS5,"GRE")=0,CHAR(34)&amp;"NO_GRE"&amp;CHAR(34)&amp;",", "")</f>
        <v>"NO_GRE",</v>
      </c>
      <c r="FI5" s="48" t="str">
        <f>IF(COUNTIF(BL5:BT5,"YEL")=0,CHAR(34)&amp;"NO_YEL"&amp;CHAR(34)&amp;",", "")</f>
        <v/>
      </c>
      <c r="FJ5" s="48" t="str">
        <f>IF(COUNTIF(BL5:BT5,"BLA")=0,CHAR(34)&amp;"NO_BLA"&amp;CHAR(34)&amp;",", "")</f>
        <v>"NO_BLA",</v>
      </c>
      <c r="FK5" s="48" t="str">
        <f>IF(AND(FH5&lt;&gt;"",FF5&lt;&gt;""),CHAR(34)&amp;"WHGRNO"&amp;CHAR(34)&amp;",","")</f>
        <v/>
      </c>
      <c r="FL5" s="48" t="str">
        <f>IF(AND(FI5&lt;&gt;"",FF5&lt;&gt;""),CHAR(34)&amp;"WHYENO"&amp;CHAR(34)&amp;",","")</f>
        <v/>
      </c>
      <c r="FM5" s="48" t="str">
        <f>IF(AND(FJ5&lt;&gt;"",FF5&lt;&gt;""),CHAR(34)&amp;"BAWHNO"&amp;CHAR(34)&amp;",","")</f>
        <v/>
      </c>
      <c r="FN5" s="48" t="str">
        <f>IF(AND(FE5&lt;&gt;"",FF5&lt;&gt;""),CHAR(34)&amp;"BLWHNO"&amp;CHAR(34)&amp;",","")</f>
        <v/>
      </c>
      <c r="FO5" s="48" t="str">
        <f>IF(AND(FE5&lt;&gt;"",FG5&lt;&gt;""),CHAR(34)&amp;"BLRENO"&amp;CHAR(34)&amp;",","")</f>
        <v/>
      </c>
      <c r="FP5" s="48" t="str">
        <f>IF(AND(FF5&lt;&gt;"",FF5&lt;&gt;""),CHAR(34)&amp;"WHRENO"&amp;CHAR(34)&amp;",","")</f>
        <v/>
      </c>
      <c r="FQ5" s="48" t="str">
        <f>IF(LEN(BF5)=3,CHAR(34)&amp;"001"&amp;BF5&amp;CHAR(34)&amp;",","")</f>
        <v/>
      </c>
      <c r="FR5" s="48" t="str">
        <f>IF(LEN(BG5)=3,CHAR(34)&amp;"002"&amp;BG5&amp;CHAR(34)&amp;",","")</f>
        <v/>
      </c>
      <c r="FS5" s="48" t="str">
        <f>IF(LEN(BH5)=3,CHAR(34)&amp;"003"&amp;BH5&amp;CHAR(34)&amp;",","")</f>
        <v/>
      </c>
      <c r="FT5" s="48" t="str">
        <f>CHAR(34)&amp;"myr"&amp;BD5&amp;CHAR(34)&amp;","</f>
        <v>"myrBLU",</v>
      </c>
      <c r="FU5" s="48" t="str">
        <f>IF(AY5="y",CHAR(34)&amp;"island"&amp;CHAR(34)&amp;",","")</f>
        <v/>
      </c>
      <c r="FV5" s="48" t="str">
        <f>IF(BZ5="y",CHAR(34)&amp;"landlo"&amp;CHAR(34)&amp;",","")</f>
        <v/>
      </c>
      <c r="FW5" s="48" t="str">
        <f>IF(CA5="y",CHAR(34)&amp;"eunion"&amp;CHAR(34)&amp;",","")</f>
        <v/>
      </c>
      <c r="FY5" s="48" t="str">
        <f>IFERROR(IF(SEARCH("Arabic",CB5)&gt;0,CHAR(34)&amp;"arabic"&amp;CHAR(34)&amp;",",""),"")</f>
        <v/>
      </c>
      <c r="FZ5" s="48" t="str">
        <f>IFERROR(IF(SEARCH("English",CB5)&gt;0,CHAR(34)&amp;"englis"&amp;CHAR(34)&amp;",",""),"")</f>
        <v/>
      </c>
      <c r="GA5" s="48" t="str">
        <f>IFERROR(IF(SEARCH("French",CB5)&gt;0,CHAR(34)&amp;"french"&amp;CHAR(34)&amp;",",""),"")</f>
        <v/>
      </c>
      <c r="GB5" s="48" t="str">
        <f>IFERROR(IF(SEARCH("Spanish",CB5)&gt;0,CHAR(34)&amp;"spanis"&amp;CHAR(34)&amp;",",""),"")</f>
        <v/>
      </c>
      <c r="GE5" s="48" t="str">
        <f>IFERROR(IF(SEARCH("Dutch",CB5)&gt;0,CHAR(34)&amp;"dutchs"&amp;CHAR(34)&amp;",",""),"")</f>
        <v/>
      </c>
      <c r="GF5" s="48" t="str">
        <f>IFERROR(IF(SEARCH("Historical",AU5)&gt;0,CHAR(34)&amp;"histor"&amp;CHAR(34)&amp;",",""),"")</f>
        <v/>
      </c>
      <c r="GG5" s="48" t="str">
        <f>IF(BU5="y",CHAR(34)&amp;"unjack"&amp;CHAR(34)&amp;",","")</f>
        <v>"unjack",</v>
      </c>
      <c r="GH5" s="48" t="str">
        <f>IF(CD5=1,CHAR(34)&amp;"southc"&amp;CHAR(34)&amp;",","")</f>
        <v/>
      </c>
      <c r="GI5" s="48" t="str">
        <f>IF(CE5=1,CHAR(34)&amp;"hasmap"&amp;CHAR(34)&amp;",","")</f>
        <v/>
      </c>
      <c r="GJ5" s="48" t="str">
        <f>IF(CP5="y",CHAR(34)&amp;CP$1&amp;CHAR(34)&amp;",","")</f>
        <v>"NoStar",</v>
      </c>
      <c r="GK5" s="48" t="str">
        <f>IF(GJ5="",CHAR(34)&amp;"HasSta"&amp;CHAR(34)&amp;",","")</f>
        <v/>
      </c>
      <c r="GL5" s="48" t="str">
        <f>IF(CQ5="y",CHAR(34)&amp;CQ$1&amp;CHAR(34)&amp;",","")</f>
        <v/>
      </c>
      <c r="GM5" s="48" t="str">
        <f>IF(CR5="y",CHAR(34)&amp;CR$1&amp;CHAR(34)&amp;",","")</f>
        <v/>
      </c>
      <c r="GN5" s="48" t="str">
        <f>IF(CS5="y",CHAR(34)&amp;CS$1&amp;CHAR(34)&amp;",","")</f>
        <v/>
      </c>
      <c r="GP5" s="48" t="str">
        <f>CHAR(34)&amp;AU5&amp;CHAR(34)</f>
        <v>"Territory"</v>
      </c>
      <c r="GS5" s="48" t="str">
        <f>SUBSTITUTE("["&amp;_xlfn.CONCAT(CW5:GN5)&amp;"]",",]","]")</f>
        <v>["5+Colo","words2","words3","lets14","startT","withtn","year00","NoBand","Crosse","Animal","Bird","Texted","Canton","Ships!","Crowns","NO_GRE","NO_BLA","myrBLU","unjack","NoStar"]</v>
      </c>
      <c r="GT5" s="48" t="str">
        <f>IF(BL5&lt;&gt;"",CHAR(34)&amp;"cl_"&amp;BL5&amp;CHAR(34)&amp;",","")</f>
        <v/>
      </c>
      <c r="GU5" s="48" t="str">
        <f>IF(BM5&lt;&gt;"",CHAR(34)&amp;"cl_"&amp;BM5&amp;CHAR(34)&amp;",","")</f>
        <v>"cl_BLU",</v>
      </c>
      <c r="GV5" s="48" t="str">
        <f>IF(BN5&lt;&gt;"",CHAR(34)&amp;"cl_"&amp;BN5&amp;CHAR(34)&amp;",","")</f>
        <v/>
      </c>
      <c r="GW5" s="48" t="str">
        <f>IF(BO5&lt;&gt;"",CHAR(34)&amp;"cl_"&amp;BO5&amp;CHAR(34)&amp;",","")</f>
        <v>"cl_RED",</v>
      </c>
      <c r="GX5" s="48" t="str">
        <f>IF(BP5&lt;&gt;"",CHAR(34)&amp;"cl_"&amp;BP5&amp;CHAR(34)&amp;",","")</f>
        <v>"cl_YEL",</v>
      </c>
      <c r="GY5" s="48" t="str">
        <f>IF(BQ5&lt;&gt;"",CHAR(34)&amp;"cl_"&amp;BQ5&amp;CHAR(34)&amp;",","")</f>
        <v/>
      </c>
      <c r="GZ5" s="48" t="str">
        <f>IF(BR5&lt;&gt;"",CHAR(34)&amp;"cl_"&amp;BR5&amp;CHAR(34)&amp;",","")</f>
        <v>"cl_BRO",</v>
      </c>
      <c r="HA5" s="48" t="str">
        <f>IF(BS5&lt;&gt;"",CHAR(34)&amp;"cl_"&amp;BS5&amp;CHAR(34)&amp;",","")</f>
        <v/>
      </c>
      <c r="HB5" s="48" t="str">
        <f>IF(BT5&lt;&gt;"",CHAR(34)&amp;"cl_"&amp;BT5&amp;CHAR(34)&amp;",","")</f>
        <v>"cl_WHI",</v>
      </c>
      <c r="HC5" s="48" t="str">
        <f>SUBSTITUTE("["&amp;_xlfn.CONCAT(GT5:HB5)&amp;"]",",]","]")</f>
        <v>["cl_BLU","cl_RED","cl_YEL","cl_BRO","cl_WHI"]</v>
      </c>
      <c r="HE5" s="71"/>
      <c r="HF5" s="72" t="str">
        <f>"{couname:"&amp;CT5&amp;(IF(HK5&lt;&gt;"",",subtype:"&amp;CHAR(34)&amp;HK5&amp;CHAR(34),""))&amp;",year:"&amp;HJ5&amp;",region:"&amp;CU5&amp;",Colors:"&amp;HC5&amp;",Items:"&amp;GS5&amp;",Flag:"&amp;CV5&amp;",HDFlag:"&amp;CHAR(34)&amp;E5&amp;CHAR(34)&amp;",type:"&amp;GP5&amp;", describe: "&amp;HH5&amp;", isnew:"&amp;CHAR(34)&amp;F5&amp;CHAR(34)&amp;", links: "&amp;HL5&amp;"},"</f>
        <v>{couname:"[SHN] Tristan da Cunha",year:"2002",region:"rgn_Africa",Colors:["cl_BLU","cl_RED","cl_YEL","cl_BRO","cl_WHI"],Items:["5+Colo","words2","words3","lets14","startT","withtn","year00","NoBand","Crosse","Animal","Bird","Texted","Canton","Ships!","Crowns","NO_GRE","NO_BLA","myrBLU","unjack","NoStar"],Flag:"https://upload.wikimedia.org/wikipedia/commons/thumb/8/89/Flag_of_Tristan_da_Cunha.svg/640px-Flag_of_Tristan_da_Cunha.svg.png",HDFlag:"https://upload.wikimedia.org/wikipedia/commons/thumb/8/89/Flag_of_Tristan_da_Cunha.svg/1024px-Flag_of_Tristan_da_Cunha.svg.png",type:"Territory", describe: "\nThe flag is a blue ensign design, defaced with the coat of arms of Tristan da Cunha - a Tristan longboat above a Naval Crown, with a central shield decorated with four yellow-nosed albatross and flanked by two Tristan rock lobsters. Below this, there is a scroll with the territory's motto.", isnew:"www", links: "https://en.wikipedia.org/wiki/Flag_of_Tristan_da_Cunha"},</v>
      </c>
      <c r="HG5" s="73" t="str">
        <f>"{couname:"&amp;CT5&amp;(IF(HK5&lt;&gt;"",",subtype:"&amp;CHAR(34)&amp;HK5&amp;CHAR(34),""))&amp;",year:"&amp;HJ5&amp;",region:"&amp;CU5&amp;",Colors:"&amp;HC5&amp;",Items:"&amp;GS5&amp;",Flag:"&amp;CV5&amp;",HDFlag:"&amp;CHAR(34)&amp;E5&amp;CHAR(34)&amp;",type:"&amp;GP5&amp;", describe: "&amp;HI5&amp;", links: "&amp;HL5&amp;"},"</f>
        <v>{couname:"[SHN] Tristan da Cunha",year:"2002",region:"rgn_Africa",Colors:["cl_BLU","cl_RED","cl_YEL","cl_BRO","cl_WHI"],Items:["5+Colo","words2","words3","lets14","startT","withtn","year00","NoBand","Crosse","Animal","Bird","Texted","Canton","Ships!","Crowns","NO_GRE","NO_BLA","myrBLU","unjack","NoStar"],Flag:"https://upload.wikimedia.org/wikipedia/commons/thumb/8/89/Flag_of_Tristan_da_Cunha.svg/640px-Flag_of_Tristan_da_Cunha.svg.png",HDFlag:"https://upload.wikimedia.org/wikipedia/commons/thumb/8/89/Flag_of_Tristan_da_Cunha.svg/1024px-Flag_of_Tristan_da_Cunha.svg.png",type:"Territory", describe: "\nThe flag is a blue ensign design, defaced with the coat of arms of Tristan da Cunha - a Tristan longboat above a Naval Crown, with a central shield decorated with four yellow-nosed albatross and flanked by two Tristan rock lobsters. Below this, there is a scroll with the territory's motto.", links: "https://en.wikipedia.org/wiki/Flag_of_Tristan_da_Cunha"},</v>
      </c>
      <c r="HH5" s="48" t="str">
        <f>IF(P5&lt;&gt;"",CHAR(34)&amp;"\n"&amp;P5&amp;CHAR(34),CHAR(34)&amp;CHAR(34))</f>
        <v>"\nThe flag is a blue ensign design, defaced with the coat of arms of Tristan da Cunha - a Tristan longboat above a Naval Crown, with a central shield decorated with four yellow-nosed albatross and flanked by two Tristan rock lobsters. Below this, there is a scroll with the territory's motto."</v>
      </c>
      <c r="HI5" s="48" t="str">
        <f>IF(J5=0,CHAR(34)&amp;CHAR(34),HH5)</f>
        <v>"\nThe flag is a blue ensign design, defaced with the coat of arms of Tristan da Cunha - a Tristan longboat above a Naval Crown, with a central shield decorated with four yellow-nosed albatross and flanked by two Tristan rock lobsters. Below this, there is a scroll with the territory's motto."</v>
      </c>
      <c r="HJ5" s="48" t="str">
        <f>CHAR(34)&amp;O5&amp;CHAR(34)</f>
        <v>"2002"</v>
      </c>
      <c r="HL5" s="48" t="str">
        <f>CHAR(34)&amp;I5&amp;CHAR(34)</f>
        <v>"https://en.wikipedia.org/wiki/Flag_of_Tristan_da_Cunha"</v>
      </c>
      <c r="HM5" s="72" t="str">
        <f>"{"&amp;CHAR(34)&amp;"couname"&amp;CHAR(34)&amp;":"&amp;CT5&amp;(IF(H5&lt;&gt;"",","&amp;CHAR(34)&amp;"subtype"&amp;CHAR(34)&amp;":"&amp;CHAR(34)&amp;H5&amp;CHAR(34),""))&amp;","&amp;CHAR(34)&amp;"year"&amp;CHAR(34)&amp;":"&amp;HJ5&amp;","&amp;CHAR(34)&amp;"region"&amp;CHAR(34)&amp;":"&amp;CU5&amp;","&amp;CHAR(34)&amp;"Colors"&amp;CHAR(34)&amp;":"&amp;HC5&amp;","&amp;CHAR(34)&amp;"Items"&amp;CHAR(34)&amp;":"&amp;GS5&amp;","&amp;CHAR(34)&amp;"Flag"&amp;CHAR(34)&amp;":"&amp;CV5&amp;","&amp;CHAR(34)&amp;"HDFlag"&amp;CHAR(34)&amp;":"&amp;CHAR(34)&amp;E5&amp;CHAR(34)&amp;","&amp;CHAR(34)&amp;"type"&amp;CHAR(34)&amp;":"&amp;GP5&amp;", "&amp;CHAR(34)&amp;"describe"&amp;CHAR(34)&amp;": "&amp;HH5&amp;", "&amp;CHAR(34)&amp;"isnew"&amp;CHAR(34)&amp;": "&amp;CHAR(34)&amp;F5&amp;CHAR(34)&amp;", "&amp;CHAR(34)&amp;"links"&amp;CHAR(34)&amp;": "&amp;HL5&amp;"},"</f>
        <v>{"couname":"[SHN] Tristan da Cunha","year":"2002","region":"rgn_Africa","Colors":["cl_BLU","cl_RED","cl_YEL","cl_BRO","cl_WHI"],"Items":["5+Colo","words2","words3","lets14","startT","withtn","year00","NoBand","Crosse","Animal","Bird","Texted","Canton","Ships!","Crowns","NO_GRE","NO_BLA","myrBLU","unjack","NoStar"],"Flag":"https://upload.wikimedia.org/wikipedia/commons/thumb/8/89/Flag_of_Tristan_da_Cunha.svg/640px-Flag_of_Tristan_da_Cunha.svg.png","HDFlag":"https://upload.wikimedia.org/wikipedia/commons/thumb/8/89/Flag_of_Tristan_da_Cunha.svg/1024px-Flag_of_Tristan_da_Cunha.svg.png","type":"Territory", "describe": "\nThe flag is a blue ensign design, defaced with the coat of arms of Tristan da Cunha - a Tristan longboat above a Naval Crown, with a central shield decorated with four yellow-nosed albatross and flanked by two Tristan rock lobsters. Below this, there is a scroll with the territory's motto.", "isnew": "www", "links": "https://en.wikipedia.org/wiki/Flag_of_Tristan_da_Cunha"},</v>
      </c>
      <c r="HN5" s="74" t="str">
        <f>"{"&amp;CHAR(34)&amp;"couname"&amp;CHAR(34)&amp;":"&amp;CT5&amp;(IF(H5&lt;&gt;"",","&amp;CHAR(34)&amp;"subtype"&amp;CHAR(34)&amp;":"&amp;CHAR(34)&amp;H5&amp;CHAR(34),""))&amp;","&amp;CHAR(34)&amp;"year"&amp;CHAR(34)&amp;":"&amp;HJ5&amp;","&amp;CHAR(34)&amp;"region"&amp;CHAR(34)&amp;":"&amp;CU5&amp;","&amp;CHAR(34)&amp;"Colors"&amp;CHAR(34)&amp;":"&amp;HC5&amp;","&amp;CHAR(34)&amp;"Items"&amp;CHAR(34)&amp;":"&amp;GS5&amp;","&amp;CHAR(34)&amp;"Flag"&amp;CHAR(34)&amp;":"&amp;CV5&amp;","&amp;CHAR(34)&amp;"HDFlag"&amp;CHAR(34)&amp;":"&amp;CHAR(34)&amp;E5&amp;CHAR(34)&amp;","&amp;CHAR(34)&amp;"type"&amp;CHAR(34)&amp;":"&amp;GP5&amp;", "&amp;CHAR(34)&amp;"describe"&amp;CHAR(34)&amp;": "&amp;HI5&amp;", "&amp;CHAR(34)&amp;"isnew"&amp;CHAR(34)&amp;": "&amp;CHAR(34)&amp;F5&amp;CHAR(34)&amp;", "&amp;CHAR(34)&amp;"links"&amp;CHAR(34)&amp;": "&amp;HL5&amp;"},"</f>
        <v>{"couname":"[SHN] Tristan da Cunha","year":"2002","region":"rgn_Africa","Colors":["cl_BLU","cl_RED","cl_YEL","cl_BRO","cl_WHI"],"Items":["5+Colo","words2","words3","lets14","startT","withtn","year00","NoBand","Crosse","Animal","Bird","Texted","Canton","Ships!","Crowns","NO_GRE","NO_BLA","myrBLU","unjack","NoStar"],"Flag":"https://upload.wikimedia.org/wikipedia/commons/thumb/8/89/Flag_of_Tristan_da_Cunha.svg/640px-Flag_of_Tristan_da_Cunha.svg.png","HDFlag":"https://upload.wikimedia.org/wikipedia/commons/thumb/8/89/Flag_of_Tristan_da_Cunha.svg/1024px-Flag_of_Tristan_da_Cunha.svg.png","type":"Territory", "describe": "\nThe flag is a blue ensign design, defaced with the coat of arms of Tristan da Cunha - a Tristan longboat above a Naval Crown, with a central shield decorated with four yellow-nosed albatross and flanked by two Tristan rock lobsters. Below this, there is a scroll with the territory's motto.", "isnew": "www", "links": "https://en.wikipedia.org/wiki/Flag_of_Tristan_da_Cunha"},</v>
      </c>
      <c r="HO5" s="75">
        <v>45653</v>
      </c>
      <c r="HP5" s="48" t="str" cm="1">
        <f t="array" ref="HP5">IF(_xlfn.TEXTJOIN(", ", TRUE, IF(ISNUMBER(SEARCH("BLA", BL5:BT5)), COLUMN(BL5:BT5) - COLUMN(BL5) + 1, ""))&lt;&gt;"","BLA","")</f>
        <v/>
      </c>
      <c r="HQ5" s="48" t="str" cm="1">
        <f t="array" ref="HQ5">IF(_xlfn.TEXTJOIN(", ", TRUE, IF(ISNUMBER(SEARCH("BLU", BL5:BT5)), COLUMN(BL5:BT5) - COLUMN(BL5) + 1, ""))&lt;&gt;"","BLU","")</f>
        <v>BLU</v>
      </c>
      <c r="HR5" s="48" t="str" cm="1">
        <f t="array" ref="HR5">IF(_xlfn.TEXTJOIN(", ", TRUE, IF(ISNUMBER(SEARCH("GRE", BL5:BT5)), COLUMN(BL5:BT5) - COLUMN(BL5) + 1, ""))&lt;&gt;"","GRE","")</f>
        <v/>
      </c>
      <c r="HS5" s="48" t="str" cm="1">
        <f t="array" ref="HS5">IF(_xlfn.TEXTJOIN(", ", TRUE, IF(ISNUMBER(SEARCH("RED", BL5:BT5)), COLUMN(BL5:BT5) - COLUMN(BL5) + 1, ""))&lt;&gt;"","RED","")</f>
        <v>RED</v>
      </c>
      <c r="HT5" s="48" t="str" cm="1">
        <f t="array" ref="HT5">IF(_xlfn.TEXTJOIN(", ", TRUE, IF(ISNUMBER(SEARCH("YEL", BL5:BT5)), COLUMN(BL5:BT5) - COLUMN(BL5) + 1, ""))&lt;&gt;"","YEL","")</f>
        <v>YEL</v>
      </c>
      <c r="HU5" s="48" t="str" cm="1">
        <f t="array" ref="HU5">IF(_xlfn.TEXTJOIN(", ", TRUE, IF(ISNUMBER(SEARCH("ORA", BL5:BT5)), COLUMN(BL5:BT5) - COLUMN(BL5) + 1, ""))&lt;&gt;"","ORA","")</f>
        <v/>
      </c>
      <c r="HV5" s="48" t="str" cm="1">
        <f t="array" ref="HV5">IF(_xlfn.TEXTJOIN(", ", TRUE, IF(ISNUMBER(SEARCH("BRO", BL5:BT5)), COLUMN(BL5:BT5) - COLUMN(BL5) + 1, ""))&lt;&gt;"","BRO","")</f>
        <v>BRO</v>
      </c>
      <c r="HW5" s="48" t="str" cm="1">
        <f t="array" ref="HW5">IF(_xlfn.TEXTJOIN(", ", TRUE, IF(ISNUMBER(SEARCH("PUR", BL5:BT5)), COLUMN(BL5:BT5) - COLUMN(BL5) + 1, ""))&lt;&gt;"","PUR","")</f>
        <v/>
      </c>
      <c r="HX5" s="48" t="str" cm="1">
        <f t="array" ref="HX5">IF(_xlfn.TEXTJOIN(", ", TRUE, IF(ISNUMBER(SEARCH("WHI", BL5:BT5)), COLUMN(BL5:BT5) - COLUMN(BL5) + 1, ""))&lt;&gt;"","WHI","")</f>
        <v>WHI</v>
      </c>
      <c r="HY5" s="76"/>
      <c r="HZ5" s="76"/>
      <c r="IA5" s="6"/>
      <c r="IB5" s="6"/>
      <c r="IC5" s="77"/>
      <c r="ID5" s="77"/>
      <c r="IE5" s="77"/>
      <c r="IF5" s="77"/>
      <c r="IG5" s="77"/>
      <c r="IH5" s="77"/>
      <c r="II5" s="77"/>
      <c r="IJ5" s="77"/>
      <c r="IK5" s="77"/>
      <c r="IM5" s="45">
        <f>COUNTIF(IC5:IK5,"&gt;0")-CG5</f>
        <v>-5</v>
      </c>
      <c r="IN5" s="78" t="str">
        <f>"http://mkweb.bcgsc.ca/color-summarizer/?url="&amp;D5&amp;"&amp;precision=low&amp;num_clusters="&amp;CG5&amp;"&amp;text=1"</f>
        <v>http://mkweb.bcgsc.ca/color-summarizer/?url=https://upload.wikimedia.org/wikipedia/commons/thumb/8/89/Flag_of_Tristan_da_Cunha.svg/640px-Flag_of_Tristan_da_Cunha.svg.png&amp;precision=low&amp;num_clusters=5&amp;text=1</v>
      </c>
      <c r="IO5" s="48" t="str">
        <f>IF(HP5&lt;&gt;"",CHAR(34)&amp;"black"&amp;CHAR(34),"")</f>
        <v/>
      </c>
      <c r="IP5" s="48" t="str">
        <f>IF(HQ5&lt;&gt;"",CHAR(34)&amp;"blue"&amp;CHAR(34),"")</f>
        <v>"blue"</v>
      </c>
      <c r="IQ5" s="48" t="str">
        <f>IF(HR5&lt;&gt;"",CHAR(34)&amp;"green"&amp;CHAR(34),"")</f>
        <v/>
      </c>
      <c r="IR5" s="48" t="str">
        <f>IF(HS5&lt;&gt;"",CHAR(34)&amp;"red"&amp;CHAR(34),"")</f>
        <v>"red"</v>
      </c>
      <c r="IS5" s="48" t="str">
        <f>IF(HT5&lt;&gt;"",CHAR(34)&amp;"yellow"&amp;CHAR(34),"")</f>
        <v>"yellow"</v>
      </c>
      <c r="IT5" s="48" t="str">
        <f>IF(HU5&lt;&gt;"",CHAR(34)&amp;"orange"&amp;CHAR(34),"")</f>
        <v/>
      </c>
      <c r="IU5" s="48" t="str">
        <f>IF(HV5&lt;&gt;"",CHAR(34)&amp;"brown"&amp;CHAR(34),"")</f>
        <v>"brown"</v>
      </c>
      <c r="IV5" s="48" t="str">
        <f>IF(HW5&lt;&gt;"",CHAR(34)&amp;"purple"&amp;CHAR(34),"")</f>
        <v/>
      </c>
      <c r="IW5" s="48" t="str">
        <f>IF(HX5&lt;&gt;"",CHAR(34)&amp;"white"&amp;CHAR(34),"")</f>
        <v>"white"</v>
      </c>
      <c r="IX5" s="48" t="str">
        <f>"{"&amp;CHAR(34)&amp;"url"&amp;CHAR(34)&amp;":"&amp;CHAR(34)&amp;IN5&amp;CHAR(34)&amp;","&amp;CHAR(34)&amp;"name"&amp;CHAR(34)&amp;":"&amp;CHAR(34)&amp;A5&amp;CHAR(34)&amp;"},"</f>
        <v>{"url":"http://mkweb.bcgsc.ca/color-summarizer/?url=https://upload.wikimedia.org/wikipedia/commons/thumb/8/89/Flag_of_Tristan_da_Cunha.svg/640px-Flag_of_Tristan_da_Cunha.svg.png&amp;precision=low&amp;num_clusters=5&amp;text=1","name":"[SHN] Tristan da Cunha"},</v>
      </c>
      <c r="IY5" s="48">
        <v>1503</v>
      </c>
    </row>
    <row r="6" spans="1:259" ht="38.4" customHeight="1" x14ac:dyDescent="0.3">
      <c r="F6" s="82"/>
      <c r="G6" s="82"/>
      <c r="H6" s="82"/>
      <c r="I6" s="82"/>
      <c r="J6" s="82"/>
      <c r="K6" s="82"/>
    </row>
  </sheetData>
  <autoFilter ref="A1:IY1" xr:uid="{A1051193-A95B-4CFB-A73C-F0184620C81F}">
    <sortState xmlns:xlrd2="http://schemas.microsoft.com/office/spreadsheetml/2017/richdata2" ref="A2:IY5">
      <sortCondition ref="AW1"/>
    </sortState>
  </autoFilter>
  <conditionalFormatting sqref="H1 CW1:GS1 IA1:IB1">
    <cfRule type="cellIs" dxfId="1856" priority="118" operator="greaterThan">
      <formula>0</formula>
    </cfRule>
  </conditionalFormatting>
  <conditionalFormatting sqref="H1:H2 H7:H1048576">
    <cfRule type="cellIs" dxfId="1855" priority="84" stopIfTrue="1" operator="notEqual">
      <formula>""</formula>
    </cfRule>
  </conditionalFormatting>
  <conditionalFormatting sqref="T1:BK1">
    <cfRule type="cellIs" dxfId="1854" priority="121" operator="greaterThan">
      <formula>0</formula>
    </cfRule>
  </conditionalFormatting>
  <conditionalFormatting sqref="BV1:BW2 BV6:BW1048576">
    <cfRule type="cellIs" dxfId="1853" priority="120" operator="equal">
      <formula>"nc"</formula>
    </cfRule>
  </conditionalFormatting>
  <conditionalFormatting sqref="HF1:HG1">
    <cfRule type="cellIs" dxfId="1852" priority="122" operator="greaterThan">
      <formula>0</formula>
    </cfRule>
  </conditionalFormatting>
  <conditionalFormatting sqref="HK1">
    <cfRule type="cellIs" dxfId="1851" priority="119" operator="greaterThan">
      <formula>0</formula>
    </cfRule>
  </conditionalFormatting>
  <conditionalFormatting sqref="HP1:HX1">
    <cfRule type="cellIs" dxfId="1850" priority="96" operator="equal">
      <formula>"PIN"</formula>
    </cfRule>
    <cfRule type="cellIs" dxfId="1849" priority="97" operator="equal">
      <formula>"ORA"</formula>
    </cfRule>
    <cfRule type="cellIs" dxfId="1848" priority="98" operator="equal">
      <formula>"GRA"</formula>
    </cfRule>
    <cfRule type="cellIs" dxfId="1847" priority="99" operator="equal">
      <formula>"PUR"</formula>
    </cfRule>
    <cfRule type="cellIs" dxfId="1846" priority="100" operator="equal">
      <formula>"BRO"</formula>
    </cfRule>
    <cfRule type="cellIs" dxfId="1845" priority="101" operator="equal">
      <formula>"YEL"</formula>
    </cfRule>
    <cfRule type="cellIs" dxfId="1844" priority="102" operator="equal">
      <formula>"BLU"</formula>
    </cfRule>
    <cfRule type="cellIs" dxfId="1843" priority="103" operator="equal">
      <formula>"WHI"</formula>
    </cfRule>
    <cfRule type="cellIs" dxfId="1842" priority="104" operator="equal">
      <formula>"GRE"</formula>
    </cfRule>
    <cfRule type="cellIs" dxfId="1841" priority="105" operator="equal">
      <formula>"RED"</formula>
    </cfRule>
    <cfRule type="cellIs" dxfId="1840" priority="106" operator="equal">
      <formula>"BLA"</formula>
    </cfRule>
  </conditionalFormatting>
  <conditionalFormatting sqref="IC1:IK1">
    <cfRule type="cellIs" dxfId="1839" priority="107" operator="equal">
      <formula>"PIN"</formula>
    </cfRule>
    <cfRule type="cellIs" dxfId="1838" priority="108" operator="equal">
      <formula>"ORA"</formula>
    </cfRule>
    <cfRule type="cellIs" dxfId="1837" priority="109" operator="equal">
      <formula>"GRA"</formula>
    </cfRule>
    <cfRule type="cellIs" dxfId="1836" priority="110" operator="equal">
      <formula>"PUR"</formula>
    </cfRule>
    <cfRule type="cellIs" dxfId="1835" priority="111" operator="equal">
      <formula>"BRO"</formula>
    </cfRule>
    <cfRule type="cellIs" dxfId="1834" priority="112" operator="equal">
      <formula>"YEL"</formula>
    </cfRule>
    <cfRule type="cellIs" dxfId="1833" priority="113" operator="equal">
      <formula>"BLU"</formula>
    </cfRule>
    <cfRule type="cellIs" dxfId="1832" priority="114" operator="equal">
      <formula>"WHI"</formula>
    </cfRule>
    <cfRule type="cellIs" dxfId="1831" priority="115" operator="equal">
      <formula>"GRE"</formula>
    </cfRule>
    <cfRule type="cellIs" dxfId="1830" priority="116" operator="equal">
      <formula>"RED"</formula>
    </cfRule>
    <cfRule type="cellIs" dxfId="1829" priority="117" operator="equal">
      <formula>"BLA"</formula>
    </cfRule>
  </conditionalFormatting>
  <conditionalFormatting sqref="IO1:IW1">
    <cfRule type="cellIs" dxfId="1828" priority="85" operator="equal">
      <formula>"PIN"</formula>
    </cfRule>
    <cfRule type="cellIs" dxfId="1827" priority="86" operator="equal">
      <formula>"ORA"</formula>
    </cfRule>
    <cfRule type="cellIs" dxfId="1826" priority="87" operator="equal">
      <formula>"GRA"</formula>
    </cfRule>
    <cfRule type="cellIs" dxfId="1825" priority="88" operator="equal">
      <formula>"PUR"</formula>
    </cfRule>
    <cfRule type="cellIs" dxfId="1824" priority="89" operator="equal">
      <formula>"BRO"</formula>
    </cfRule>
    <cfRule type="cellIs" dxfId="1823" priority="90" operator="equal">
      <formula>"YEL"</formula>
    </cfRule>
    <cfRule type="cellIs" dxfId="1822" priority="91" operator="equal">
      <formula>"BLU"</formula>
    </cfRule>
    <cfRule type="cellIs" dxfId="1821" priority="92" operator="equal">
      <formula>"WHI"</formula>
    </cfRule>
    <cfRule type="cellIs" dxfId="1820" priority="93" operator="equal">
      <formula>"GRE"</formula>
    </cfRule>
    <cfRule type="cellIs" dxfId="1819" priority="94" operator="equal">
      <formula>"RED"</formula>
    </cfRule>
    <cfRule type="cellIs" dxfId="1818" priority="95" operator="equal">
      <formula>"BLA"</formula>
    </cfRule>
  </conditionalFormatting>
  <conditionalFormatting sqref="H4:H5">
    <cfRule type="cellIs" dxfId="1817" priority="76" stopIfTrue="1" operator="notEqual">
      <formula>""</formula>
    </cfRule>
  </conditionalFormatting>
  <conditionalFormatting sqref="R4:R5 CU4:CU5">
    <cfRule type="cellIs" dxfId="1816" priority="79" operator="greaterThan">
      <formula>0</formula>
    </cfRule>
  </conditionalFormatting>
  <conditionalFormatting sqref="T4:AS5 CH4:CS5">
    <cfRule type="cellIs" dxfId="1815" priority="73" stopIfTrue="1" operator="equal">
      <formula>"n"</formula>
    </cfRule>
    <cfRule type="cellIs" dxfId="1814" priority="74" stopIfTrue="1" operator="equal">
      <formula>"y"</formula>
    </cfRule>
    <cfRule type="cellIs" dxfId="1813" priority="75" operator="greaterThan">
      <formula>0</formula>
    </cfRule>
  </conditionalFormatting>
  <conditionalFormatting sqref="AZ4:BB5">
    <cfRule type="expression" dxfId="1812" priority="60">
      <formula>$AT4=0</formula>
    </cfRule>
  </conditionalFormatting>
  <conditionalFormatting sqref="CD4:CF5 BX4:CA5 AZ4:BU5">
    <cfRule type="cellIs" dxfId="1811" priority="61" operator="equal">
      <formula>"PIN"</formula>
    </cfRule>
    <cfRule type="cellIs" dxfId="1810" priority="62" operator="equal">
      <formula>"ORA"</formula>
    </cfRule>
    <cfRule type="cellIs" dxfId="1809" priority="63" operator="equal">
      <formula>"GRA"</formula>
    </cfRule>
    <cfRule type="cellIs" dxfId="1808" priority="64" operator="equal">
      <formula>"PUR"</formula>
    </cfRule>
    <cfRule type="cellIs" dxfId="1807" priority="65" operator="equal">
      <formula>"BRO"</formula>
    </cfRule>
    <cfRule type="cellIs" dxfId="1806" priority="66" operator="equal">
      <formula>"YEL"</formula>
    </cfRule>
    <cfRule type="cellIs" dxfId="1805" priority="67" operator="equal">
      <formula>"BLU"</formula>
    </cfRule>
    <cfRule type="cellIs" dxfId="1804" priority="68" operator="equal">
      <formula>"WHI"</formula>
    </cfRule>
    <cfRule type="cellIs" dxfId="1803" priority="69" operator="equal">
      <formula>"GRE"</formula>
    </cfRule>
    <cfRule type="cellIs" dxfId="1802" priority="70" operator="equal">
      <formula>"RED"</formula>
    </cfRule>
    <cfRule type="cellIs" dxfId="1801" priority="71" operator="equal">
      <formula>"BLA"</formula>
    </cfRule>
  </conditionalFormatting>
  <conditionalFormatting sqref="BV4:BV5">
    <cfRule type="cellIs" dxfId="1800" priority="78" operator="equal">
      <formula>"nc"</formula>
    </cfRule>
  </conditionalFormatting>
  <conditionalFormatting sqref="CD4:CF5 BX4:CA5">
    <cfRule type="cellIs" dxfId="1799" priority="77" operator="equal">
      <formula>"y"</formula>
    </cfRule>
  </conditionalFormatting>
  <conditionalFormatting sqref="CD4:CF5 BZ4:CA5">
    <cfRule type="cellIs" dxfId="1798" priority="72" operator="greaterThan">
      <formula>0</formula>
    </cfRule>
  </conditionalFormatting>
  <conditionalFormatting sqref="IC4:IK5">
    <cfRule type="expression" dxfId="1797" priority="59">
      <formula>$IL4&gt;0</formula>
    </cfRule>
  </conditionalFormatting>
  <conditionalFormatting sqref="IC4:IC5">
    <cfRule type="cellIs" dxfId="1796" priority="53" stopIfTrue="1" operator="greaterThan">
      <formula>0</formula>
    </cfRule>
  </conditionalFormatting>
  <conditionalFormatting sqref="ID4:ID5">
    <cfRule type="cellIs" dxfId="1795" priority="51" stopIfTrue="1" operator="greaterThan">
      <formula>0</formula>
    </cfRule>
  </conditionalFormatting>
  <conditionalFormatting sqref="II4:II5 IE4:IF5">
    <cfRule type="cellIs" dxfId="1794" priority="58" operator="greaterThan">
      <formula>0</formula>
    </cfRule>
  </conditionalFormatting>
  <conditionalFormatting sqref="II4:II5 IF4:IF5">
    <cfRule type="cellIs" dxfId="1793" priority="52" stopIfTrue="1" operator="greaterThan">
      <formula>0</formula>
    </cfRule>
  </conditionalFormatting>
  <conditionalFormatting sqref="IG4:IG5">
    <cfRule type="cellIs" dxfId="1792" priority="57" operator="greaterThan">
      <formula>0</formula>
    </cfRule>
  </conditionalFormatting>
  <conditionalFormatting sqref="IH4:II5">
    <cfRule type="cellIs" dxfId="1791" priority="56" operator="greaterThan">
      <formula>0</formula>
    </cfRule>
  </conditionalFormatting>
  <conditionalFormatting sqref="IJ4:IJ5">
    <cfRule type="cellIs" dxfId="1790" priority="55" operator="greaterThan">
      <formula>0</formula>
    </cfRule>
  </conditionalFormatting>
  <conditionalFormatting sqref="IK4:IK5">
    <cfRule type="cellIs" dxfId="1789" priority="54" operator="greaterThan">
      <formula>0</formula>
    </cfRule>
  </conditionalFormatting>
  <conditionalFormatting sqref="IF4:IF5">
    <cfRule type="cellIs" dxfId="1788" priority="50" stopIfTrue="1" operator="greaterThan">
      <formula>0</formula>
    </cfRule>
  </conditionalFormatting>
  <conditionalFormatting sqref="IM4:IM5">
    <cfRule type="cellIs" dxfId="1787" priority="49" operator="equal">
      <formula>0</formula>
    </cfRule>
  </conditionalFormatting>
  <conditionalFormatting sqref="BX4:CA5 CD4:CF5">
    <cfRule type="cellIs" dxfId="1786" priority="37" operator="equal">
      <formula>"y"</formula>
    </cfRule>
    <cfRule type="cellIs" dxfId="1785" priority="38" operator="equal">
      <formula>"PIN"</formula>
    </cfRule>
    <cfRule type="cellIs" dxfId="1784" priority="39" operator="equal">
      <formula>"ORA"</formula>
    </cfRule>
    <cfRule type="cellIs" dxfId="1783" priority="40" operator="equal">
      <formula>"GRA"</formula>
    </cfRule>
    <cfRule type="cellIs" dxfId="1782" priority="41" operator="equal">
      <formula>"PUR"</formula>
    </cfRule>
    <cfRule type="cellIs" dxfId="1781" priority="42" operator="equal">
      <formula>"BRO"</formula>
    </cfRule>
    <cfRule type="cellIs" dxfId="1780" priority="43" operator="equal">
      <formula>"YEL"</formula>
    </cfRule>
    <cfRule type="cellIs" dxfId="1779" priority="44" operator="equal">
      <formula>"BLU"</formula>
    </cfRule>
    <cfRule type="cellIs" dxfId="1778" priority="45" operator="equal">
      <formula>"WHI"</formula>
    </cfRule>
    <cfRule type="cellIs" dxfId="1777" priority="46" operator="equal">
      <formula>"GRE"</formula>
    </cfRule>
    <cfRule type="cellIs" dxfId="1776" priority="47" operator="equal">
      <formula>"RED"</formula>
    </cfRule>
    <cfRule type="cellIs" dxfId="1775" priority="48" operator="equal">
      <formula>"BLA"</formula>
    </cfRule>
  </conditionalFormatting>
  <conditionalFormatting sqref="AT4:AT5">
    <cfRule type="colorScale" priority="80">
      <colorScale>
        <cfvo type="min"/>
        <cfvo type="max"/>
        <color rgb="FFFCFCFF"/>
        <color theme="8" tint="0.39997558519241921"/>
      </colorScale>
    </cfRule>
  </conditionalFormatting>
  <conditionalFormatting sqref="S4:S5">
    <cfRule type="colorScale" priority="81">
      <colorScale>
        <cfvo type="min"/>
        <cfvo type="max"/>
        <color rgb="FFFCFCFF"/>
        <color rgb="FF754BFB"/>
      </colorScale>
    </cfRule>
  </conditionalFormatting>
  <conditionalFormatting sqref="J4:J5">
    <cfRule type="colorScale" priority="82">
      <colorScale>
        <cfvo type="min"/>
        <cfvo type="percentile" val="50"/>
        <cfvo type="max"/>
        <color rgb="FFF8696B"/>
        <color rgb="FFFFEB84"/>
        <color rgb="FF63BE7B"/>
      </colorScale>
    </cfRule>
  </conditionalFormatting>
  <conditionalFormatting sqref="CG4:CG5">
    <cfRule type="colorScale" priority="83">
      <colorScale>
        <cfvo type="min"/>
        <cfvo type="max"/>
        <color rgb="FFFCFCFF"/>
        <color rgb="FF63BE7B"/>
      </colorScale>
    </cfRule>
  </conditionalFormatting>
  <conditionalFormatting sqref="H3">
    <cfRule type="cellIs" dxfId="1774" priority="30" stopIfTrue="1" operator="notEqual">
      <formula>""</formula>
    </cfRule>
  </conditionalFormatting>
  <conditionalFormatting sqref="R3 CU3">
    <cfRule type="cellIs" dxfId="1773" priority="32" operator="greaterThan">
      <formula>0</formula>
    </cfRule>
  </conditionalFormatting>
  <conditionalFormatting sqref="T3:AS3 CH3:CS3">
    <cfRule type="cellIs" dxfId="1772" priority="27" stopIfTrue="1" operator="equal">
      <formula>"n"</formula>
    </cfRule>
    <cfRule type="cellIs" dxfId="1771" priority="28" stopIfTrue="1" operator="equal">
      <formula>"y"</formula>
    </cfRule>
    <cfRule type="cellIs" dxfId="1770" priority="29" operator="greaterThan">
      <formula>0</formula>
    </cfRule>
  </conditionalFormatting>
  <conditionalFormatting sqref="AZ3:BB3">
    <cfRule type="expression" dxfId="1769" priority="14">
      <formula>$AT3=0</formula>
    </cfRule>
  </conditionalFormatting>
  <conditionalFormatting sqref="AZ3:BU3">
    <cfRule type="cellIs" dxfId="1768" priority="15" operator="equal">
      <formula>"PIN"</formula>
    </cfRule>
    <cfRule type="cellIs" dxfId="1767" priority="16" operator="equal">
      <formula>"ORA"</formula>
    </cfRule>
    <cfRule type="cellIs" dxfId="1766" priority="17" operator="equal">
      <formula>"GRA"</formula>
    </cfRule>
    <cfRule type="cellIs" dxfId="1765" priority="18" operator="equal">
      <formula>"PUR"</formula>
    </cfRule>
    <cfRule type="cellIs" dxfId="1764" priority="19" operator="equal">
      <formula>"BRO"</formula>
    </cfRule>
    <cfRule type="cellIs" dxfId="1763" priority="20" operator="equal">
      <formula>"YEL"</formula>
    </cfRule>
    <cfRule type="cellIs" dxfId="1762" priority="21" operator="equal">
      <formula>"BLU"</formula>
    </cfRule>
    <cfRule type="cellIs" dxfId="1761" priority="22" operator="equal">
      <formula>"WHI"</formula>
    </cfRule>
    <cfRule type="cellIs" dxfId="1760" priority="23" operator="equal">
      <formula>"GRE"</formula>
    </cfRule>
    <cfRule type="cellIs" dxfId="1759" priority="24" operator="equal">
      <formula>"RED"</formula>
    </cfRule>
    <cfRule type="cellIs" dxfId="1758" priority="25" operator="equal">
      <formula>"BLA"</formula>
    </cfRule>
  </conditionalFormatting>
  <conditionalFormatting sqref="BV3">
    <cfRule type="cellIs" dxfId="1757" priority="31" operator="equal">
      <formula>"nc"</formula>
    </cfRule>
  </conditionalFormatting>
  <conditionalFormatting sqref="CD3:CF3 BZ3:CA3">
    <cfRule type="cellIs" dxfId="1756" priority="26" operator="greaterThan">
      <formula>0</formula>
    </cfRule>
  </conditionalFormatting>
  <conditionalFormatting sqref="IC3:IK3">
    <cfRule type="expression" dxfId="1755" priority="13">
      <formula>$IL3&gt;0</formula>
    </cfRule>
  </conditionalFormatting>
  <conditionalFormatting sqref="BX3:CA3 CD3:CF3">
    <cfRule type="cellIs" dxfId="1754" priority="1" operator="equal">
      <formula>"y"</formula>
    </cfRule>
    <cfRule type="cellIs" dxfId="1753" priority="2" operator="equal">
      <formula>"PIN"</formula>
    </cfRule>
    <cfRule type="cellIs" dxfId="1752" priority="3" operator="equal">
      <formula>"ORA"</formula>
    </cfRule>
    <cfRule type="cellIs" dxfId="1751" priority="4" operator="equal">
      <formula>"GRA"</formula>
    </cfRule>
    <cfRule type="cellIs" dxfId="1750" priority="5" operator="equal">
      <formula>"PUR"</formula>
    </cfRule>
    <cfRule type="cellIs" dxfId="1749" priority="6" operator="equal">
      <formula>"BRO"</formula>
    </cfRule>
    <cfRule type="cellIs" dxfId="1748" priority="7" operator="equal">
      <formula>"YEL"</formula>
    </cfRule>
    <cfRule type="cellIs" dxfId="1747" priority="8" operator="equal">
      <formula>"BLU"</formula>
    </cfRule>
    <cfRule type="cellIs" dxfId="1746" priority="9" operator="equal">
      <formula>"WHI"</formula>
    </cfRule>
    <cfRule type="cellIs" dxfId="1745" priority="10" operator="equal">
      <formula>"GRE"</formula>
    </cfRule>
    <cfRule type="cellIs" dxfId="1744" priority="11" operator="equal">
      <formula>"RED"</formula>
    </cfRule>
    <cfRule type="cellIs" dxfId="1743" priority="12" operator="equal">
      <formula>"BLA"</formula>
    </cfRule>
  </conditionalFormatting>
  <conditionalFormatting sqref="J3">
    <cfRule type="colorScale" priority="33">
      <colorScale>
        <cfvo type="min"/>
        <cfvo type="percentile" val="50"/>
        <cfvo type="max"/>
        <color rgb="FFF8696B"/>
        <color rgb="FFFFEB84"/>
        <color rgb="FF63BE7B"/>
      </colorScale>
    </cfRule>
  </conditionalFormatting>
  <conditionalFormatting sqref="S3">
    <cfRule type="colorScale" priority="34">
      <colorScale>
        <cfvo type="min"/>
        <cfvo type="max"/>
        <color rgb="FFFCFCFF"/>
        <color rgb="FF754BFB"/>
      </colorScale>
    </cfRule>
  </conditionalFormatting>
  <conditionalFormatting sqref="AT3">
    <cfRule type="colorScale" priority="35">
      <colorScale>
        <cfvo type="min"/>
        <cfvo type="max"/>
        <color rgb="FFFCFCFF"/>
        <color theme="8" tint="0.39997558519241921"/>
      </colorScale>
    </cfRule>
  </conditionalFormatting>
  <conditionalFormatting sqref="CG3">
    <cfRule type="colorScale" priority="36">
      <colorScale>
        <cfvo type="min"/>
        <cfvo type="max"/>
        <color rgb="FFFCFCFF"/>
        <color rgb="FF63BE7B"/>
      </colorScale>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19458" r:id="rId5"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19459" r:id="rId6"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0E4975-262D-4902-86F5-EE5CFD0C441E}">
  <sheetPr codeName="Sheet35"/>
  <dimension ref="A1:IY6"/>
  <sheetViews>
    <sheetView zoomScale="70" zoomScaleNormal="70" workbookViewId="0">
      <pane xSplit="5" ySplit="1" topLeftCell="F2" activePane="bottomRight" state="frozen"/>
      <selection pane="topRight" activeCell="F1" sqref="F1"/>
      <selection pane="bottomLeft" activeCell="A2" sqref="A2"/>
      <selection pane="bottomRight" activeCell="A3" sqref="A3"/>
    </sheetView>
  </sheetViews>
  <sheetFormatPr defaultRowHeight="38.4" customHeight="1" x14ac:dyDescent="0.3"/>
  <cols>
    <col min="1" max="1" width="52.44140625" style="81" bestFit="1" customWidth="1"/>
    <col min="2" max="2" width="10.109375" style="81" customWidth="1"/>
    <col min="3" max="3" width="7.44140625" style="82" customWidth="1"/>
    <col min="4" max="4" width="4.77734375" style="83" customWidth="1"/>
    <col min="5" max="5" width="4.5546875" style="83" customWidth="1"/>
    <col min="6" max="6" width="5.77734375" style="83" customWidth="1"/>
    <col min="7" max="7" width="7.44140625" style="81" customWidth="1"/>
    <col min="8" max="8" width="11.44140625" style="81" customWidth="1"/>
    <col min="9" max="9" width="10" style="81" customWidth="1"/>
    <col min="10" max="10" width="4.21875" style="81" customWidth="1"/>
    <col min="11" max="11" width="5.6640625" style="83" customWidth="1"/>
    <col min="12" max="12" width="2.88671875" style="83" customWidth="1"/>
    <col min="13" max="13" width="6.44140625" style="83" customWidth="1"/>
    <col min="14" max="14" width="4.5546875" style="83" customWidth="1"/>
    <col min="15" max="15" width="10.5546875" style="84" customWidth="1"/>
    <col min="16" max="16" width="6.88671875" style="83" customWidth="1"/>
    <col min="17" max="17" width="4.77734375" style="83" customWidth="1"/>
    <col min="18" max="18" width="13.109375" style="82" customWidth="1"/>
    <col min="19" max="19" width="6.77734375" style="82" customWidth="1"/>
    <col min="20" max="46" width="8.44140625" style="81" customWidth="1"/>
    <col min="47" max="47" width="24.5546875" style="81" customWidth="1"/>
    <col min="48" max="51" width="16.6640625" style="81" customWidth="1"/>
    <col min="52" max="52" width="6.5546875" style="81" customWidth="1"/>
    <col min="53" max="54" width="5.88671875" style="81" customWidth="1"/>
    <col min="55" max="55" width="1.33203125" style="81" customWidth="1"/>
    <col min="56" max="56" width="7.44140625" style="81" customWidth="1"/>
    <col min="57" max="57" width="2.33203125" style="81" customWidth="1"/>
    <col min="58" max="62" width="6.109375" style="81" customWidth="1"/>
    <col min="63" max="63" width="2.33203125" style="81" customWidth="1"/>
    <col min="64" max="64" width="7" style="81" bestFit="1" customWidth="1"/>
    <col min="65" max="65" width="6.44140625" style="81" bestFit="1" customWidth="1"/>
    <col min="66" max="66" width="7.109375" style="81" bestFit="1" customWidth="1"/>
    <col min="67" max="71" width="6.44140625" style="81" bestFit="1" customWidth="1"/>
    <col min="72" max="73" width="6.44140625" style="81" customWidth="1"/>
    <col min="74" max="75" width="13.44140625" style="81" customWidth="1"/>
    <col min="76" max="84" width="14.6640625" style="81" customWidth="1"/>
    <col min="85" max="85" width="6.44140625" style="81" customWidth="1"/>
    <col min="86" max="87" width="11.6640625" style="81" bestFit="1" customWidth="1"/>
    <col min="88" max="88" width="11.6640625" style="81" customWidth="1"/>
    <col min="89" max="89" width="12.77734375" style="81" bestFit="1" customWidth="1"/>
    <col min="90" max="90" width="16.44140625" style="82" bestFit="1" customWidth="1"/>
    <col min="91" max="92" width="14.88671875" style="82" bestFit="1" customWidth="1"/>
    <col min="93" max="93" width="16" style="82" bestFit="1" customWidth="1"/>
    <col min="94" max="97" width="7.77734375" style="81" customWidth="1"/>
    <col min="98" max="98" width="33.21875" style="81" customWidth="1"/>
    <col min="99" max="99" width="18" style="81" customWidth="1"/>
    <col min="100" max="100" width="75.6640625" style="81" customWidth="1"/>
    <col min="101" max="125" width="33" style="81" customWidth="1"/>
    <col min="126" max="126" width="8.88671875" style="81"/>
    <col min="127" max="128" width="9.44140625" style="81" bestFit="1" customWidth="1"/>
    <col min="129" max="129" width="10.77734375" style="81" bestFit="1" customWidth="1"/>
    <col min="130" max="134" width="10.77734375" style="81" customWidth="1"/>
    <col min="135" max="135" width="10.109375" style="81" bestFit="1" customWidth="1"/>
    <col min="136" max="136" width="7.77734375" style="81" bestFit="1" customWidth="1"/>
    <col min="137" max="137" width="7.77734375" style="81" customWidth="1"/>
    <col min="138" max="138" width="9" style="81" bestFit="1" customWidth="1"/>
    <col min="139" max="139" width="11.33203125" style="81" bestFit="1" customWidth="1"/>
    <col min="140" max="140" width="9.109375" style="81" bestFit="1" customWidth="1"/>
    <col min="141" max="141" width="9" style="81" bestFit="1" customWidth="1"/>
    <col min="142" max="142" width="12" style="81" bestFit="1" customWidth="1"/>
    <col min="143" max="166" width="12" style="81" customWidth="1"/>
    <col min="167" max="167" width="17.21875" style="81" customWidth="1"/>
    <col min="168" max="191" width="12" style="81" customWidth="1"/>
    <col min="192" max="192" width="8.5546875" style="81" bestFit="1" customWidth="1"/>
    <col min="193" max="193" width="8.5546875" style="81" customWidth="1"/>
    <col min="194" max="194" width="7.109375" style="81" bestFit="1" customWidth="1"/>
    <col min="195" max="195" width="7.5546875" style="81" bestFit="1" customWidth="1"/>
    <col min="196" max="196" width="8.5546875" style="81" bestFit="1" customWidth="1"/>
    <col min="197" max="200" width="8.5546875" style="81" customWidth="1"/>
    <col min="201" max="201" width="188.88671875" style="81" customWidth="1"/>
    <col min="202" max="202" width="9.5546875" style="81" bestFit="1" customWidth="1"/>
    <col min="203" max="203" width="10.44140625" style="81" bestFit="1" customWidth="1"/>
    <col min="204" max="204" width="11.109375" style="81" bestFit="1" customWidth="1"/>
    <col min="205" max="205" width="10.44140625" style="81" bestFit="1" customWidth="1"/>
    <col min="206" max="210" width="10.44140625" style="81" customWidth="1"/>
    <col min="211" max="211" width="45.44140625" style="81" customWidth="1"/>
    <col min="212" max="212" width="47.5546875" style="81" bestFit="1" customWidth="1"/>
    <col min="213" max="213" width="9.33203125" style="85" customWidth="1"/>
    <col min="214" max="214" width="119.5546875" style="81" customWidth="1"/>
    <col min="215" max="215" width="69.6640625" style="81" customWidth="1"/>
    <col min="216" max="218" width="8.88671875" style="81"/>
    <col min="219" max="219" width="37.109375" style="81" customWidth="1"/>
    <col min="220" max="220" width="16.33203125" style="81" customWidth="1"/>
    <col min="221" max="222" width="8.88671875" style="81"/>
    <col min="223" max="223" width="10.109375" style="81" bestFit="1" customWidth="1"/>
    <col min="224" max="232" width="10.88671875" style="81" customWidth="1"/>
    <col min="233" max="234" width="30.77734375" style="81" customWidth="1"/>
    <col min="235" max="235" width="5.109375" style="81" customWidth="1"/>
    <col min="236" max="236" width="3" style="81" customWidth="1"/>
    <col min="237" max="245" width="6.77734375" style="86" customWidth="1"/>
    <col min="246" max="247" width="8.88671875" style="81"/>
    <col min="248" max="248" width="61.5546875" style="81" customWidth="1"/>
    <col min="249" max="253" width="8.88671875" style="81"/>
    <col min="254" max="254" width="9" style="81" customWidth="1"/>
    <col min="255" max="16384" width="8.88671875" style="8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418</v>
      </c>
      <c r="B2" s="40" t="e" vm="104">
        <v>#VALUE!</v>
      </c>
      <c r="C2" s="41">
        <v>1</v>
      </c>
      <c r="D2" s="42" t="s">
        <v>419</v>
      </c>
      <c r="E2" s="43" t="s">
        <v>420</v>
      </c>
      <c r="F2" s="44" t="s">
        <v>163</v>
      </c>
      <c r="G2" s="45">
        <f>COUNTIF($A$1:$A$8380,A2)</f>
        <v>1</v>
      </c>
      <c r="H2" s="46"/>
      <c r="I2" s="47" t="s">
        <v>421</v>
      </c>
      <c r="J2" s="48" t="str">
        <f>""</f>
        <v/>
      </c>
      <c r="K2" s="49">
        <v>17763163</v>
      </c>
      <c r="L2" s="50">
        <v>3000000</v>
      </c>
      <c r="M2" s="50" t="s">
        <v>431</v>
      </c>
      <c r="N2" s="51" t="s">
        <v>180</v>
      </c>
      <c r="O2" s="52" t="s">
        <v>422</v>
      </c>
      <c r="P2" s="53" t="s">
        <v>423</v>
      </c>
      <c r="Q2" s="54">
        <v>1</v>
      </c>
      <c r="R2" s="55" t="s">
        <v>180</v>
      </c>
      <c r="S2" s="56">
        <v>3</v>
      </c>
      <c r="T2" s="57" t="s">
        <v>164</v>
      </c>
      <c r="U2" s="58" t="s">
        <v>164</v>
      </c>
      <c r="V2" s="58" t="s">
        <v>164</v>
      </c>
      <c r="W2" s="58" t="s">
        <v>167</v>
      </c>
      <c r="X2" s="58" t="s">
        <v>164</v>
      </c>
      <c r="Y2" s="58" t="s">
        <v>164</v>
      </c>
      <c r="Z2" s="58" t="s">
        <v>164</v>
      </c>
      <c r="AA2" s="58" t="s">
        <v>164</v>
      </c>
      <c r="AB2" s="58" t="s">
        <v>164</v>
      </c>
      <c r="AC2" s="58" t="s">
        <v>164</v>
      </c>
      <c r="AD2" s="58" t="s">
        <v>164</v>
      </c>
      <c r="AE2" s="58" t="s">
        <v>164</v>
      </c>
      <c r="AF2" s="59" t="s">
        <v>164</v>
      </c>
      <c r="AG2" s="59" t="s">
        <v>164</v>
      </c>
      <c r="AH2" s="59" t="s">
        <v>167</v>
      </c>
      <c r="AI2" s="59" t="s">
        <v>164</v>
      </c>
      <c r="AJ2" s="59" t="s">
        <v>164</v>
      </c>
      <c r="AK2" s="59" t="s">
        <v>164</v>
      </c>
      <c r="AL2" s="59" t="s">
        <v>164</v>
      </c>
      <c r="AM2" s="59" t="s">
        <v>164</v>
      </c>
      <c r="AN2" s="59" t="s">
        <v>164</v>
      </c>
      <c r="AO2" s="59" t="s">
        <v>164</v>
      </c>
      <c r="AP2" s="59" t="s">
        <v>164</v>
      </c>
      <c r="AQ2" s="59" t="s">
        <v>164</v>
      </c>
      <c r="AR2" s="59" t="s">
        <v>164</v>
      </c>
      <c r="AS2" s="59" t="s">
        <v>164</v>
      </c>
      <c r="AT2" s="60">
        <v>1</v>
      </c>
      <c r="AU2" s="59"/>
      <c r="AV2" s="59" t="str">
        <f>IF(LEFT(A2,1)="[",LEFT(A2,5)&amp;AU2&amp;A2,"")</f>
        <v/>
      </c>
      <c r="AW2" s="59" t="str">
        <f t="shared" ref="AW2:AW3" si="0">C2&amp;H2&amp;A2</f>
        <v>1Senegal</v>
      </c>
      <c r="AX2" s="61" t="str">
        <f>_xlfn.TEXTJOIN(";",TRUE,AU2:AW2)</f>
        <v>1Senegal</v>
      </c>
      <c r="AY2" s="61"/>
      <c r="AZ2" s="62" t="s">
        <v>153</v>
      </c>
      <c r="BA2" s="62"/>
      <c r="BB2" s="62"/>
      <c r="BC2" s="63"/>
      <c r="BD2" s="64" t="s">
        <v>153</v>
      </c>
      <c r="BE2" s="47"/>
      <c r="BF2" s="64" t="s">
        <v>153</v>
      </c>
      <c r="BG2" s="64" t="s">
        <v>155</v>
      </c>
      <c r="BH2" s="64" t="s">
        <v>154</v>
      </c>
      <c r="BI2" s="64"/>
      <c r="BJ2" s="64"/>
      <c r="BK2" s="47"/>
      <c r="BL2" s="64" t="s">
        <v>153</v>
      </c>
      <c r="BM2" s="64" t="s">
        <v>155</v>
      </c>
      <c r="BN2" s="64" t="s">
        <v>154</v>
      </c>
      <c r="BO2" s="64"/>
      <c r="BP2" s="64"/>
      <c r="BQ2" s="64"/>
      <c r="BR2" s="64"/>
      <c r="BS2" s="64"/>
      <c r="BT2" s="64"/>
      <c r="BU2" s="65"/>
      <c r="BV2" s="66" t="s">
        <v>165</v>
      </c>
      <c r="BW2" s="66">
        <v>0</v>
      </c>
      <c r="BX2" s="47"/>
      <c r="CB2" s="6" t="s">
        <v>137</v>
      </c>
      <c r="CC2" s="6"/>
      <c r="CD2" s="67">
        <v>0</v>
      </c>
      <c r="CE2" s="67">
        <v>0</v>
      </c>
      <c r="CF2" s="67" t="e">
        <v>#REF!</v>
      </c>
      <c r="CG2" s="68" cm="1">
        <f t="array" ref="CG2">SUMPRODUCT(--(LEN(TRIM(BL2:BT2))&gt;0))</f>
        <v>3</v>
      </c>
      <c r="CH2" s="59" t="str">
        <f>IF(CG2=2,"y","n")</f>
        <v>n</v>
      </c>
      <c r="CI2" s="59" t="str">
        <f>IF(CG2=3,"y","n")</f>
        <v>y</v>
      </c>
      <c r="CJ2" s="59" t="str">
        <f>IF(CG2=4,"y","n")</f>
        <v>n</v>
      </c>
      <c r="CK2" s="59" t="str">
        <f>IF(CG2&gt;4,"y","n")</f>
        <v>n</v>
      </c>
      <c r="CL2" s="59" t="str">
        <f>IF(S2=0,"y","n")</f>
        <v>n</v>
      </c>
      <c r="CM2" s="59" t="str">
        <f>IF(S2=2,"y","n")</f>
        <v>n</v>
      </c>
      <c r="CN2" s="59" t="str">
        <f>IF(S2=3,"y","n")</f>
        <v>y</v>
      </c>
      <c r="CO2" s="59" t="str">
        <f>IF(S2&gt;=4,"y","n")</f>
        <v>n</v>
      </c>
      <c r="CP2" s="59" t="str">
        <f>IF(AT2=0,"y","n")</f>
        <v>n</v>
      </c>
      <c r="CQ2" s="59" t="str">
        <f>IF(AT2=1,"y","n")</f>
        <v>y</v>
      </c>
      <c r="CR2" s="59" t="str">
        <f>IF(AT2=2,"y","n")</f>
        <v>n</v>
      </c>
      <c r="CS2" s="59" t="str">
        <f>IF(AT2&gt;=3,"y","n")</f>
        <v>n</v>
      </c>
      <c r="CT2" s="69" t="str">
        <f>CHAR(34)&amp;A2&amp;CHAR(34)</f>
        <v>"Senegal"</v>
      </c>
      <c r="CU2" s="70" t="str">
        <f>CHAR(34)&amp;"rgn_"&amp;R2&amp;CHAR(34)</f>
        <v>"rgn_Africa"</v>
      </c>
      <c r="CV2" s="48" t="str">
        <f>CHAR(34)&amp;D2&amp;CHAR(34)</f>
        <v>"https://i.ibb.co/3ztM5LQ/Senegal-Flag.png"</v>
      </c>
      <c r="CW2" s="48" t="str">
        <f>IF(CH2="y",CHAR(34)&amp;CH$1&amp;CHAR(34)&amp;",","")</f>
        <v/>
      </c>
      <c r="CX2" s="48" t="str">
        <f>IF(CI2="y",CHAR(34)&amp;CI$1&amp;CHAR(34)&amp;",","")</f>
        <v>"3Color",</v>
      </c>
      <c r="CY2" s="48" t="str">
        <f>IF(CJ2="y",CHAR(34)&amp;CJ$1&amp;CHAR(34)&amp;",","")</f>
        <v/>
      </c>
      <c r="CZ2" s="48" t="str">
        <f>IF(CK2="y",CHAR(34)&amp;CK$1&amp;CHAR(34)&amp;",","")</f>
        <v/>
      </c>
      <c r="DA2" s="48" t="str">
        <f>IF(Q2&gt;1,CHAR(34)&amp;"words2"&amp;CHAR(34)&amp;",","")</f>
        <v/>
      </c>
      <c r="DB2" s="48" t="str">
        <f>IF(Q2&gt;2,CHAR(34)&amp;"words3"&amp;CHAR(34)&amp;",","")</f>
        <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"lets07",</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"startS",</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"REEDEL",</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
      </c>
      <c r="DS2" s="6" t="str">
        <f>IF(W2="y",IF(AND(V2="n",BY2&lt;&gt;"y"),CHAR(34)&amp;"allver"&amp;CHAR(34)&amp;",",""),"")</f>
        <v>"allver",</v>
      </c>
      <c r="DT2" s="6" t="str">
        <f>IF(V2="y",IF(AND(W2="n",BY2&lt;&gt;"y"),CHAR(34)&amp;"allhor"&amp;CHAR(34)&amp;",",""),"")</f>
        <v/>
      </c>
      <c r="DU2" s="6" t="str">
        <f>IF(BY2="y",IF(AND(W2="n",V2="n"),CHAR(34)&amp;"alldia"&amp;CHAR(34)&amp;",",""),"")</f>
        <v/>
      </c>
      <c r="DV2" s="48" t="str">
        <f>IF(IA2&lt;&gt;"",(IF(IA2="y",CHAR(34)&amp;"largec"&amp;CHAR(34)&amp;",",CHAR(34)&amp;"smallc"&amp;CHAR(34)&amp;",")),"")</f>
        <v/>
      </c>
      <c r="DW2" s="48" t="str">
        <f>IF(CL2="y",CHAR(34)&amp;CL$1&amp;CHAR(34)&amp;",","")</f>
        <v/>
      </c>
      <c r="DX2" s="48" t="str">
        <f>IF(CM2="y",CHAR(34)&amp;CM$1&amp;CHAR(34)&amp;",","")</f>
        <v/>
      </c>
      <c r="DY2" s="48" t="str">
        <f>IF(CN2="y",CHAR(34)&amp;CN$1&amp;CHAR(34)&amp;",","")</f>
        <v>"3Bands",</v>
      </c>
      <c r="DZ2" s="48" t="str">
        <f>IF(CO2="y",CHAR(34)&amp;CO$1&amp;CHAR(34)&amp;",","")</f>
        <v/>
      </c>
      <c r="EA2" s="48" t="str">
        <f>IF(T2="y",CHAR(34)&amp;T$1&amp;CHAR(34)&amp;",","")</f>
        <v/>
      </c>
      <c r="EB2" s="48" t="str">
        <f>IF(U2="y",CHAR(34)&amp;U$1&amp;CHAR(34)&amp;",","")</f>
        <v/>
      </c>
      <c r="EC2" s="48" t="str">
        <f>IF(V2="y",CHAR(34)&amp;V$1&amp;CHAR(34)&amp;",","")</f>
        <v/>
      </c>
      <c r="ED2" s="48" t="str">
        <f>IF(W2="y",CHAR(34)&amp;W$1&amp;CHAR(34)&amp;",","")</f>
        <v>"Vertic",</v>
      </c>
      <c r="EE2" s="48" t="str">
        <f>IF(X2="y",CHAR(34)&amp;X$1&amp;CHAR(34)&amp;",","")</f>
        <v/>
      </c>
      <c r="EF2" s="48" t="str">
        <f>IF(AND(Y2&lt;&gt;"n",Y2&lt;&gt;""),CHAR(34)&amp;Y$1&amp;CHAR(34)&amp;",","")</f>
        <v/>
      </c>
      <c r="EG2" s="48" t="str">
        <f>IF(Z2="y",CHAR(34)&amp;Z$1&amp;CHAR(34)&amp;",","")</f>
        <v/>
      </c>
      <c r="EH2" s="48" t="str">
        <f>IF(AA2="y",CHAR(34)&amp;AA$1&amp;CHAR(34)&amp;",","")</f>
        <v/>
      </c>
      <c r="EI2" s="48" t="str">
        <f>IF(AB2="y",CHAR(34)&amp;AB$1&amp;CHAR(34)&amp;",","")</f>
        <v/>
      </c>
      <c r="EJ2" s="48" t="str">
        <f>IF(AC2="y",CHAR(34)&amp;AC$1&amp;CHAR(34)&amp;",","")</f>
        <v/>
      </c>
      <c r="EK2" s="48" t="str">
        <f>IF(AD2="y",CHAR(34)&amp;AD$1&amp;CHAR(34)&amp;",","")</f>
        <v/>
      </c>
      <c r="EL2" s="48" t="str">
        <f>IF(AE2="y",CHAR(34)&amp;AE$1&amp;CHAR(34)&amp;",","")</f>
        <v/>
      </c>
      <c r="EM2" s="48" t="str">
        <f>IF(AF2="y",CHAR(34)&amp;AF$1&amp;CHAR(34)&amp;",","")</f>
        <v/>
      </c>
      <c r="EN2" s="48" t="str">
        <f>IF(AG2="y",CHAR(34)&amp;AG$1&amp;CHAR(34)&amp;",","")</f>
        <v/>
      </c>
      <c r="EO2" s="48" t="str">
        <f>IF(AH2="y",CHAR(34)&amp;AH$1&amp;CHAR(34)&amp;",","")</f>
        <v>"Center",</v>
      </c>
      <c r="EP2" s="48" t="str">
        <f>IF(AI2="y",CHAR(34)&amp;AI$1&amp;CHAR(34)&amp;",","")</f>
        <v/>
      </c>
      <c r="EQ2" s="48" t="str">
        <f>IF(AJ2="y",CHAR(34)&amp;AJ$1&amp;CHAR(34)&amp;",","")</f>
        <v/>
      </c>
      <c r="ER2" s="48" t="str">
        <f>IF(AK2="y",CHAR(34)&amp;AK$1&amp;CHAR(34)&amp;",","")</f>
        <v/>
      </c>
      <c r="ES2" s="48" t="str">
        <f>IF(AL2="y",CHAR(34)&amp;AL$1&amp;CHAR(34)&amp;",","")</f>
        <v/>
      </c>
      <c r="ET2" s="48" t="str">
        <f>IF(AM2="y",CHAR(34)&amp;AM$1&amp;CHAR(34)&amp;",","")</f>
        <v/>
      </c>
      <c r="EU2" s="48" t="str">
        <f>IF(AN2="y",CHAR(34)&amp;AN$1&amp;CHAR(34)&amp;",","")</f>
        <v/>
      </c>
      <c r="EV2" s="48" t="str">
        <f>IF(AO2="y",CHAR(34)&amp;AO$1&amp;CHAR(34)&amp;",","")</f>
        <v/>
      </c>
      <c r="EW2" s="48" t="str">
        <f>IF(AP2="y",CHAR(34)&amp;AP$1&amp;CHAR(34)&amp;",","")</f>
        <v/>
      </c>
      <c r="EX2" s="48" t="str">
        <f>IF(AQ2="y",CHAR(34)&amp;AQ$1&amp;CHAR(34)&amp;",","")</f>
        <v/>
      </c>
      <c r="EY2" s="48" t="str">
        <f>IF(AR2="y",CHAR(34)&amp;AR$1&amp;CHAR(34)&amp;",","")</f>
        <v/>
      </c>
      <c r="EZ2" s="48" t="str">
        <f>IF(AS2="y",CHAR(34)&amp;AS$1&amp;CHAR(34)&amp;",","")</f>
        <v/>
      </c>
      <c r="FA2" s="48" t="str">
        <f>IF(AT2&gt;0,CHAR(34)&amp;"sta"&amp;AZ2&amp;CHAR(34)&amp;",","")</f>
        <v>"staGRE",</v>
      </c>
      <c r="FB2" s="48" t="str">
        <f>IF(AND(AT2&gt;0,BA2&lt;&gt;""),CHAR(34)&amp;"sta"&amp;BA2&amp;CHAR(34)&amp;",","")</f>
        <v/>
      </c>
      <c r="FC2" s="48" t="str">
        <f>IF(AND(AT2&gt;0,BB2&lt;&gt;""),CHAR(34)&amp;"sta"&amp;BB2&amp;CHAR(34)&amp;",","")</f>
        <v/>
      </c>
      <c r="FD2" s="48" t="str">
        <f>IF(BV2="n",CHAR(34)&amp;"tcWHYE"&amp;CHAR(34)&amp;",",IF(BV2="y",CHAR(34)&amp;FD$1&amp;CHAR(34)&amp;",",""))</f>
        <v/>
      </c>
      <c r="FE2" s="48" t="str">
        <f>IF(COUNTIF(BL2:BT2,"BLU")=0,CHAR(34)&amp;"NO_BLU"&amp;CHAR(34)&amp;",", "")</f>
        <v>"NO_BLU",</v>
      </c>
      <c r="FF2" s="48" t="str">
        <f>IF(COUNTIF(BL2:BT2,"WHI")=0,CHAR(34)&amp;"NO_WHI"&amp;CHAR(34)&amp;",", "")</f>
        <v>"NO_WHI",</v>
      </c>
      <c r="FG2" s="48" t="str">
        <f>IF(COUNTIF(BL2:BT2,"RED")=0,CHAR(34)&amp;"NO_RED"&amp;CHAR(34)&amp;",", "")</f>
        <v/>
      </c>
      <c r="FH2" s="48" t="str">
        <f>IF(COUNTIF(BL2:BS2,"GRE")=0,CHAR(34)&amp;"NO_GRE"&amp;CHAR(34)&amp;",", "")</f>
        <v/>
      </c>
      <c r="FI2" s="48" t="str">
        <f>IF(COUNTIF(BL2:BT2,"YEL")=0,CHAR(34)&amp;"NO_YEL"&amp;CHAR(34)&amp;",", "")</f>
        <v/>
      </c>
      <c r="FJ2" s="48" t="str">
        <f>IF(COUNTIF(BL2:BT2,"BLA")=0,CHAR(34)&amp;"NO_BLA"&amp;CHAR(34)&amp;",", "")</f>
        <v>"NO_BLA",</v>
      </c>
      <c r="FK2" s="48" t="str">
        <f>IF(AND(FH2&lt;&gt;"",FF2&lt;&gt;""),CHAR(34)&amp;"WHGRNO"&amp;CHAR(34)&amp;",","")</f>
        <v/>
      </c>
      <c r="FL2" s="48" t="str">
        <f>IF(AND(FI2&lt;&gt;"",FF2&lt;&gt;""),CHAR(34)&amp;"WHYENO"&amp;CHAR(34)&amp;",","")</f>
        <v/>
      </c>
      <c r="FM2" s="48" t="str">
        <f>IF(AND(FJ2&lt;&gt;"",FF2&lt;&gt;""),CHAR(34)&amp;"BAWHNO"&amp;CHAR(34)&amp;",","")</f>
        <v>"BAWHNO",</v>
      </c>
      <c r="FN2" s="48" t="str">
        <f>IF(AND(FE2&lt;&gt;"",FF2&lt;&gt;""),CHAR(34)&amp;"BLWHNO"&amp;CHAR(34)&amp;",","")</f>
        <v>"BLWHNO",</v>
      </c>
      <c r="FO2" s="48" t="str">
        <f>IF(AND(FE2&lt;&gt;"",FG2&lt;&gt;""),CHAR(34)&amp;"BLRENO"&amp;CHAR(34)&amp;",","")</f>
        <v/>
      </c>
      <c r="FP2" s="48" t="str">
        <f>IF(AND(FF2&lt;&gt;"",FF2&lt;&gt;""),CHAR(34)&amp;"WHRENO"&amp;CHAR(34)&amp;",","")</f>
        <v>"WHRENO",</v>
      </c>
      <c r="FQ2" s="48" t="str">
        <f>IF(LEN(BF2)=3,CHAR(34)&amp;"001"&amp;BF2&amp;CHAR(34)&amp;",","")</f>
        <v>"001GRE",</v>
      </c>
      <c r="FR2" s="48" t="str">
        <f>IF(LEN(BG2)=3,CHAR(34)&amp;"002"&amp;BG2&amp;CHAR(34)&amp;",","")</f>
        <v>"002YEL",</v>
      </c>
      <c r="FS2" s="48" t="str">
        <f>IF(LEN(BH2)=3,CHAR(34)&amp;"003"&amp;BH2&amp;CHAR(34)&amp;",","")</f>
        <v>"003RED",</v>
      </c>
      <c r="FT2" s="48" t="str">
        <f>CHAR(34)&amp;"myr"&amp;BD2&amp;CHAR(34)&amp;","</f>
        <v>"myrGRE",</v>
      </c>
      <c r="FU2" s="48" t="str">
        <f>IF(AY2="y",CHAR(34)&amp;"island"&amp;CHAR(34)&amp;",","")</f>
        <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
      </c>
      <c r="GA2" s="48" t="str">
        <f>IFERROR(IF(SEARCH("French",CB2)&gt;0,CHAR(34)&amp;"french"&amp;CHAR(34)&amp;",",""),"")</f>
        <v>"french",</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
      </c>
      <c r="GK2" s="48" t="str">
        <f>IF(GJ2="",CHAR(34)&amp;"HasSta"&amp;CHAR(34)&amp;",","")</f>
        <v>"HasSta",</v>
      </c>
      <c r="GL2" s="48" t="str">
        <f>IF(CQ2="y",CHAR(34)&amp;CQ$1&amp;CHAR(34)&amp;",","")</f>
        <v>"1Stars",</v>
      </c>
      <c r="GM2" s="48" t="str">
        <f>IF(CR2="y",CHAR(34)&amp;CR$1&amp;CHAR(34)&amp;",","")</f>
        <v/>
      </c>
      <c r="GN2" s="48" t="str">
        <f>IF(CS2="y",CHAR(34)&amp;CS$1&amp;CHAR(34)&amp;",","")</f>
        <v/>
      </c>
      <c r="GP2" s="48" t="str">
        <f>CHAR(34)&amp;AU2&amp;CHAR(34)</f>
        <v>""</v>
      </c>
      <c r="GS2" s="48" t="str">
        <f>SUBSTITUTE("["&amp;_xlfn.CONCAT(CW2:GN2)&amp;"]",",]","]")</f>
        <v>["3Color","lets07","startS","REEDEL","year19","allver","3Bands","Vertic","Center","staGRE","NO_BLU","NO_WHI","NO_BLA","BAWHNO","BLWHNO","WHRENO","001GRE","002YEL","003RED","myrGRE","french","HasSta","1Stars"]</v>
      </c>
      <c r="GT2" s="48" t="str">
        <f>IF(BL2&lt;&gt;"",CHAR(34)&amp;"cl_"&amp;BL2&amp;CHAR(34)&amp;",","")</f>
        <v>"cl_GRE",</v>
      </c>
      <c r="GU2" s="48" t="str">
        <f>IF(BM2&lt;&gt;"",CHAR(34)&amp;"cl_"&amp;BM2&amp;CHAR(34)&amp;",","")</f>
        <v>"cl_YEL",</v>
      </c>
      <c r="GV2" s="48" t="str">
        <f>IF(BN2&lt;&gt;"",CHAR(34)&amp;"cl_"&amp;BN2&amp;CHAR(34)&amp;",","")</f>
        <v>"cl_RED",</v>
      </c>
      <c r="GW2" s="48" t="str">
        <f>IF(BO2&lt;&gt;"",CHAR(34)&amp;"cl_"&amp;BO2&amp;CHAR(34)&amp;",","")</f>
        <v/>
      </c>
      <c r="GX2" s="48" t="str">
        <f>IF(BP2&lt;&gt;"",CHAR(34)&amp;"cl_"&amp;BP2&amp;CHAR(34)&amp;",","")</f>
        <v/>
      </c>
      <c r="GY2" s="48" t="str">
        <f>IF(BQ2&lt;&gt;"",CHAR(34)&amp;"cl_"&amp;BQ2&amp;CHAR(34)&amp;",","")</f>
        <v/>
      </c>
      <c r="GZ2" s="48" t="str">
        <f>IF(BR2&lt;&gt;"",CHAR(34)&amp;"cl_"&amp;BR2&amp;CHAR(34)&amp;",","")</f>
        <v/>
      </c>
      <c r="HA2" s="48" t="str">
        <f>IF(BS2&lt;&gt;"",CHAR(34)&amp;"cl_"&amp;BS2&amp;CHAR(34)&amp;",","")</f>
        <v/>
      </c>
      <c r="HB2" s="48" t="str">
        <f>IF(BT2&lt;&gt;"",CHAR(34)&amp;"cl_"&amp;BT2&amp;CHAR(34)&amp;",","")</f>
        <v/>
      </c>
      <c r="HC2" s="48" t="str">
        <f>SUBSTITUTE("["&amp;_xlfn.CONCAT(GT2:HB2)&amp;"]",",]","]")</f>
        <v>["cl_GRE","cl_YEL","cl_RED"]</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{couname:"Senegal",year:"1960 ",region:"rgn_Africa",Colors:["cl_GRE","cl_YEL","cl_RED"],Items:["3Color","lets07","startS","REEDEL","year19","allver","3Bands","Vertic","Center","staGRE","NO_BLU","NO_WHI","NO_BLA","BAWHNO","BLWHNO","WHRENO","001GRE","002YEL","003RED","myrGRE","french","HasSta","1Stars"],Flag:"https://i.ibb.co/3ztM5LQ/Senegal-Flag.png",HDFlag:"https://upload.wikimedia.org/wikipedia/commons/thumb/f/fd/Flag_of_Senegal.svg/2560px-Flag_of_Senegal.svg.png",type:"", describe: "\nSenegal was one of the oldest French colonies in Africa, and it was a place where leading intellectuals such as Léopold Senghor hoped to combine both European and African values. They consequently looked to the simple design of the French Tricolor as an inspiration for the flag of Senegal when the nation achieved autonomous status in 1958. This influence was clear when Senegal linked with the Sudanese Republic (now Mali) in the Mali Federation on April 4, 1959, and adopted a vertical tricolour of green-yellow-red with a central representation in black of a human figure known as the kanaga. Independence followed on August 20, 1960, but the federation ended and Senegal became a separate country with its own flag in September. \n\nSenegal retained the green-yellow-red flag but substituted a green star for the kanaga. Green is seen as a symbol of hope and of the country’s major religions, while yellow is for natural riches and the wealth derived from labour. Red recalls the independence struggle, life, and socialism. Those three pan-African colours had been used by individual political parties in Senegal in the 1950s and were also adopted by many nearby countries for their national flags, including Benin, Guinea, Ghana, Cameroon, and others.", isnew:".", links: "https://en.wikipedia.org/wiki/Flag_of_Senegal"},</v>
      </c>
      <c r="HG2" s="73" t="str">
        <f>"{couname:"&amp;CT2&amp;(IF(HK2&lt;&gt;"",",subtype:"&amp;CHAR(34)&amp;HK2&amp;CHAR(34),""))&amp;",year:"&amp;HJ2&amp;",region:"&amp;CU2&amp;",Colors:"&amp;HC2&amp;",Items:"&amp;GS2&amp;",Flag:"&amp;CV2&amp;",HDFlag:"&amp;CHAR(34)&amp;E2&amp;CHAR(34)&amp;",type:"&amp;GP2&amp;", describe: "&amp;HI2&amp;", links: "&amp;HL2&amp;"},"</f>
        <v>{couname:"Senegal",year:"1960 ",region:"rgn_Africa",Colors:["cl_GRE","cl_YEL","cl_RED"],Items:["3Color","lets07","startS","REEDEL","year19","allver","3Bands","Vertic","Center","staGRE","NO_BLU","NO_WHI","NO_BLA","BAWHNO","BLWHNO","WHRENO","001GRE","002YEL","003RED","myrGRE","french","HasSta","1Stars"],Flag:"https://i.ibb.co/3ztM5LQ/Senegal-Flag.png",HDFlag:"https://upload.wikimedia.org/wikipedia/commons/thumb/f/fd/Flag_of_Senegal.svg/2560px-Flag_of_Senegal.svg.png",type:"", describe: "\nSenegal was one of the oldest French colonies in Africa, and it was a place where leading intellectuals such as Léopold Senghor hoped to combine both European and African values. They consequently looked to the simple design of the French Tricolor as an inspiration for the flag of Senegal when the nation achieved autonomous status in 1958. This influence was clear when Senegal linked with the Sudanese Republic (now Mali) in the Mali Federation on April 4, 1959, and adopted a vertical tricolour of green-yellow-red with a central representation in black of a human figure known as the kanaga. Independence followed on August 20, 1960, but the federation ended and Senegal became a separate country with its own flag in September. \n\nSenegal retained the green-yellow-red flag but substituted a green star for the kanaga. Green is seen as a symbol of hope and of the country’s major religions, while yellow is for natural riches and the wealth derived from labour. Red recalls the independence struggle, life, and socialism. Those three pan-African colours had been used by individual political parties in Senegal in the 1950s and were also adopted by many nearby countries for their national flags, including Benin, Guinea, Ghana, Cameroon, and others.", links: "https://en.wikipedia.org/wiki/Flag_of_Senegal"},</v>
      </c>
      <c r="HH2" s="48" t="str">
        <f>IF(P2&lt;&gt;"",CHAR(34)&amp;"\n"&amp;P2&amp;CHAR(34),CHAR(34)&amp;CHAR(34))</f>
        <v>"\nSenegal was one of the oldest French colonies in Africa, and it was a place where leading intellectuals such as Léopold Senghor hoped to combine both European and African values. They consequently looked to the simple design of the French Tricolor as an inspiration for the flag of Senegal when the nation achieved autonomous status in 1958. This influence was clear when Senegal linked with the Sudanese Republic (now Mali) in the Mali Federation on April 4, 1959, and adopted a vertical tricolour of green-yellow-red with a central representation in black of a human figure known as the kanaga. Independence followed on August 20, 1960, but the federation ended and Senegal became a separate country with its own flag in September. \n\nSenegal retained the green-yellow-red flag but substituted a green star for the kanaga. Green is seen as a symbol of hope and of the country’s major religions, while yellow is for natural riches and the wealth derived from labour. Red recalls the independence struggle, life, and socialism. Those three pan-African colours had been used by individual political parties in Senegal in the 1950s and were also adopted by many nearby countries for their national flags, including Benin, Guinea, Ghana, Cameroon, and others."</v>
      </c>
      <c r="HI2" s="48" t="str">
        <f>IF(J2=0,CHAR(34)&amp;CHAR(34),HH2)</f>
        <v>"\nSenegal was one of the oldest French colonies in Africa, and it was a place where leading intellectuals such as Léopold Senghor hoped to combine both European and African values. They consequently looked to the simple design of the French Tricolor as an inspiration for the flag of Senegal when the nation achieved autonomous status in 1958. This influence was clear when Senegal linked with the Sudanese Republic (now Mali) in the Mali Federation on April 4, 1959, and adopted a vertical tricolour of green-yellow-red with a central representation in black of a human figure known as the kanaga. Independence followed on August 20, 1960, but the federation ended and Senegal became a separate country with its own flag in September. \n\nSenegal retained the green-yellow-red flag but substituted a green star for the kanaga. Green is seen as a symbol of hope and of the country’s major religions, while yellow is for natural riches and the wealth derived from labour. Red recalls the independence struggle, life, and socialism. Those three pan-African colours had been used by individual political parties in Senegal in the 1950s and were also adopted by many nearby countries for their national flags, including Benin, Guinea, Ghana, Cameroon, and others."</v>
      </c>
      <c r="HJ2" s="48" t="str">
        <f>CHAR(34)&amp;O2&amp;CHAR(34)</f>
        <v>"1960 "</v>
      </c>
      <c r="HL2" s="48" t="str">
        <f>CHAR(34)&amp;I2&amp;CHAR(34)</f>
        <v>"https://en.wikipedia.org/wiki/Flag_of_Senegal"</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{"couname":"Senegal","year":"1960 ","region":"rgn_Africa","Colors":["cl_GRE","cl_YEL","cl_RED"],"Items":["3Color","lets07","startS","REEDEL","year19","allver","3Bands","Vertic","Center","staGRE","NO_BLU","NO_WHI","NO_BLA","BAWHNO","BLWHNO","WHRENO","001GRE","002YEL","003RED","myrGRE","french","HasSta","1Stars"],"Flag":"https://i.ibb.co/3ztM5LQ/Senegal-Flag.png","HDFlag":"https://upload.wikimedia.org/wikipedia/commons/thumb/f/fd/Flag_of_Senegal.svg/2560px-Flag_of_Senegal.svg.png","type":"", "describe": "\nSenegal was one of the oldest French colonies in Africa, and it was a place where leading intellectuals such as Léopold Senghor hoped to combine both European and African values. They consequently looked to the simple design of the French Tricolor as an inspiration for the flag of Senegal when the nation achieved autonomous status in 1958. This influence was clear when Senegal linked with the Sudanese Republic (now Mali) in the Mali Federation on April 4, 1959, and adopted a vertical tricolour of green-yellow-red with a central representation in black of a human figure known as the kanaga. Independence followed on August 20, 1960, but the federation ended and Senegal became a separate country with its own flag in September. \n\nSenegal retained the green-yellow-red flag but substituted a green star for the kanaga. Green is seen as a symbol of hope and of the country’s major religions, while yellow is for natural riches and the wealth derived from labour. Red recalls the independence struggle, life, and socialism. Those three pan-African colours had been used by individual political parties in Senegal in the 1950s and were also adopted by many nearby countries for their national flags, including Benin, Guinea, Ghana, Cameroon, and others.", "isnew": ".", "links": "https://en.wikipedia.org/wiki/Flag_of_Senegal"},</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{"couname":"Senegal","year":"1960 ","region":"rgn_Africa","Colors":["cl_GRE","cl_YEL","cl_RED"],"Items":["3Color","lets07","startS","REEDEL","year19","allver","3Bands","Vertic","Center","staGRE","NO_BLU","NO_WHI","NO_BLA","BAWHNO","BLWHNO","WHRENO","001GRE","002YEL","003RED","myrGRE","french","HasSta","1Stars"],"Flag":"https://i.ibb.co/3ztM5LQ/Senegal-Flag.png","HDFlag":"https://upload.wikimedia.org/wikipedia/commons/thumb/f/fd/Flag_of_Senegal.svg/2560px-Flag_of_Senegal.svg.png","type":"", "describe": "\nSenegal was one of the oldest French colonies in Africa, and it was a place where leading intellectuals such as Léopold Senghor hoped to combine both European and African values. They consequently looked to the simple design of the French Tricolor as an inspiration for the flag of Senegal when the nation achieved autonomous status in 1958. This influence was clear when Senegal linked with the Sudanese Republic (now Mali) in the Mali Federation on April 4, 1959, and adopted a vertical tricolour of green-yellow-red with a central representation in black of a human figure known as the kanaga. Independence followed on August 20, 1960, but the federation ended and Senegal became a separate country with its own flag in September. \n\nSenegal retained the green-yellow-red flag but substituted a green star for the kanaga. Green is seen as a symbol of hope and of the country’s major religions, while yellow is for natural riches and the wealth derived from labour. Red recalls the independence struggle, life, and socialism. Those three pan-African colours had been used by individual political parties in Senegal in the 1950s and were also adopted by many nearby countries for their national flags, including Benin, Guinea, Ghana, Cameroon, and others.", "isnew": ".", "links": "https://en.wikipedia.org/wiki/Flag_of_Senegal"},</v>
      </c>
      <c r="HO2" s="75"/>
      <c r="HP2" s="48" t="str" cm="1">
        <f t="array" ref="HP2">IF(_xlfn.TEXTJOIN(", ", TRUE, IF(ISNUMBER(SEARCH("BLA", BL2:BT2)), COLUMN(BL2:BT2) - COLUMN(BL2) + 1, ""))&lt;&gt;"","BLA","")</f>
        <v/>
      </c>
      <c r="HQ2" s="48" t="str" cm="1">
        <f t="array" ref="HQ2">IF(_xlfn.TEXTJOIN(", ", TRUE, IF(ISNUMBER(SEARCH("BLU", BL2:BT2)), COLUMN(BL2:BT2) - COLUMN(BL2) + 1, ""))&lt;&gt;"","BLU","")</f>
        <v/>
      </c>
      <c r="HR2" s="48" t="str" cm="1">
        <f t="array" ref="HR2">IF(_xlfn.TEXTJOIN(", ", TRUE, IF(ISNUMBER(SEARCH("GRE", BL2:BT2)), COLUMN(BL2:BT2) - COLUMN(BL2) + 1, ""))&lt;&gt;"","GRE","")</f>
        <v>GRE</v>
      </c>
      <c r="HS2" s="48" t="str" cm="1">
        <f t="array" ref="HS2">IF(_xlfn.TEXTJOIN(", ", TRUE, IF(ISNUMBER(SEARCH("RED", BL2:BT2)), COLUMN(BL2:BT2) - COLUMN(BL2) + 1, ""))&lt;&gt;"","RED","")</f>
        <v>RED</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
      </c>
      <c r="HY2" s="76"/>
      <c r="HZ2" s="76"/>
      <c r="IA2" s="6"/>
      <c r="IB2" s="6"/>
      <c r="IC2" s="77"/>
      <c r="ID2" s="77"/>
      <c r="IE2" s="77"/>
      <c r="IF2" s="77"/>
      <c r="IG2" s="77"/>
      <c r="IH2" s="77"/>
      <c r="II2" s="77"/>
      <c r="IJ2" s="77"/>
      <c r="IK2" s="77"/>
      <c r="IL2" s="48">
        <f>SUM(IC2:IK2)</f>
        <v>0</v>
      </c>
      <c r="IM2" s="45">
        <f>COUNTIF(IC2:IK2,"&gt;0")-CG2</f>
        <v>-3</v>
      </c>
      <c r="IN2" s="78" t="str">
        <f>"http://mkweb.bcgsc.ca/color-summarizer/?url="&amp;D2&amp;"&amp;precision=low&amp;num_clusters="&amp;CG2&amp;"&amp;text=1"</f>
        <v>http://mkweb.bcgsc.ca/color-summarizer/?url=https://i.ibb.co/3ztM5LQ/Senegal-Flag.png&amp;precision=low&amp;num_clusters=3&amp;text=1</v>
      </c>
      <c r="IO2" s="48" t="str">
        <f>IF(HP2&lt;&gt;"",CHAR(34)&amp;"black"&amp;CHAR(34),"")</f>
        <v/>
      </c>
      <c r="IP2" s="48" t="str">
        <f>IF(HQ2&lt;&gt;"",CHAR(34)&amp;"blue"&amp;CHAR(34),"")</f>
        <v/>
      </c>
      <c r="IQ2" s="48" t="str">
        <f>IF(HR2&lt;&gt;"",CHAR(34)&amp;"green"&amp;CHAR(34),"")</f>
        <v>"green"</v>
      </c>
      <c r="IR2" s="48" t="str">
        <f>IF(HS2&lt;&gt;"",CHAR(34)&amp;"red"&amp;CHAR(34),"")</f>
        <v>"red"</v>
      </c>
      <c r="IS2" s="48" t="str">
        <f>IF(HT2&lt;&gt;"",CHAR(34)&amp;"yellow"&amp;CHAR(34),"")</f>
        <v>"yellow"</v>
      </c>
      <c r="IT2" s="48" t="str">
        <f>IF(HU2&lt;&gt;"",CHAR(34)&amp;"orange"&amp;CHAR(34),"")</f>
        <v/>
      </c>
      <c r="IU2" s="48" t="str">
        <f>IF(HV2&lt;&gt;"",CHAR(34)&amp;"brown"&amp;CHAR(34),"")</f>
        <v/>
      </c>
      <c r="IV2" s="48" t="str">
        <f>IF(HW2&lt;&gt;"",CHAR(34)&amp;"purple"&amp;CHAR(34),"")</f>
        <v/>
      </c>
      <c r="IW2" s="48" t="str">
        <f>IF(HX2&lt;&gt;"",CHAR(34)&amp;"white"&amp;CHAR(34),"")</f>
        <v/>
      </c>
      <c r="IX2" s="48" t="str">
        <f>"{"&amp;CHAR(34)&amp;"url"&amp;CHAR(34)&amp;":"&amp;CHAR(34)&amp;IN2&amp;CHAR(34)&amp;","&amp;CHAR(34)&amp;"name"&amp;CHAR(34)&amp;":"&amp;CHAR(34)&amp;A2&amp;CHAR(34)&amp;"},"</f>
        <v>{"url":"http://mkweb.bcgsc.ca/color-summarizer/?url=https://i.ibb.co/3ztM5LQ/Senegal-Flag.png&amp;precision=low&amp;num_clusters=3&amp;text=1","name":"Senegal"},</v>
      </c>
      <c r="IY2" s="48">
        <v>192</v>
      </c>
    </row>
    <row r="3" spans="1:259" s="48" customFormat="1" ht="38.4" customHeight="1" thickBot="1" x14ac:dyDescent="0.35">
      <c r="A3" s="80" t="s">
        <v>424</v>
      </c>
      <c r="B3" s="40" t="e" vm="105">
        <v>#VALUE!</v>
      </c>
      <c r="C3" s="41" t="s">
        <v>173</v>
      </c>
      <c r="D3" s="42" t="s">
        <v>425</v>
      </c>
      <c r="E3" s="43" t="s">
        <v>426</v>
      </c>
      <c r="F3" s="44" t="s">
        <v>163</v>
      </c>
      <c r="G3" s="45">
        <f>COUNTIF($A$1:$A$8395,A3)</f>
        <v>1</v>
      </c>
      <c r="H3" s="46" t="s">
        <v>430</v>
      </c>
      <c r="I3" s="47" t="s">
        <v>427</v>
      </c>
      <c r="J3" s="48" t="str">
        <f>""</f>
        <v/>
      </c>
      <c r="K3" s="49"/>
      <c r="L3" s="50"/>
      <c r="M3" s="50"/>
      <c r="N3" s="51" t="s">
        <v>180</v>
      </c>
      <c r="O3" s="52" t="s">
        <v>428</v>
      </c>
      <c r="P3" s="53" t="s">
        <v>429</v>
      </c>
      <c r="Q3" s="54">
        <v>2</v>
      </c>
      <c r="R3" s="55" t="s">
        <v>180</v>
      </c>
      <c r="S3" s="56">
        <v>0</v>
      </c>
      <c r="T3" s="57" t="s">
        <v>164</v>
      </c>
      <c r="U3" s="58" t="s">
        <v>164</v>
      </c>
      <c r="V3" s="58" t="s">
        <v>164</v>
      </c>
      <c r="W3" s="58" t="s">
        <v>164</v>
      </c>
      <c r="X3" s="58" t="s">
        <v>164</v>
      </c>
      <c r="Y3" s="58" t="s">
        <v>164</v>
      </c>
      <c r="Z3" s="58" t="s">
        <v>164</v>
      </c>
      <c r="AA3" s="58" t="s">
        <v>164</v>
      </c>
      <c r="AB3" s="58" t="s">
        <v>164</v>
      </c>
      <c r="AC3" s="58" t="s">
        <v>164</v>
      </c>
      <c r="AD3" s="58" t="s">
        <v>164</v>
      </c>
      <c r="AE3" s="58" t="s">
        <v>164</v>
      </c>
      <c r="AF3" s="59" t="s">
        <v>164</v>
      </c>
      <c r="AG3" s="59" t="s">
        <v>164</v>
      </c>
      <c r="AH3" s="59" t="s">
        <v>167</v>
      </c>
      <c r="AI3" s="59" t="s">
        <v>164</v>
      </c>
      <c r="AJ3" s="59" t="s">
        <v>164</v>
      </c>
      <c r="AK3" s="59" t="s">
        <v>164</v>
      </c>
      <c r="AL3" s="59" t="s">
        <v>164</v>
      </c>
      <c r="AM3" s="59" t="s">
        <v>164</v>
      </c>
      <c r="AN3" s="59" t="s">
        <v>164</v>
      </c>
      <c r="AO3" s="59" t="s">
        <v>164</v>
      </c>
      <c r="AP3" s="59" t="s">
        <v>164</v>
      </c>
      <c r="AQ3" s="59" t="s">
        <v>164</v>
      </c>
      <c r="AR3" s="59" t="s">
        <v>164</v>
      </c>
      <c r="AS3" s="59" t="s">
        <v>164</v>
      </c>
      <c r="AT3" s="60">
        <v>1</v>
      </c>
      <c r="AU3" s="59" t="s">
        <v>174</v>
      </c>
      <c r="AV3" s="59" t="str">
        <f>IF(LEFT(A3,1)="[",LEFT(A3,5)&amp;AU3&amp;A3,"")</f>
        <v>[SEN]Historical[SEN] French Senegal (1858-1859)</v>
      </c>
      <c r="AW3" s="59" t="str">
        <f t="shared" si="0"/>
        <v>3b[SEN] Other[SEN] French Senegal (1858-1859)</v>
      </c>
      <c r="AX3" s="61"/>
      <c r="AY3" s="61"/>
      <c r="AZ3" s="62" t="s">
        <v>155</v>
      </c>
      <c r="BA3" s="62"/>
      <c r="BB3" s="62"/>
      <c r="BC3" s="63"/>
      <c r="BD3" s="64" t="s">
        <v>153</v>
      </c>
      <c r="BE3" s="47"/>
      <c r="BF3" s="64"/>
      <c r="BG3" s="64"/>
      <c r="BH3" s="64"/>
      <c r="BI3" s="64"/>
      <c r="BJ3" s="64"/>
      <c r="BK3" s="47"/>
      <c r="BL3" s="64" t="s">
        <v>153</v>
      </c>
      <c r="BM3" s="64" t="s">
        <v>155</v>
      </c>
      <c r="BN3" s="64"/>
      <c r="BO3" s="64"/>
      <c r="BP3" s="64"/>
      <c r="BQ3" s="64"/>
      <c r="BR3" s="64"/>
      <c r="BS3" s="64"/>
      <c r="BT3" s="64"/>
      <c r="BU3" s="65"/>
      <c r="BV3" s="66"/>
      <c r="BW3" s="66">
        <v>0</v>
      </c>
      <c r="BX3" s="47"/>
      <c r="CB3" s="6"/>
      <c r="CC3" s="6"/>
      <c r="CD3" s="67">
        <v>0</v>
      </c>
      <c r="CE3" s="67">
        <v>0</v>
      </c>
      <c r="CF3" s="67" t="e">
        <v>#REF!</v>
      </c>
      <c r="CG3" s="68" cm="1">
        <f t="array" ref="CG3">SUMPRODUCT(--(LEN(TRIM(BL3:BT3))&gt;0))</f>
        <v>2</v>
      </c>
      <c r="CH3" s="59" t="str">
        <f>IF(CG3=2,"y","n")</f>
        <v>y</v>
      </c>
      <c r="CI3" s="59" t="str">
        <f>IF(CG3=3,"y","n")</f>
        <v>n</v>
      </c>
      <c r="CJ3" s="59" t="str">
        <f>IF(CG3=4,"y","n")</f>
        <v>n</v>
      </c>
      <c r="CK3" s="59" t="str">
        <f>IF(CG3&gt;4,"y","n")</f>
        <v>n</v>
      </c>
      <c r="CL3" s="59" t="str">
        <f>IF(S3=0,"y","n")</f>
        <v>y</v>
      </c>
      <c r="CM3" s="59" t="str">
        <f>IF(S3=2,"y","n")</f>
        <v>n</v>
      </c>
      <c r="CN3" s="59" t="str">
        <f>IF(S3=3,"y","n")</f>
        <v>n</v>
      </c>
      <c r="CO3" s="59" t="str">
        <f>IF(S3&gt;=4,"y","n")</f>
        <v>n</v>
      </c>
      <c r="CP3" s="59" t="str">
        <f>IF(AT3=0,"y","n")</f>
        <v>n</v>
      </c>
      <c r="CQ3" s="59" t="str">
        <f>IF(AT3=1,"y","n")</f>
        <v>y</v>
      </c>
      <c r="CR3" s="59" t="str">
        <f>IF(AT3=2,"y","n")</f>
        <v>n</v>
      </c>
      <c r="CS3" s="59" t="str">
        <f>IF(AT3&gt;=3,"y","n")</f>
        <v>n</v>
      </c>
      <c r="CT3" s="69" t="str">
        <f>CHAR(34)&amp;A3&amp;CHAR(34)</f>
        <v>"[SEN] French Senegal (1858-1859)"</v>
      </c>
      <c r="CU3" s="70" t="str">
        <f>CHAR(34)&amp;"rgn_"&amp;R3&amp;CHAR(34)</f>
        <v>"rgn_Africa"</v>
      </c>
      <c r="CV3" s="48" t="str">
        <f>CHAR(34)&amp;D3&amp;CHAR(34)</f>
        <v>"https://upload.wikimedia.org/wikipedia/commons/thumb/6/60/Flag_of_Senegal_%281958%E2%80%931959%29.svg/640px-Flag_of_Senegal_%281958%E2%80%931959%29.svg.png"</v>
      </c>
      <c r="CW3" s="48" t="str">
        <f>IF(CH3="y",CHAR(34)&amp;CH$1&amp;CHAR(34)&amp;",","")</f>
        <v>"2Color",</v>
      </c>
      <c r="CX3" s="48" t="str">
        <f>IF(CI3="y",CHAR(34)&amp;CI$1&amp;CHAR(34)&amp;",","")</f>
        <v/>
      </c>
      <c r="CY3" s="48" t="str">
        <f>IF(CJ3="y",CHAR(34)&amp;CJ$1&amp;CHAR(34)&amp;",","")</f>
        <v/>
      </c>
      <c r="CZ3" s="48" t="str">
        <f>IF(CK3="y",CHAR(34)&amp;CK$1&amp;CHAR(34)&amp;",","")</f>
        <v/>
      </c>
      <c r="DA3" s="48" t="str">
        <f>IF(Q3&gt;1,CHAR(34)&amp;"words2"&amp;CHAR(34)&amp;",","")</f>
        <v>"words2",</v>
      </c>
      <c r="DB3" s="48" t="str">
        <f>IF(Q3&gt;2,CHAR(34)&amp;"words3"&amp;CHAR(34)&amp;",","")</f>
        <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"lets23",</v>
      </c>
      <c r="DE3" s="48" t="str">
        <f>CHAR(34)&amp;"start"&amp;IFERROR(LEFT(SUBSTITUTE(A3,"["&amp;MID(A3,FIND("[",A3)+1,FIND("]",A3)-FIND("[",A3)-1)&amp;"] ",""),1),LEFT(A3,1))&amp;CHAR(34)&amp;","</f>
        <v>"startF",</v>
      </c>
      <c r="DF3" s="48" t="str">
        <f>IFERROR(IF(SEARCH("tan",A3)&gt;0,CHAR(34)&amp;"withtn"&amp;CHAR(34)&amp;",",""),"")</f>
        <v/>
      </c>
      <c r="DG3" s="48" t="str">
        <f>IFERROR(IF(SEARCH("q",A3)&gt;0,CHAR(34)&amp;"with_q"&amp;CHAR(34)&amp;",",""),"")</f>
        <v/>
      </c>
      <c r="DH3" s="48" t="str">
        <f>IFERROR(IF(SEARCH("v",A3)&gt;0,CHAR(34)&amp;"with_v"&amp;CHAR(34)&amp;",",""),"")</f>
        <v/>
      </c>
      <c r="DI3" s="48" t="str">
        <f>IFERROR(IF(SEARCH("w",A3)&gt;0,CHAR(34)&amp;"with_w"&amp;CHAR(34)&amp;",",""),"")</f>
        <v/>
      </c>
      <c r="DJ3" s="48" t="str">
        <f>IFERROR(IF(SEARCH("y",A3)&gt;0,CHAR(34)&amp;"with_y"&amp;CHAR(34)&amp;",",""),"")</f>
        <v/>
      </c>
      <c r="DK3" s="48" t="str">
        <f>IFERROR(IF(SEARCH("z",A3)&gt;0,CHAR(34)&amp;"with_z"&amp;CHAR(34)&amp;",",""),"")</f>
        <v/>
      </c>
      <c r="DL3" s="48" t="str">
        <f>IF(CG3=2, CHAR(34) &amp; _xlfn.TEXTJOIN("", TRUE, _xlfn._xlws.SORT(HP3:HX3)) &amp; CHAR(34) &amp; ",", "")</f>
        <v>"GREYEL",</v>
      </c>
      <c r="DM3" s="48" t="str" cm="1">
        <f t="array" ref="DM3">IF(CG3=3,CHAR(34) &amp; _xlfn.TEXTJOIN("", TRUE, RIGHT(HP3:HX3, 2)) &amp; CHAR(34) &amp; ",", "")</f>
        <v/>
      </c>
      <c r="DN3" s="48" t="str">
        <f>IF(AND(ISNUMBER(SEARCH("18", O3)), ISERROR(SEARCH("1918", O3)), ISERROR(SEARCH("2018", O3))), CHAR(34) &amp; "year18" &amp; CHAR(34) &amp; ",", "")</f>
        <v>"year18",</v>
      </c>
      <c r="DO3" s="48" t="str">
        <f>IF(AND(ISNUMBER(SEARCH("19", O3)), ISERROR(SEARCH("1819", O3)),  ISERROR(SEARCH("1219", O3)),ISERROR(SEARCH("1119", O3)),ISERROR(SEARCH("1190", O3)),ISERROR(SEARCH("2019", O3))), CHAR(34) &amp; "year19" &amp; CHAR(34) &amp; ",", "")</f>
        <v/>
      </c>
      <c r="DP3" s="6" t="str">
        <f>IF(AND(ISNUMBER(SEARCH("20", O3)), ISERROR(SEARCH("1920", O3))), CHAR(34)&amp;"year00"&amp;CHAR(34)&amp;",", "")</f>
        <v/>
      </c>
      <c r="DQ3" s="6" t="str">
        <f>IF(CC3="y",CHAR(34)&amp;"soviet"&amp;CHAR(34)&amp;",","")</f>
        <v/>
      </c>
      <c r="DR3" s="6" t="str">
        <f>IF(BY3="y",CHAR(34)&amp;"dgband"&amp;CHAR(34)&amp;",","")</f>
        <v/>
      </c>
      <c r="DS3" s="6" t="str">
        <f>IF(W3="y",IF(AND(V3="n",BY3&lt;&gt;"y"),CHAR(34)&amp;"allver"&amp;CHAR(34)&amp;",",""),"")</f>
        <v/>
      </c>
      <c r="DT3" s="6" t="str">
        <f>IF(V3="y",IF(AND(W3="n",BY3&lt;&gt;"y"),CHAR(34)&amp;"allhor"&amp;CHAR(34)&amp;",",""),"")</f>
        <v/>
      </c>
      <c r="DU3" s="6" t="str">
        <f>IF(BY3="y",IF(AND(W3="n",V3="n"),CHAR(34)&amp;"alldia"&amp;CHAR(34)&amp;",",""),"")</f>
        <v/>
      </c>
      <c r="DW3" s="48" t="str">
        <f>IF(CL3="y",CHAR(34)&amp;CL$1&amp;CHAR(34)&amp;",","")</f>
        <v>"NoBand",</v>
      </c>
      <c r="DX3" s="48" t="str">
        <f>IF(CM3="y",CHAR(34)&amp;CM$1&amp;CHAR(34)&amp;",","")</f>
        <v/>
      </c>
      <c r="DY3" s="48" t="str">
        <f>IF(CN3="y",CHAR(34)&amp;CN$1&amp;CHAR(34)&amp;",","")</f>
        <v/>
      </c>
      <c r="DZ3" s="48" t="str">
        <f>IF(CO3="y",CHAR(34)&amp;CO$1&amp;CHAR(34)&amp;",","")</f>
        <v/>
      </c>
      <c r="EA3" s="48" t="str">
        <f>IF(T3="y",CHAR(34)&amp;T$1&amp;CHAR(34)&amp;",","")</f>
        <v/>
      </c>
      <c r="EB3" s="48" t="str">
        <f>IF(U3="y",CHAR(34)&amp;U$1&amp;CHAR(34)&amp;",","")</f>
        <v/>
      </c>
      <c r="EC3" s="48" t="str">
        <f>IF(V3="y",CHAR(34)&amp;V$1&amp;CHAR(34)&amp;",","")</f>
        <v/>
      </c>
      <c r="ED3" s="48" t="str">
        <f>IF(W3="y",CHAR(34)&amp;W$1&amp;CHAR(34)&amp;",","")</f>
        <v/>
      </c>
      <c r="EE3" s="48" t="str">
        <f>IF(X3="y",CHAR(34)&amp;X$1&amp;CHAR(34)&amp;",","")</f>
        <v/>
      </c>
      <c r="EF3" s="48" t="str">
        <f>IF(AND(Y3&lt;&gt;"n",Y3&lt;&gt;""),CHAR(34)&amp;Y$1&amp;CHAR(34)&amp;",","")</f>
        <v/>
      </c>
      <c r="EG3" s="48" t="str">
        <f>IF(Z3="y",CHAR(34)&amp;Z$1&amp;CHAR(34)&amp;",","")</f>
        <v/>
      </c>
      <c r="EH3" s="48" t="str">
        <f>IF(AA3="y",CHAR(34)&amp;AA$1&amp;CHAR(34)&amp;",","")</f>
        <v/>
      </c>
      <c r="EI3" s="48" t="str">
        <f>IF(AB3="y",CHAR(34)&amp;AB$1&amp;CHAR(34)&amp;",","")</f>
        <v/>
      </c>
      <c r="EJ3" s="48" t="str">
        <f>IF(AC3="y",CHAR(34)&amp;AC$1&amp;CHAR(34)&amp;",","")</f>
        <v/>
      </c>
      <c r="EK3" s="48" t="str">
        <f>IF(AD3="y",CHAR(34)&amp;AD$1&amp;CHAR(34)&amp;",","")</f>
        <v/>
      </c>
      <c r="EL3" s="48" t="str">
        <f>IF(AE3="y",CHAR(34)&amp;AE$1&amp;CHAR(34)&amp;",","")</f>
        <v/>
      </c>
      <c r="EM3" s="48" t="str">
        <f>IF(AF3="y",CHAR(34)&amp;AF$1&amp;CHAR(34)&amp;",","")</f>
        <v/>
      </c>
      <c r="EN3" s="48" t="str">
        <f>IF(AG3="y",CHAR(34)&amp;AG$1&amp;CHAR(34)&amp;",","")</f>
        <v/>
      </c>
      <c r="EO3" s="48" t="str">
        <f>IF(AH3="y",CHAR(34)&amp;AH$1&amp;CHAR(34)&amp;",","")</f>
        <v>"Center",</v>
      </c>
      <c r="EP3" s="48" t="str">
        <f>IF(AI3="y",CHAR(34)&amp;AI$1&amp;CHAR(34)&amp;",","")</f>
        <v/>
      </c>
      <c r="EQ3" s="48" t="str">
        <f>IF(AJ3="y",CHAR(34)&amp;AJ$1&amp;CHAR(34)&amp;",","")</f>
        <v/>
      </c>
      <c r="ER3" s="48" t="str">
        <f>IF(AK3="y",CHAR(34)&amp;AK$1&amp;CHAR(34)&amp;",","")</f>
        <v/>
      </c>
      <c r="ES3" s="48" t="str">
        <f>IF(AL3="y",CHAR(34)&amp;AL$1&amp;CHAR(34)&amp;",","")</f>
        <v/>
      </c>
      <c r="ET3" s="48" t="str">
        <f>IF(AM3="y",CHAR(34)&amp;AM$1&amp;CHAR(34)&amp;",","")</f>
        <v/>
      </c>
      <c r="EU3" s="48" t="str">
        <f>IF(AN3="y",CHAR(34)&amp;AN$1&amp;CHAR(34)&amp;",","")</f>
        <v/>
      </c>
      <c r="EV3" s="48" t="str">
        <f>IF(AO3="y",CHAR(34)&amp;AO$1&amp;CHAR(34)&amp;",","")</f>
        <v/>
      </c>
      <c r="EW3" s="48" t="str">
        <f>IF(AP3="y",CHAR(34)&amp;AP$1&amp;CHAR(34)&amp;",","")</f>
        <v/>
      </c>
      <c r="EX3" s="48" t="str">
        <f>IF(AQ3="y",CHAR(34)&amp;AQ$1&amp;CHAR(34)&amp;",","")</f>
        <v/>
      </c>
      <c r="EY3" s="48" t="str">
        <f>IF(AR3="y",CHAR(34)&amp;AR$1&amp;CHAR(34)&amp;",","")</f>
        <v/>
      </c>
      <c r="EZ3" s="48" t="str">
        <f>IF(AS3="y",CHAR(34)&amp;AS$1&amp;CHAR(34)&amp;",","")</f>
        <v/>
      </c>
      <c r="FA3" s="48" t="str">
        <f>IF(AT3&gt;0,CHAR(34)&amp;"sta"&amp;AZ3&amp;CHAR(34)&amp;",","")</f>
        <v>"staYEL",</v>
      </c>
      <c r="FB3" s="48" t="str">
        <f>IF(AND(AT3&gt;0,BA3&lt;&gt;""),CHAR(34)&amp;"sta"&amp;BA3&amp;CHAR(34)&amp;",","")</f>
        <v/>
      </c>
      <c r="FD3" s="48" t="str">
        <f>IF(BV3="n",CHAR(34)&amp;"tcWHYE"&amp;CHAR(34)&amp;",",IF(BV3="y",CHAR(34)&amp;FD$1&amp;CHAR(34)&amp;",",""))</f>
        <v/>
      </c>
      <c r="FE3" s="48" t="str">
        <f>IF(COUNTIF(BL3:BT3,"BLU")=0,CHAR(34)&amp;"NO_BLU"&amp;CHAR(34)&amp;",", "")</f>
        <v>"NO_BLU",</v>
      </c>
      <c r="FF3" s="48" t="str">
        <f>IF(COUNTIF(BL3:BT3,"WHI")=0,CHAR(34)&amp;"NO_WHI"&amp;CHAR(34)&amp;",", "")</f>
        <v>"NO_WHI",</v>
      </c>
      <c r="FG3" s="48" t="str">
        <f>IF(COUNTIF(BL3:BT3,"RED")=0,CHAR(34)&amp;"NO_RED"&amp;CHAR(34)&amp;",", "")</f>
        <v>"NO_RED",</v>
      </c>
      <c r="FH3" s="48" t="str">
        <f>IF(COUNTIF(BL3:BS3,"GRE")=0,CHAR(34)&amp;"NO_GRE"&amp;CHAR(34)&amp;",", "")</f>
        <v/>
      </c>
      <c r="FI3" s="48" t="str">
        <f>IF(COUNTIF(BL3:BT3,"YEL")=0,CHAR(34)&amp;"NO_YEL"&amp;CHAR(34)&amp;",", "")</f>
        <v/>
      </c>
      <c r="FJ3" s="48" t="str">
        <f>IF(COUNTIF(BL3:BT3,"BLA")=0,CHAR(34)&amp;"NO_BLA"&amp;CHAR(34)&amp;",", "")</f>
        <v>"NO_BLA",</v>
      </c>
      <c r="FK3" s="48" t="str">
        <f>IF(AND(FH3&lt;&gt;"",FF3&lt;&gt;""),CHAR(34)&amp;"WHGRNO"&amp;CHAR(34)&amp;",","")</f>
        <v/>
      </c>
      <c r="FL3" s="48" t="str">
        <f>IF(AND(FI3&lt;&gt;"",FF3&lt;&gt;""),CHAR(34)&amp;"WHYENO"&amp;CHAR(34)&amp;",","")</f>
        <v/>
      </c>
      <c r="FM3" s="48" t="str">
        <f>IF(AND(FJ3&lt;&gt;"",FF3&lt;&gt;""),CHAR(34)&amp;"BAWHNO"&amp;CHAR(34)&amp;",","")</f>
        <v>"BAWHNO",</v>
      </c>
      <c r="FN3" s="48" t="str">
        <f>IF(AND(FE3&lt;&gt;"",FF3&lt;&gt;""),CHAR(34)&amp;"BLWHNO"&amp;CHAR(34)&amp;",","")</f>
        <v>"BLWHNO",</v>
      </c>
      <c r="FO3" s="48" t="str">
        <f>IF(AND(FE3&lt;&gt;"",FG3&lt;&gt;""),CHAR(34)&amp;"BLRENO"&amp;CHAR(34)&amp;",","")</f>
        <v>"BLRENO",</v>
      </c>
      <c r="FP3" s="48" t="str">
        <f>IF(AND(FF3&lt;&gt;"",FF3&lt;&gt;""),CHAR(34)&amp;"WHRENO"&amp;CHAR(34)&amp;",","")</f>
        <v>"WHRENO",</v>
      </c>
      <c r="FQ3" s="48" t="str">
        <f>IF(LEN(BF3)=3,CHAR(34)&amp;"001"&amp;BF3&amp;CHAR(34)&amp;",","")</f>
        <v/>
      </c>
      <c r="FR3" s="48" t="str">
        <f>IF(LEN(BG3)=3,CHAR(34)&amp;"002"&amp;BG3&amp;CHAR(34)&amp;",","")</f>
        <v/>
      </c>
      <c r="FS3" s="48" t="str">
        <f>IF(LEN(BH3)=3,CHAR(34)&amp;"003"&amp;BH3&amp;CHAR(34)&amp;",","")</f>
        <v/>
      </c>
      <c r="FT3" s="48" t="str">
        <f>CHAR(34)&amp;"myr"&amp;BD3&amp;CHAR(34)&amp;","</f>
        <v>"myrGRE",</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"histor",</v>
      </c>
      <c r="GG3" s="48" t="str">
        <f>IF(BU3="y",CHAR(34)&amp;"unjack"&amp;CHAR(34)&amp;",","")</f>
        <v/>
      </c>
      <c r="GH3" s="48" t="str">
        <f>IF(CD3=1,CHAR(34)&amp;"southc"&amp;CHAR(34)&amp;",","")</f>
        <v/>
      </c>
      <c r="GI3" s="48" t="str">
        <f>IF(CE3=1,CHAR(34)&amp;"hasmap"&amp;CHAR(34)&amp;",","")</f>
        <v/>
      </c>
      <c r="GJ3" s="48" t="str">
        <f>IF(CP3="y",CHAR(34)&amp;CP$1&amp;CHAR(34)&amp;",","")</f>
        <v/>
      </c>
      <c r="GK3" s="48" t="str">
        <f>IF(GJ3="",CHAR(34)&amp;"HasSta"&amp;CHAR(34)&amp;",","")</f>
        <v>"HasSta",</v>
      </c>
      <c r="GL3" s="48" t="str">
        <f>IF(CQ3="y",CHAR(34)&amp;CQ$1&amp;CHAR(34)&amp;",","")</f>
        <v>"1Stars",</v>
      </c>
      <c r="GM3" s="48" t="str">
        <f>IF(CR3="y",CHAR(34)&amp;CR$1&amp;CHAR(34)&amp;",","")</f>
        <v/>
      </c>
      <c r="GN3" s="48" t="str">
        <f>IF(CS3="y",CHAR(34)&amp;CS$1&amp;CHAR(34)&amp;",","")</f>
        <v/>
      </c>
      <c r="GP3" s="48" t="str">
        <f>CHAR(34)&amp;AU3&amp;CHAR(34)</f>
        <v>"Historical"</v>
      </c>
      <c r="GS3" s="48" t="str">
        <f>SUBSTITUTE("["&amp;_xlfn.CONCAT(CW3:GN3)&amp;"]",",]","]")</f>
        <v>["2Color","words2","lets23","startF","GREYEL","year18","NoBand","Center","staYEL","NO_BLU","NO_WHI","NO_RED","NO_BLA","BAWHNO","BLWHNO","BLRENO","WHRENO","myrGRE","histor","HasSta","1Stars"]</v>
      </c>
      <c r="GT3" s="48" t="str">
        <f>IF(BL3&lt;&gt;"",CHAR(34)&amp;"cl_"&amp;BL3&amp;CHAR(34)&amp;",","")</f>
        <v>"cl_GRE",</v>
      </c>
      <c r="GU3" s="48" t="str">
        <f>IF(BM3&lt;&gt;"",CHAR(34)&amp;"cl_"&amp;BM3&amp;CHAR(34)&amp;",","")</f>
        <v>"cl_YEL",</v>
      </c>
      <c r="GV3" s="48" t="str">
        <f>IF(BN3&lt;&gt;"",CHAR(34)&amp;"cl_"&amp;BN3&amp;CHAR(34)&amp;",","")</f>
        <v/>
      </c>
      <c r="GW3" s="48" t="str">
        <f>IF(BO3&lt;&gt;"",CHAR(34)&amp;"cl_"&amp;BO3&amp;CHAR(34)&amp;",","")</f>
        <v/>
      </c>
      <c r="GX3" s="48" t="str">
        <f>IF(BP3&lt;&gt;"",CHAR(34)&amp;"cl_"&amp;BP3&amp;CHAR(34)&amp;",","")</f>
        <v/>
      </c>
      <c r="GY3" s="48" t="str">
        <f>IF(BQ3&lt;&gt;"",CHAR(34)&amp;"cl_"&amp;BQ3&amp;CHAR(34)&amp;",","")</f>
        <v/>
      </c>
      <c r="GZ3" s="48" t="str">
        <f>IF(BR3&lt;&gt;"",CHAR(34)&amp;"cl_"&amp;BR3&amp;CHAR(34)&amp;",","")</f>
        <v/>
      </c>
      <c r="HA3" s="48" t="str">
        <f>IF(BS3&lt;&gt;"",CHAR(34)&amp;"cl_"&amp;BS3&amp;CHAR(34)&amp;",","")</f>
        <v/>
      </c>
      <c r="HB3" s="48" t="str">
        <f>IF(BT3&lt;&gt;"",CHAR(34)&amp;"cl_"&amp;BT3&amp;CHAR(34)&amp;",","")</f>
        <v/>
      </c>
      <c r="HC3" s="48" t="str">
        <f>SUBSTITUTE("["&amp;_xlfn.CONCAT(GT3:HB3)&amp;"]",",]","]")</f>
        <v>["cl_GRE","cl_YEL"]</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{couname:"[SEN] French Senegal (1858-1859)",year:"1858",region:"rgn_Africa",Colors:["cl_GRE","cl_YEL"],Items:["2Color","words2","lets23","startF","GREYEL","year18","NoBand","Center","staYEL","NO_BLU","NO_WHI","NO_RED","NO_BLA","BAWHNO","BLWHNO","BLRENO","WHRENO","myrGRE","histor","HasSta","1Stars"],Flag:"https://upload.wikimedia.org/wikipedia/commons/thumb/6/60/Flag_of_Senegal_%281958%E2%80%931959%29.svg/640px-Flag_of_Senegal_%281958%E2%80%931959%29.svg.png",HDFlag:"https://upload.wikimedia.org/wikipedia/commons/thumb/6/60/Flag_of_Senegal_%281958%E2%80%931959%29.svg/2560px-Flag_of_Senegal_%281958%E2%80%931959%29.svg.png",type:"Historical", describe: "\nPre-independence flag", isnew:".", links: "https://en.wikipedia.org/wiki/History_of_Senegal#French_period"},</v>
      </c>
      <c r="HG3" s="73" t="str">
        <f>"{couname:"&amp;CT3&amp;(IF(HK3&lt;&gt;"",",subtype:"&amp;CHAR(34)&amp;HK3&amp;CHAR(34),""))&amp;",year:"&amp;HJ3&amp;",region:"&amp;CU3&amp;",Colors:"&amp;HC3&amp;",Items:"&amp;GS3&amp;",Flag:"&amp;CV3&amp;",HDFlag:"&amp;CHAR(34)&amp;E3&amp;CHAR(34)&amp;",type:"&amp;GP3&amp;", describe: "&amp;HI3&amp;", links: "&amp;HL3&amp;"},"</f>
        <v>{couname:"[SEN] French Senegal (1858-1859)",year:"1858",region:"rgn_Africa",Colors:["cl_GRE","cl_YEL"],Items:["2Color","words2","lets23","startF","GREYEL","year18","NoBand","Center","staYEL","NO_BLU","NO_WHI","NO_RED","NO_BLA","BAWHNO","BLWHNO","BLRENO","WHRENO","myrGRE","histor","HasSta","1Stars"],Flag:"https://upload.wikimedia.org/wikipedia/commons/thumb/6/60/Flag_of_Senegal_%281958%E2%80%931959%29.svg/640px-Flag_of_Senegal_%281958%E2%80%931959%29.svg.png",HDFlag:"https://upload.wikimedia.org/wikipedia/commons/thumb/6/60/Flag_of_Senegal_%281958%E2%80%931959%29.svg/2560px-Flag_of_Senegal_%281958%E2%80%931959%29.svg.png",type:"Historical", describe: "\nPre-independence flag", links: "https://en.wikipedia.org/wiki/History_of_Senegal#French_period"},</v>
      </c>
      <c r="HH3" s="48" t="str">
        <f>IF(P3&lt;&gt;"",CHAR(34)&amp;"\n"&amp;P3&amp;CHAR(34),CHAR(34)&amp;CHAR(34))</f>
        <v>"\nPre-independence flag"</v>
      </c>
      <c r="HI3" s="48" t="str">
        <f>IF(J3=0,CHAR(34)&amp;CHAR(34),HH3)</f>
        <v>"\nPre-independence flag"</v>
      </c>
      <c r="HJ3" s="48" t="str">
        <f>CHAR(34)&amp;O3&amp;CHAR(34)</f>
        <v>"1858"</v>
      </c>
      <c r="HL3" s="48" t="str">
        <f>CHAR(34)&amp;I3&amp;CHAR(34)</f>
        <v>"https://en.wikipedia.org/wiki/History_of_Senegal#French_period"</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{"couname":"[SEN] French Senegal (1858-1859)","subtype":"[SEN] Other","year":"1858","region":"rgn_Africa","Colors":["cl_GRE","cl_YEL"],"Items":["2Color","words2","lets23","startF","GREYEL","year18","NoBand","Center","staYEL","NO_BLU","NO_WHI","NO_RED","NO_BLA","BAWHNO","BLWHNO","BLRENO","WHRENO","myrGRE","histor","HasSta","1Stars"],"Flag":"https://upload.wikimedia.org/wikipedia/commons/thumb/6/60/Flag_of_Senegal_%281958%E2%80%931959%29.svg/640px-Flag_of_Senegal_%281958%E2%80%931959%29.svg.png","HDFlag":"https://upload.wikimedia.org/wikipedia/commons/thumb/6/60/Flag_of_Senegal_%281958%E2%80%931959%29.svg/2560px-Flag_of_Senegal_%281958%E2%80%931959%29.svg.png","type":"Historical", "describe": "\nPre-independence flag", "isnew": ".", "links": "https://en.wikipedia.org/wiki/History_of_Senegal#French_period"},</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{"couname":"[SEN] French Senegal (1858-1859)","subtype":"[SEN] Other","year":"1858","region":"rgn_Africa","Colors":["cl_GRE","cl_YEL"],"Items":["2Color","words2","lets23","startF","GREYEL","year18","NoBand","Center","staYEL","NO_BLU","NO_WHI","NO_RED","NO_BLA","BAWHNO","BLWHNO","BLRENO","WHRENO","myrGRE","histor","HasSta","1Stars"],"Flag":"https://upload.wikimedia.org/wikipedia/commons/thumb/6/60/Flag_of_Senegal_%281958%E2%80%931959%29.svg/640px-Flag_of_Senegal_%281958%E2%80%931959%29.svg.png","HDFlag":"https://upload.wikimedia.org/wikipedia/commons/thumb/6/60/Flag_of_Senegal_%281958%E2%80%931959%29.svg/2560px-Flag_of_Senegal_%281958%E2%80%931959%29.svg.png","type":"Historical", "describe": "\nPre-independence flag", "isnew": ".", "links": "https://en.wikipedia.org/wiki/History_of_Senegal#French_period"},</v>
      </c>
      <c r="HO3" s="75">
        <v>45596</v>
      </c>
      <c r="HP3" s="48" t="str" cm="1">
        <f t="array" ref="HP3">IF(_xlfn.TEXTJOIN(", ", TRUE, IF(ISNUMBER(SEARCH("BLA", BL3:BT3)), COLUMN(BL3:BT3) - COLUMN(BL3) + 1, ""))&lt;&gt;"","BLA","")</f>
        <v/>
      </c>
      <c r="HQ3" s="48" t="str" cm="1">
        <f t="array" ref="HQ3">IF(_xlfn.TEXTJOIN(", ", TRUE, IF(ISNUMBER(SEARCH("BLU", BL3:BT3)), COLUMN(BL3:BT3) - COLUMN(BL3) + 1, ""))&lt;&gt;"","BLU","")</f>
        <v/>
      </c>
      <c r="HR3" s="48" t="str" cm="1">
        <f t="array" ref="HR3">IF(_xlfn.TEXTJOIN(", ", TRUE, IF(ISNUMBER(SEARCH("GRE", BL3:BT3)), COLUMN(BL3:BT3) - COLUMN(BL3) + 1, ""))&lt;&gt;"","GRE","")</f>
        <v>GRE</v>
      </c>
      <c r="HS3" s="48" t="str" cm="1">
        <f t="array" ref="HS3">IF(_xlfn.TEXTJOIN(", ", TRUE, IF(ISNUMBER(SEARCH("RED", BL3:BT3)), COLUMN(BL3:BT3) - COLUMN(BL3) + 1, ""))&lt;&gt;"","RED","")</f>
        <v/>
      </c>
      <c r="HT3" s="48" t="str" cm="1">
        <f t="array" ref="HT3">IF(_xlfn.TEXTJOIN(", ", TRUE, IF(ISNUMBER(SEARCH("YEL", BL3:BT3)), COLUMN(BL3:BT3) - COLUMN(BL3) + 1, ""))&lt;&gt;"","YEL","")</f>
        <v>YEL</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
      </c>
      <c r="HY3" s="76"/>
      <c r="HZ3" s="76"/>
      <c r="IA3" s="6"/>
      <c r="IB3" s="6"/>
      <c r="IC3" s="77"/>
      <c r="ID3" s="77"/>
      <c r="IE3" s="77"/>
      <c r="IF3" s="77"/>
      <c r="IG3" s="77"/>
      <c r="IH3" s="77"/>
      <c r="II3" s="77"/>
      <c r="IJ3" s="77"/>
      <c r="IK3" s="77"/>
      <c r="IM3" s="45">
        <f>COUNTIF(IC3:IK3,"&gt;0")-CG3</f>
        <v>-2</v>
      </c>
      <c r="IN3" s="78" t="str">
        <f>"http://mkweb.bcgsc.ca/color-summarizer/?url="&amp;D3&amp;"&amp;precision=low&amp;num_clusters="&amp;CG3&amp;"&amp;text=1"</f>
        <v>http://mkweb.bcgsc.ca/color-summarizer/?url=https://upload.wikimedia.org/wikipedia/commons/thumb/6/60/Flag_of_Senegal_%281958%E2%80%931959%29.svg/640px-Flag_of_Senegal_%281958%E2%80%931959%29.svg.png&amp;precision=low&amp;num_clusters=2&amp;text=1</v>
      </c>
      <c r="IO3" s="48" t="str">
        <f>IF(HP3&lt;&gt;"",CHAR(34)&amp;"black"&amp;CHAR(34),"")</f>
        <v/>
      </c>
      <c r="IP3" s="48" t="str">
        <f>IF(HQ3&lt;&gt;"",CHAR(34)&amp;"blue"&amp;CHAR(34),"")</f>
        <v/>
      </c>
      <c r="IQ3" s="48" t="str">
        <f>IF(HR3&lt;&gt;"",CHAR(34)&amp;"green"&amp;CHAR(34),"")</f>
        <v>"green"</v>
      </c>
      <c r="IR3" s="48" t="str">
        <f>IF(HS3&lt;&gt;"",CHAR(34)&amp;"red"&amp;CHAR(34),"")</f>
        <v/>
      </c>
      <c r="IS3" s="48" t="str">
        <f>IF(HT3&lt;&gt;"",CHAR(34)&amp;"yellow"&amp;CHAR(34),"")</f>
        <v>"yellow"</v>
      </c>
      <c r="IT3" s="48" t="str">
        <f>IF(HU3&lt;&gt;"",CHAR(34)&amp;"orange"&amp;CHAR(34),"")</f>
        <v/>
      </c>
      <c r="IU3" s="48" t="str">
        <f>IF(HV3&lt;&gt;"",CHAR(34)&amp;"brown"&amp;CHAR(34),"")</f>
        <v/>
      </c>
      <c r="IV3" s="48" t="str">
        <f>IF(HW3&lt;&gt;"",CHAR(34)&amp;"purple"&amp;CHAR(34),"")</f>
        <v/>
      </c>
      <c r="IW3" s="48" t="str">
        <f>IF(HX3&lt;&gt;"",CHAR(34)&amp;"white"&amp;CHAR(34),"")</f>
        <v/>
      </c>
      <c r="IX3" s="48" t="str">
        <f>"{"&amp;CHAR(34)&amp;"url"&amp;CHAR(34)&amp;":"&amp;CHAR(34)&amp;IN3&amp;CHAR(34)&amp;","&amp;CHAR(34)&amp;"name"&amp;CHAR(34)&amp;":"&amp;CHAR(34)&amp;A3&amp;CHAR(34)&amp;"},"</f>
        <v>{"url":"http://mkweb.bcgsc.ca/color-summarizer/?url=https://upload.wikimedia.org/wikipedia/commons/thumb/6/60/Flag_of_Senegal_%281958%E2%80%931959%29.svg/640px-Flag_of_Senegal_%281958%E2%80%931959%29.svg.png&amp;precision=low&amp;num_clusters=2&amp;text=1","name":"[SEN] French Senegal (1858-1859)"},</v>
      </c>
      <c r="IY3" s="48">
        <v>1410</v>
      </c>
    </row>
    <row r="4" spans="1:259" ht="38.4" customHeight="1" x14ac:dyDescent="0.3">
      <c r="F4" s="82"/>
      <c r="G4" s="82"/>
      <c r="H4" s="82"/>
      <c r="I4" s="82"/>
      <c r="J4" s="82"/>
      <c r="K4" s="82"/>
    </row>
    <row r="5" spans="1:259" ht="38.4" customHeight="1" x14ac:dyDescent="0.3">
      <c r="F5" s="82"/>
      <c r="G5" s="82"/>
      <c r="H5" s="82"/>
      <c r="I5" s="82"/>
      <c r="J5" s="82"/>
      <c r="K5" s="82"/>
    </row>
    <row r="6" spans="1:259" ht="38.4" customHeight="1" x14ac:dyDescent="0.3">
      <c r="F6" s="82"/>
      <c r="G6" s="82"/>
      <c r="H6" s="82"/>
      <c r="I6" s="82"/>
      <c r="J6" s="82"/>
      <c r="K6" s="82"/>
    </row>
  </sheetData>
  <autoFilter ref="A1:IY1" xr:uid="{A1051193-A95B-4CFB-A73C-F0184620C81F}">
    <sortState xmlns:xlrd2="http://schemas.microsoft.com/office/spreadsheetml/2017/richdata2" ref="A2:IY5">
      <sortCondition ref="AW1"/>
    </sortState>
  </autoFilter>
  <conditionalFormatting sqref="H1 CW1:GS1 IA1:IB1">
    <cfRule type="cellIs" dxfId="1742" priority="118" operator="greaterThan">
      <formula>0</formula>
    </cfRule>
  </conditionalFormatting>
  <conditionalFormatting sqref="H1 H7:H1048576">
    <cfRule type="cellIs" dxfId="1741" priority="84" stopIfTrue="1" operator="notEqual">
      <formula>""</formula>
    </cfRule>
  </conditionalFormatting>
  <conditionalFormatting sqref="T1:BK1">
    <cfRule type="cellIs" dxfId="1740" priority="121" operator="greaterThan">
      <formula>0</formula>
    </cfRule>
  </conditionalFormatting>
  <conditionalFormatting sqref="BV1:BW1 BV4:BW1048576">
    <cfRule type="cellIs" dxfId="1739" priority="120" operator="equal">
      <formula>"nc"</formula>
    </cfRule>
  </conditionalFormatting>
  <conditionalFormatting sqref="HF1:HG1">
    <cfRule type="cellIs" dxfId="1738" priority="122" operator="greaterThan">
      <formula>0</formula>
    </cfRule>
  </conditionalFormatting>
  <conditionalFormatting sqref="HK1">
    <cfRule type="cellIs" dxfId="1737" priority="119" operator="greaterThan">
      <formula>0</formula>
    </cfRule>
  </conditionalFormatting>
  <conditionalFormatting sqref="HP1:HX1">
    <cfRule type="cellIs" dxfId="1736" priority="96" operator="equal">
      <formula>"PIN"</formula>
    </cfRule>
    <cfRule type="cellIs" dxfId="1735" priority="97" operator="equal">
      <formula>"ORA"</formula>
    </cfRule>
    <cfRule type="cellIs" dxfId="1734" priority="98" operator="equal">
      <formula>"GRA"</formula>
    </cfRule>
    <cfRule type="cellIs" dxfId="1733" priority="99" operator="equal">
      <formula>"PUR"</formula>
    </cfRule>
    <cfRule type="cellIs" dxfId="1732" priority="100" operator="equal">
      <formula>"BRO"</formula>
    </cfRule>
    <cfRule type="cellIs" dxfId="1731" priority="101" operator="equal">
      <formula>"YEL"</formula>
    </cfRule>
    <cfRule type="cellIs" dxfId="1730" priority="102" operator="equal">
      <formula>"BLU"</formula>
    </cfRule>
    <cfRule type="cellIs" dxfId="1729" priority="103" operator="equal">
      <formula>"WHI"</formula>
    </cfRule>
    <cfRule type="cellIs" dxfId="1728" priority="104" operator="equal">
      <formula>"GRE"</formula>
    </cfRule>
    <cfRule type="cellIs" dxfId="1727" priority="105" operator="equal">
      <formula>"RED"</formula>
    </cfRule>
    <cfRule type="cellIs" dxfId="1726" priority="106" operator="equal">
      <formula>"BLA"</formula>
    </cfRule>
  </conditionalFormatting>
  <conditionalFormatting sqref="IC1:IK1">
    <cfRule type="cellIs" dxfId="1725" priority="107" operator="equal">
      <formula>"PIN"</formula>
    </cfRule>
    <cfRule type="cellIs" dxfId="1724" priority="108" operator="equal">
      <formula>"ORA"</formula>
    </cfRule>
    <cfRule type="cellIs" dxfId="1723" priority="109" operator="equal">
      <formula>"GRA"</formula>
    </cfRule>
    <cfRule type="cellIs" dxfId="1722" priority="110" operator="equal">
      <formula>"PUR"</formula>
    </cfRule>
    <cfRule type="cellIs" dxfId="1721" priority="111" operator="equal">
      <formula>"BRO"</formula>
    </cfRule>
    <cfRule type="cellIs" dxfId="1720" priority="112" operator="equal">
      <formula>"YEL"</formula>
    </cfRule>
    <cfRule type="cellIs" dxfId="1719" priority="113" operator="equal">
      <formula>"BLU"</formula>
    </cfRule>
    <cfRule type="cellIs" dxfId="1718" priority="114" operator="equal">
      <formula>"WHI"</formula>
    </cfRule>
    <cfRule type="cellIs" dxfId="1717" priority="115" operator="equal">
      <formula>"GRE"</formula>
    </cfRule>
    <cfRule type="cellIs" dxfId="1716" priority="116" operator="equal">
      <formula>"RED"</formula>
    </cfRule>
    <cfRule type="cellIs" dxfId="1715" priority="117" operator="equal">
      <formula>"BLA"</formula>
    </cfRule>
  </conditionalFormatting>
  <conditionalFormatting sqref="IO1:IW1">
    <cfRule type="cellIs" dxfId="1714" priority="85" operator="equal">
      <formula>"PIN"</formula>
    </cfRule>
    <cfRule type="cellIs" dxfId="1713" priority="86" operator="equal">
      <formula>"ORA"</formula>
    </cfRule>
    <cfRule type="cellIs" dxfId="1712" priority="87" operator="equal">
      <formula>"GRA"</formula>
    </cfRule>
    <cfRule type="cellIs" dxfId="1711" priority="88" operator="equal">
      <formula>"PUR"</formula>
    </cfRule>
    <cfRule type="cellIs" dxfId="1710" priority="89" operator="equal">
      <formula>"BRO"</formula>
    </cfRule>
    <cfRule type="cellIs" dxfId="1709" priority="90" operator="equal">
      <formula>"YEL"</formula>
    </cfRule>
    <cfRule type="cellIs" dxfId="1708" priority="91" operator="equal">
      <formula>"BLU"</formula>
    </cfRule>
    <cfRule type="cellIs" dxfId="1707" priority="92" operator="equal">
      <formula>"WHI"</formula>
    </cfRule>
    <cfRule type="cellIs" dxfId="1706" priority="93" operator="equal">
      <formula>"GRE"</formula>
    </cfRule>
    <cfRule type="cellIs" dxfId="1705" priority="94" operator="equal">
      <formula>"RED"</formula>
    </cfRule>
    <cfRule type="cellIs" dxfId="1704" priority="95" operator="equal">
      <formula>"BLA"</formula>
    </cfRule>
  </conditionalFormatting>
  <conditionalFormatting sqref="H2">
    <cfRule type="cellIs" dxfId="1703" priority="77" stopIfTrue="1" operator="notEqual">
      <formula>""</formula>
    </cfRule>
  </conditionalFormatting>
  <conditionalFormatting sqref="R2 CU2">
    <cfRule type="cellIs" dxfId="1702" priority="79" operator="greaterThan">
      <formula>0</formula>
    </cfRule>
  </conditionalFormatting>
  <conditionalFormatting sqref="T2:AS2 CH2:CS2">
    <cfRule type="cellIs" dxfId="1701" priority="74" stopIfTrue="1" operator="equal">
      <formula>"n"</formula>
    </cfRule>
    <cfRule type="cellIs" dxfId="1700" priority="75" stopIfTrue="1" operator="equal">
      <formula>"y"</formula>
    </cfRule>
    <cfRule type="cellIs" dxfId="1699" priority="76" operator="greaterThan">
      <formula>0</formula>
    </cfRule>
  </conditionalFormatting>
  <conditionalFormatting sqref="AZ2:BB2">
    <cfRule type="expression" dxfId="1698" priority="61">
      <formula>$AT2=0</formula>
    </cfRule>
  </conditionalFormatting>
  <conditionalFormatting sqref="AZ2:BU2">
    <cfRule type="cellIs" dxfId="1697" priority="62" operator="equal">
      <formula>"PIN"</formula>
    </cfRule>
    <cfRule type="cellIs" dxfId="1696" priority="63" operator="equal">
      <formula>"ORA"</formula>
    </cfRule>
    <cfRule type="cellIs" dxfId="1695" priority="64" operator="equal">
      <formula>"GRA"</formula>
    </cfRule>
    <cfRule type="cellIs" dxfId="1694" priority="65" operator="equal">
      <formula>"PUR"</formula>
    </cfRule>
    <cfRule type="cellIs" dxfId="1693" priority="66" operator="equal">
      <formula>"BRO"</formula>
    </cfRule>
    <cfRule type="cellIs" dxfId="1692" priority="67" operator="equal">
      <formula>"YEL"</formula>
    </cfRule>
    <cfRule type="cellIs" dxfId="1691" priority="68" operator="equal">
      <formula>"BLU"</formula>
    </cfRule>
    <cfRule type="cellIs" dxfId="1690" priority="69" operator="equal">
      <formula>"WHI"</formula>
    </cfRule>
    <cfRule type="cellIs" dxfId="1689" priority="70" operator="equal">
      <formula>"GRE"</formula>
    </cfRule>
    <cfRule type="cellIs" dxfId="1688" priority="71" operator="equal">
      <formula>"RED"</formula>
    </cfRule>
    <cfRule type="cellIs" dxfId="1687" priority="72" operator="equal">
      <formula>"BLA"</formula>
    </cfRule>
  </conditionalFormatting>
  <conditionalFormatting sqref="BV2">
    <cfRule type="cellIs" dxfId="1686" priority="78" operator="equal">
      <formula>"nc"</formula>
    </cfRule>
  </conditionalFormatting>
  <conditionalFormatting sqref="CD2:CF2 BZ2:CA2">
    <cfRule type="cellIs" dxfId="1685" priority="73" operator="greaterThan">
      <formula>0</formula>
    </cfRule>
  </conditionalFormatting>
  <conditionalFormatting sqref="IC2:IK2">
    <cfRule type="expression" dxfId="1684" priority="60">
      <formula>$IL2&gt;0</formula>
    </cfRule>
  </conditionalFormatting>
  <conditionalFormatting sqref="BX2:CA2 CD2:CF2">
    <cfRule type="cellIs" dxfId="1683" priority="48" operator="equal">
      <formula>"y"</formula>
    </cfRule>
    <cfRule type="cellIs" dxfId="1682" priority="49" operator="equal">
      <formula>"PIN"</formula>
    </cfRule>
    <cfRule type="cellIs" dxfId="1681" priority="50" operator="equal">
      <formula>"ORA"</formula>
    </cfRule>
    <cfRule type="cellIs" dxfId="1680" priority="51" operator="equal">
      <formula>"GRA"</formula>
    </cfRule>
    <cfRule type="cellIs" dxfId="1679" priority="52" operator="equal">
      <formula>"PUR"</formula>
    </cfRule>
    <cfRule type="cellIs" dxfId="1678" priority="53" operator="equal">
      <formula>"BRO"</formula>
    </cfRule>
    <cfRule type="cellIs" dxfId="1677" priority="54" operator="equal">
      <formula>"YEL"</formula>
    </cfRule>
    <cfRule type="cellIs" dxfId="1676" priority="55" operator="equal">
      <formula>"BLU"</formula>
    </cfRule>
    <cfRule type="cellIs" dxfId="1675" priority="56" operator="equal">
      <formula>"WHI"</formula>
    </cfRule>
    <cfRule type="cellIs" dxfId="1674" priority="57" operator="equal">
      <formula>"GRE"</formula>
    </cfRule>
    <cfRule type="cellIs" dxfId="1673" priority="58" operator="equal">
      <formula>"RED"</formula>
    </cfRule>
    <cfRule type="cellIs" dxfId="1672" priority="59" operator="equal">
      <formula>"BLA"</formula>
    </cfRule>
  </conditionalFormatting>
  <conditionalFormatting sqref="J2">
    <cfRule type="colorScale" priority="80">
      <colorScale>
        <cfvo type="min"/>
        <cfvo type="percentile" val="50"/>
        <cfvo type="max"/>
        <color rgb="FFF8696B"/>
        <color rgb="FFFFEB84"/>
        <color rgb="FF63BE7B"/>
      </colorScale>
    </cfRule>
  </conditionalFormatting>
  <conditionalFormatting sqref="S2">
    <cfRule type="colorScale" priority="81">
      <colorScale>
        <cfvo type="min"/>
        <cfvo type="max"/>
        <color rgb="FFFCFCFF"/>
        <color rgb="FF754BFB"/>
      </colorScale>
    </cfRule>
  </conditionalFormatting>
  <conditionalFormatting sqref="AT2">
    <cfRule type="colorScale" priority="82">
      <colorScale>
        <cfvo type="min"/>
        <cfvo type="max"/>
        <color rgb="FFFCFCFF"/>
        <color theme="8" tint="0.39997558519241921"/>
      </colorScale>
    </cfRule>
  </conditionalFormatting>
  <conditionalFormatting sqref="CG2">
    <cfRule type="colorScale" priority="83">
      <colorScale>
        <cfvo type="min"/>
        <cfvo type="max"/>
        <color rgb="FFFCFCFF"/>
        <color rgb="FF63BE7B"/>
      </colorScale>
    </cfRule>
  </conditionalFormatting>
  <conditionalFormatting sqref="H3">
    <cfRule type="cellIs" dxfId="1671" priority="40" stopIfTrue="1" operator="notEqual">
      <formula>""</formula>
    </cfRule>
  </conditionalFormatting>
  <conditionalFormatting sqref="R3 CU3">
    <cfRule type="cellIs" dxfId="1670" priority="43" operator="greaterThan">
      <formula>0</formula>
    </cfRule>
  </conditionalFormatting>
  <conditionalFormatting sqref="T3:AS3 CH3:CS3">
    <cfRule type="cellIs" dxfId="1669" priority="37" stopIfTrue="1" operator="equal">
      <formula>"n"</formula>
    </cfRule>
    <cfRule type="cellIs" dxfId="1668" priority="38" stopIfTrue="1" operator="equal">
      <formula>"y"</formula>
    </cfRule>
    <cfRule type="cellIs" dxfId="1667" priority="39" operator="greaterThan">
      <formula>0</formula>
    </cfRule>
  </conditionalFormatting>
  <conditionalFormatting sqref="AZ3:BB3">
    <cfRule type="expression" dxfId="1666" priority="24">
      <formula>$AT3=0</formula>
    </cfRule>
  </conditionalFormatting>
  <conditionalFormatting sqref="CD3:CF3 BX3:CA3 AZ3:BU3">
    <cfRule type="cellIs" dxfId="1665" priority="25" operator="equal">
      <formula>"PIN"</formula>
    </cfRule>
    <cfRule type="cellIs" dxfId="1664" priority="26" operator="equal">
      <formula>"ORA"</formula>
    </cfRule>
    <cfRule type="cellIs" dxfId="1663" priority="27" operator="equal">
      <formula>"GRA"</formula>
    </cfRule>
    <cfRule type="cellIs" dxfId="1662" priority="28" operator="equal">
      <formula>"PUR"</formula>
    </cfRule>
    <cfRule type="cellIs" dxfId="1661" priority="29" operator="equal">
      <formula>"BRO"</formula>
    </cfRule>
    <cfRule type="cellIs" dxfId="1660" priority="30" operator="equal">
      <formula>"YEL"</formula>
    </cfRule>
    <cfRule type="cellIs" dxfId="1659" priority="31" operator="equal">
      <formula>"BLU"</formula>
    </cfRule>
    <cfRule type="cellIs" dxfId="1658" priority="32" operator="equal">
      <formula>"WHI"</formula>
    </cfRule>
    <cfRule type="cellIs" dxfId="1657" priority="33" operator="equal">
      <formula>"GRE"</formula>
    </cfRule>
    <cfRule type="cellIs" dxfId="1656" priority="34" operator="equal">
      <formula>"RED"</formula>
    </cfRule>
    <cfRule type="cellIs" dxfId="1655" priority="35" operator="equal">
      <formula>"BLA"</formula>
    </cfRule>
  </conditionalFormatting>
  <conditionalFormatting sqref="BV3">
    <cfRule type="cellIs" dxfId="1654" priority="42" operator="equal">
      <formula>"nc"</formula>
    </cfRule>
  </conditionalFormatting>
  <conditionalFormatting sqref="CD3:CF3 BX3:CA3">
    <cfRule type="cellIs" dxfId="1653" priority="41" operator="equal">
      <formula>"y"</formula>
    </cfRule>
  </conditionalFormatting>
  <conditionalFormatting sqref="CD3:CF3 BZ3:CA3">
    <cfRule type="cellIs" dxfId="1652" priority="36" operator="greaterThan">
      <formula>0</formula>
    </cfRule>
  </conditionalFormatting>
  <conditionalFormatting sqref="IC3:IK3">
    <cfRule type="expression" dxfId="1651" priority="23">
      <formula>$IL3&gt;0</formula>
    </cfRule>
  </conditionalFormatting>
  <conditionalFormatting sqref="IC3">
    <cfRule type="cellIs" dxfId="1650" priority="17" stopIfTrue="1" operator="greaterThan">
      <formula>0</formula>
    </cfRule>
  </conditionalFormatting>
  <conditionalFormatting sqref="ID3">
    <cfRule type="cellIs" dxfId="1649" priority="15" stopIfTrue="1" operator="greaterThan">
      <formula>0</formula>
    </cfRule>
  </conditionalFormatting>
  <conditionalFormatting sqref="II3 IE3:IF3">
    <cfRule type="cellIs" dxfId="1648" priority="22" operator="greaterThan">
      <formula>0</formula>
    </cfRule>
  </conditionalFormatting>
  <conditionalFormatting sqref="II3 IF3">
    <cfRule type="cellIs" dxfId="1647" priority="16" stopIfTrue="1" operator="greaterThan">
      <formula>0</formula>
    </cfRule>
  </conditionalFormatting>
  <conditionalFormatting sqref="IG3">
    <cfRule type="cellIs" dxfId="1646" priority="21" operator="greaterThan">
      <formula>0</formula>
    </cfRule>
  </conditionalFormatting>
  <conditionalFormatting sqref="IH3:II3">
    <cfRule type="cellIs" dxfId="1645" priority="20" operator="greaterThan">
      <formula>0</formula>
    </cfRule>
  </conditionalFormatting>
  <conditionalFormatting sqref="IJ3">
    <cfRule type="cellIs" dxfId="1644" priority="19" operator="greaterThan">
      <formula>0</formula>
    </cfRule>
  </conditionalFormatting>
  <conditionalFormatting sqref="IK3">
    <cfRule type="cellIs" dxfId="1643" priority="18" operator="greaterThan">
      <formula>0</formula>
    </cfRule>
  </conditionalFormatting>
  <conditionalFormatting sqref="IF3">
    <cfRule type="cellIs" dxfId="1642" priority="14" stopIfTrue="1" operator="greaterThan">
      <formula>0</formula>
    </cfRule>
  </conditionalFormatting>
  <conditionalFormatting sqref="IM3">
    <cfRule type="cellIs" dxfId="1641" priority="13" operator="equal">
      <formula>0</formula>
    </cfRule>
  </conditionalFormatting>
  <conditionalFormatting sqref="BX3:CA3 CD3:CF3">
    <cfRule type="cellIs" dxfId="1640" priority="1" operator="equal">
      <formula>"y"</formula>
    </cfRule>
    <cfRule type="cellIs" dxfId="1639" priority="2" operator="equal">
      <formula>"PIN"</formula>
    </cfRule>
    <cfRule type="cellIs" dxfId="1638" priority="3" operator="equal">
      <formula>"ORA"</formula>
    </cfRule>
    <cfRule type="cellIs" dxfId="1637" priority="4" operator="equal">
      <formula>"GRA"</formula>
    </cfRule>
    <cfRule type="cellIs" dxfId="1636" priority="5" operator="equal">
      <formula>"PUR"</formula>
    </cfRule>
    <cfRule type="cellIs" dxfId="1635" priority="6" operator="equal">
      <formula>"BRO"</formula>
    </cfRule>
    <cfRule type="cellIs" dxfId="1634" priority="7" operator="equal">
      <formula>"YEL"</formula>
    </cfRule>
    <cfRule type="cellIs" dxfId="1633" priority="8" operator="equal">
      <formula>"BLU"</formula>
    </cfRule>
    <cfRule type="cellIs" dxfId="1632" priority="9" operator="equal">
      <formula>"WHI"</formula>
    </cfRule>
    <cfRule type="cellIs" dxfId="1631" priority="10" operator="equal">
      <formula>"GRE"</formula>
    </cfRule>
    <cfRule type="cellIs" dxfId="1630" priority="11" operator="equal">
      <formula>"RED"</formula>
    </cfRule>
    <cfRule type="cellIs" dxfId="1629" priority="12" operator="equal">
      <formula>"BLA"</formula>
    </cfRule>
  </conditionalFormatting>
  <conditionalFormatting sqref="AT3">
    <cfRule type="colorScale" priority="44">
      <colorScale>
        <cfvo type="min"/>
        <cfvo type="max"/>
        <color rgb="FFFCFCFF"/>
        <color theme="8" tint="0.39997558519241921"/>
      </colorScale>
    </cfRule>
  </conditionalFormatting>
  <conditionalFormatting sqref="S3">
    <cfRule type="colorScale" priority="45">
      <colorScale>
        <cfvo type="min"/>
        <cfvo type="max"/>
        <color rgb="FFFCFCFF"/>
        <color rgb="FF754BFB"/>
      </colorScale>
    </cfRule>
  </conditionalFormatting>
  <conditionalFormatting sqref="J3">
    <cfRule type="colorScale" priority="46">
      <colorScale>
        <cfvo type="min"/>
        <cfvo type="percentile" val="50"/>
        <cfvo type="max"/>
        <color rgb="FFF8696B"/>
        <color rgb="FFFFEB84"/>
        <color rgb="FF63BE7B"/>
      </colorScale>
    </cfRule>
  </conditionalFormatting>
  <conditionalFormatting sqref="CG3">
    <cfRule type="colorScale" priority="47">
      <colorScale>
        <cfvo type="min"/>
        <cfvo type="max"/>
        <color rgb="FFFCFCFF"/>
        <color rgb="FF63BE7B"/>
      </colorScale>
    </cfRule>
  </conditionalFormatting>
  <hyperlinks>
    <hyperlink ref="A2" r:id="rId1" display="https://fbref.com/en/country/SEN/Senegal-Football" xr:uid="{07223822-174A-4F47-A07F-FD3FE4F96003}"/>
    <hyperlink ref="E2" r:id="rId2" xr:uid="{9921AF12-FCE0-4993-A089-F72F60F06DB9}"/>
    <hyperlink ref="I3" r:id="rId3" location="French_period" xr:uid="{A3438A15-D00E-4CB2-A257-1A9C421DE061}"/>
  </hyperlinks>
  <pageMargins left="0.7" right="0.7" top="0.75" bottom="0.75"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22529" r:id="rId7"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22530" r:id="rId8"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22531" r:id="rId9"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DA5D6-5B72-4B45-8A05-A9A9756D945B}">
  <sheetPr codeName="Sheet31"/>
  <dimension ref="A1:IY8"/>
  <sheetViews>
    <sheetView zoomScale="70" zoomScaleNormal="70" workbookViewId="0">
      <pane xSplit="5" ySplit="1" topLeftCell="F2" activePane="bottomRight" state="frozen"/>
      <selection pane="topRight" activeCell="F1" sqref="F1"/>
      <selection pane="bottomLeft" activeCell="A2" sqref="A2"/>
      <selection pane="bottomRight" activeCell="N2" sqref="N2"/>
    </sheetView>
  </sheetViews>
  <sheetFormatPr defaultRowHeight="38.4" customHeight="1" x14ac:dyDescent="0.3"/>
  <cols>
    <col min="1" max="1" width="52.44140625" style="81" bestFit="1" customWidth="1"/>
    <col min="2" max="2" width="10.109375" style="81" customWidth="1"/>
    <col min="3" max="3" width="7.44140625" style="82" customWidth="1"/>
    <col min="4" max="4" width="4.77734375" style="83" customWidth="1"/>
    <col min="5" max="5" width="4.5546875" style="83" customWidth="1"/>
    <col min="6" max="6" width="5.77734375" style="83" customWidth="1"/>
    <col min="7" max="7" width="7.44140625" style="81" customWidth="1"/>
    <col min="8" max="8" width="11.44140625" style="81" customWidth="1"/>
    <col min="9" max="9" width="10" style="81" customWidth="1"/>
    <col min="10" max="10" width="4.21875" style="81" customWidth="1"/>
    <col min="11" max="11" width="5.6640625" style="83" customWidth="1"/>
    <col min="12" max="12" width="2.88671875" style="83" customWidth="1"/>
    <col min="13" max="13" width="6.44140625" style="83" customWidth="1"/>
    <col min="14" max="14" width="4.5546875" style="83" customWidth="1"/>
    <col min="15" max="15" width="10.5546875" style="84" customWidth="1"/>
    <col min="16" max="16" width="6.88671875" style="83" customWidth="1"/>
    <col min="17" max="17" width="4.77734375" style="83" customWidth="1"/>
    <col min="18" max="18" width="13.109375" style="82" customWidth="1"/>
    <col min="19" max="19" width="6.77734375" style="82" customWidth="1"/>
    <col min="20" max="46" width="8.44140625" style="81" customWidth="1"/>
    <col min="47" max="47" width="24.5546875" style="81" customWidth="1"/>
    <col min="48" max="51" width="16.6640625" style="81" customWidth="1"/>
    <col min="52" max="52" width="6.5546875" style="81" customWidth="1"/>
    <col min="53" max="54" width="5.88671875" style="81" customWidth="1"/>
    <col min="55" max="55" width="1.33203125" style="81" customWidth="1"/>
    <col min="56" max="56" width="7.44140625" style="81" customWidth="1"/>
    <col min="57" max="57" width="2.33203125" style="81" customWidth="1"/>
    <col min="58" max="62" width="6.109375" style="81" customWidth="1"/>
    <col min="63" max="63" width="2.33203125" style="81" customWidth="1"/>
    <col min="64" max="64" width="7" style="81" bestFit="1" customWidth="1"/>
    <col min="65" max="65" width="6.44140625" style="81" bestFit="1" customWidth="1"/>
    <col min="66" max="66" width="7.109375" style="81" bestFit="1" customWidth="1"/>
    <col min="67" max="71" width="6.44140625" style="81" bestFit="1" customWidth="1"/>
    <col min="72" max="73" width="6.44140625" style="81" customWidth="1"/>
    <col min="74" max="75" width="13.44140625" style="81" customWidth="1"/>
    <col min="76" max="84" width="14.6640625" style="81" customWidth="1"/>
    <col min="85" max="85" width="6.44140625" style="81" customWidth="1"/>
    <col min="86" max="87" width="11.6640625" style="81" bestFit="1" customWidth="1"/>
    <col min="88" max="88" width="11.6640625" style="81" customWidth="1"/>
    <col min="89" max="89" width="12.77734375" style="81" bestFit="1" customWidth="1"/>
    <col min="90" max="90" width="16.44140625" style="82" bestFit="1" customWidth="1"/>
    <col min="91" max="92" width="14.88671875" style="82" bestFit="1" customWidth="1"/>
    <col min="93" max="93" width="16" style="82" bestFit="1" customWidth="1"/>
    <col min="94" max="97" width="7.77734375" style="81" customWidth="1"/>
    <col min="98" max="98" width="33.21875" style="81" customWidth="1"/>
    <col min="99" max="99" width="18" style="81" customWidth="1"/>
    <col min="100" max="100" width="75.6640625" style="81" customWidth="1"/>
    <col min="101" max="125" width="33" style="81" customWidth="1"/>
    <col min="126" max="126" width="8.88671875" style="81"/>
    <col min="127" max="128" width="9.44140625" style="81" bestFit="1" customWidth="1"/>
    <col min="129" max="129" width="10.77734375" style="81" bestFit="1" customWidth="1"/>
    <col min="130" max="134" width="10.77734375" style="81" customWidth="1"/>
    <col min="135" max="135" width="10.109375" style="81" bestFit="1" customWidth="1"/>
    <col min="136" max="136" width="7.77734375" style="81" bestFit="1" customWidth="1"/>
    <col min="137" max="137" width="7.77734375" style="81" customWidth="1"/>
    <col min="138" max="138" width="9" style="81" bestFit="1" customWidth="1"/>
    <col min="139" max="139" width="11.33203125" style="81" bestFit="1" customWidth="1"/>
    <col min="140" max="140" width="9.109375" style="81" bestFit="1" customWidth="1"/>
    <col min="141" max="141" width="9" style="81" bestFit="1" customWidth="1"/>
    <col min="142" max="142" width="12" style="81" bestFit="1" customWidth="1"/>
    <col min="143" max="166" width="12" style="81" customWidth="1"/>
    <col min="167" max="167" width="17.21875" style="81" customWidth="1"/>
    <col min="168" max="191" width="12" style="81" customWidth="1"/>
    <col min="192" max="192" width="8.5546875" style="81" bestFit="1" customWidth="1"/>
    <col min="193" max="193" width="8.5546875" style="81" customWidth="1"/>
    <col min="194" max="194" width="7.109375" style="81" bestFit="1" customWidth="1"/>
    <col min="195" max="195" width="7.5546875" style="81" bestFit="1" customWidth="1"/>
    <col min="196" max="196" width="8.5546875" style="81" bestFit="1" customWidth="1"/>
    <col min="197" max="200" width="8.5546875" style="81" customWidth="1"/>
    <col min="201" max="201" width="188.88671875" style="81" customWidth="1"/>
    <col min="202" max="202" width="9.5546875" style="81" bestFit="1" customWidth="1"/>
    <col min="203" max="203" width="10.44140625" style="81" bestFit="1" customWidth="1"/>
    <col min="204" max="204" width="11.109375" style="81" bestFit="1" customWidth="1"/>
    <col min="205" max="205" width="10.44140625" style="81" bestFit="1" customWidth="1"/>
    <col min="206" max="210" width="10.44140625" style="81" customWidth="1"/>
    <col min="211" max="211" width="45.44140625" style="81" customWidth="1"/>
    <col min="212" max="212" width="47.5546875" style="81" bestFit="1" customWidth="1"/>
    <col min="213" max="213" width="9.33203125" style="85" customWidth="1"/>
    <col min="214" max="214" width="119.5546875" style="81" customWidth="1"/>
    <col min="215" max="215" width="69.6640625" style="81" customWidth="1"/>
    <col min="216" max="218" width="8.88671875" style="81"/>
    <col min="219" max="219" width="37.109375" style="81" customWidth="1"/>
    <col min="220" max="220" width="16.33203125" style="81" customWidth="1"/>
    <col min="221" max="222" width="8.88671875" style="81"/>
    <col min="223" max="223" width="10.109375" style="81" bestFit="1" customWidth="1"/>
    <col min="224" max="232" width="10.88671875" style="81" customWidth="1"/>
    <col min="233" max="234" width="30.77734375" style="81" customWidth="1"/>
    <col min="235" max="235" width="5.109375" style="81" customWidth="1"/>
    <col min="236" max="236" width="3" style="81" customWidth="1"/>
    <col min="237" max="245" width="6.77734375" style="86" customWidth="1"/>
    <col min="246" max="247" width="8.88671875" style="81"/>
    <col min="248" max="248" width="61.5546875" style="81" customWidth="1"/>
    <col min="249" max="253" width="8.88671875" style="81"/>
    <col min="254" max="254" width="9" style="81" customWidth="1"/>
    <col min="255" max="16384" width="8.88671875" style="8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438</v>
      </c>
      <c r="B2" s="40" t="e" vm="106">
        <v>#VALUE!</v>
      </c>
      <c r="C2" s="41">
        <v>1</v>
      </c>
      <c r="D2" s="42" t="s">
        <v>439</v>
      </c>
      <c r="E2" s="43" t="s">
        <v>440</v>
      </c>
      <c r="F2" s="44" t="s">
        <v>163</v>
      </c>
      <c r="G2" s="45">
        <f>COUNTIF($A$1:$A$8379,A2)</f>
        <v>1</v>
      </c>
      <c r="H2" s="46"/>
      <c r="I2" s="47" t="s">
        <v>441</v>
      </c>
      <c r="J2" s="48" t="str">
        <f>""</f>
        <v/>
      </c>
      <c r="K2" s="49">
        <v>18143000</v>
      </c>
      <c r="L2" s="50">
        <v>10000</v>
      </c>
      <c r="M2" s="50" t="s">
        <v>446</v>
      </c>
      <c r="N2" s="51" t="s">
        <v>180</v>
      </c>
      <c r="O2" s="52" t="s">
        <v>442</v>
      </c>
      <c r="P2" s="53" t="s">
        <v>443</v>
      </c>
      <c r="Q2" s="54">
        <v>1</v>
      </c>
      <c r="R2" s="55" t="s">
        <v>180</v>
      </c>
      <c r="S2" s="56">
        <v>0</v>
      </c>
      <c r="T2" s="57" t="s">
        <v>164</v>
      </c>
      <c r="U2" s="58" t="s">
        <v>164</v>
      </c>
      <c r="V2" s="58" t="s">
        <v>164</v>
      </c>
      <c r="W2" s="58" t="s">
        <v>164</v>
      </c>
      <c r="X2" s="58" t="s">
        <v>164</v>
      </c>
      <c r="Y2" s="58" t="s">
        <v>164</v>
      </c>
      <c r="Z2" s="58" t="s">
        <v>164</v>
      </c>
      <c r="AA2" s="58" t="s">
        <v>164</v>
      </c>
      <c r="AB2" s="58" t="s">
        <v>164</v>
      </c>
      <c r="AC2" s="58" t="s">
        <v>164</v>
      </c>
      <c r="AD2" s="58" t="s">
        <v>164</v>
      </c>
      <c r="AE2" s="58" t="s">
        <v>164</v>
      </c>
      <c r="AF2" s="59" t="s">
        <v>164</v>
      </c>
      <c r="AG2" s="59" t="s">
        <v>164</v>
      </c>
      <c r="AH2" s="59" t="s">
        <v>167</v>
      </c>
      <c r="AI2" s="59" t="s">
        <v>164</v>
      </c>
      <c r="AJ2" s="59" t="s">
        <v>164</v>
      </c>
      <c r="AK2" s="59" t="s">
        <v>164</v>
      </c>
      <c r="AL2" s="59" t="s">
        <v>164</v>
      </c>
      <c r="AM2" s="59" t="s">
        <v>164</v>
      </c>
      <c r="AN2" s="59" t="s">
        <v>164</v>
      </c>
      <c r="AO2" s="59" t="s">
        <v>164</v>
      </c>
      <c r="AP2" s="59" t="s">
        <v>164</v>
      </c>
      <c r="AQ2" s="59" t="s">
        <v>164</v>
      </c>
      <c r="AR2" s="59" t="s">
        <v>164</v>
      </c>
      <c r="AS2" s="59" t="s">
        <v>164</v>
      </c>
      <c r="AT2" s="60">
        <v>1</v>
      </c>
      <c r="AU2" s="59"/>
      <c r="AV2" s="59" t="str">
        <f>IF(LEFT(A2,1)="[",LEFT(A2,5)&amp;AU2&amp;A2,"")</f>
        <v/>
      </c>
      <c r="AW2" s="59" t="str">
        <f t="shared" ref="AW2" si="0">C2&amp;H2&amp;A2</f>
        <v>1Somalia</v>
      </c>
      <c r="AX2" s="61" t="str">
        <f>_xlfn.TEXTJOIN(";",TRUE,AU2:AW2)</f>
        <v>1Somalia</v>
      </c>
      <c r="AY2" s="61"/>
      <c r="AZ2" s="62" t="s">
        <v>159</v>
      </c>
      <c r="BA2" s="62"/>
      <c r="BB2" s="62"/>
      <c r="BC2" s="63"/>
      <c r="BD2" s="64" t="s">
        <v>152</v>
      </c>
      <c r="BE2" s="47"/>
      <c r="BF2" s="64"/>
      <c r="BG2" s="64"/>
      <c r="BH2" s="64"/>
      <c r="BI2" s="64"/>
      <c r="BJ2" s="64"/>
      <c r="BK2" s="47"/>
      <c r="BL2" s="64" t="s">
        <v>152</v>
      </c>
      <c r="BM2" s="64" t="s">
        <v>159</v>
      </c>
      <c r="BN2" s="64"/>
      <c r="BO2" s="64"/>
      <c r="BP2" s="64"/>
      <c r="BQ2" s="64"/>
      <c r="BR2" s="64"/>
      <c r="BS2" s="64"/>
      <c r="BT2" s="64"/>
      <c r="BU2" s="65"/>
      <c r="BV2" s="66" t="s">
        <v>165</v>
      </c>
      <c r="BW2" s="66">
        <v>0</v>
      </c>
      <c r="BX2" s="47"/>
      <c r="CB2" s="6" t="s">
        <v>444</v>
      </c>
      <c r="CC2" s="6"/>
      <c r="CD2" s="67">
        <v>0</v>
      </c>
      <c r="CE2" s="67">
        <v>0</v>
      </c>
      <c r="CF2" s="67" t="e">
        <v>#REF!</v>
      </c>
      <c r="CG2" s="68" cm="1">
        <f t="array" ref="CG2">SUMPRODUCT(--(LEN(TRIM(BL2:BT2))&gt;0))</f>
        <v>2</v>
      </c>
      <c r="CH2" s="59" t="str">
        <f>IF(CG2=2,"y","n")</f>
        <v>y</v>
      </c>
      <c r="CI2" s="59" t="str">
        <f>IF(CG2=3,"y","n")</f>
        <v>n</v>
      </c>
      <c r="CJ2" s="59" t="str">
        <f>IF(CG2=4,"y","n")</f>
        <v>n</v>
      </c>
      <c r="CK2" s="59" t="str">
        <f>IF(CG2&gt;4,"y","n")</f>
        <v>n</v>
      </c>
      <c r="CL2" s="59" t="str">
        <f>IF(S2=0,"y","n")</f>
        <v>y</v>
      </c>
      <c r="CM2" s="59" t="str">
        <f>IF(S2=2,"y","n")</f>
        <v>n</v>
      </c>
      <c r="CN2" s="59" t="str">
        <f>IF(S2=3,"y","n")</f>
        <v>n</v>
      </c>
      <c r="CO2" s="59" t="str">
        <f>IF(S2&gt;=4,"y","n")</f>
        <v>n</v>
      </c>
      <c r="CP2" s="59" t="str">
        <f>IF(AT2=0,"y","n")</f>
        <v>n</v>
      </c>
      <c r="CQ2" s="59" t="str">
        <f>IF(AT2=1,"y","n")</f>
        <v>y</v>
      </c>
      <c r="CR2" s="59" t="str">
        <f>IF(AT2=2,"y","n")</f>
        <v>n</v>
      </c>
      <c r="CS2" s="59" t="str">
        <f>IF(AT2&gt;=3,"y","n")</f>
        <v>n</v>
      </c>
      <c r="CT2" s="69" t="str">
        <f>CHAR(34)&amp;A2&amp;CHAR(34)</f>
        <v>"Somalia"</v>
      </c>
      <c r="CU2" s="70" t="str">
        <f>CHAR(34)&amp;"rgn_"&amp;R2&amp;CHAR(34)</f>
        <v>"rgn_Africa"</v>
      </c>
      <c r="CV2" s="48" t="str">
        <f>CHAR(34)&amp;D2&amp;CHAR(34)</f>
        <v>"https://i.ibb.co/0qX5fdM/Somalia-Flag.png"</v>
      </c>
      <c r="CW2" s="48" t="str">
        <f>IF(CH2="y",CHAR(34)&amp;CH$1&amp;CHAR(34)&amp;",","")</f>
        <v>"2Color",</v>
      </c>
      <c r="CX2" s="48" t="str">
        <f>IF(CI2="y",CHAR(34)&amp;CI$1&amp;CHAR(34)&amp;",","")</f>
        <v/>
      </c>
      <c r="CY2" s="48" t="str">
        <f>IF(CJ2="y",CHAR(34)&amp;CJ$1&amp;CHAR(34)&amp;",","")</f>
        <v/>
      </c>
      <c r="CZ2" s="48" t="str">
        <f>IF(CK2="y",CHAR(34)&amp;CK$1&amp;CHAR(34)&amp;",","")</f>
        <v/>
      </c>
      <c r="DA2" s="48" t="str">
        <f>IF(Q2&gt;1,CHAR(34)&amp;"words2"&amp;CHAR(34)&amp;",","")</f>
        <v/>
      </c>
      <c r="DB2" s="48" t="str">
        <f>IF(Q2&gt;2,CHAR(34)&amp;"words3"&amp;CHAR(34)&amp;",","")</f>
        <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"lets07",</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"startS",</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"BLUWHI",</v>
      </c>
      <c r="DM2" s="48" t="str" cm="1">
        <f t="array" ref="DM2">IF(CG2=3,CHAR(34) &amp; _xlfn.TEXTJOIN("", TRUE, RIGHT(HP2:HX2, 2)) &amp; CHAR(34) &amp; ",", "")</f>
        <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
      </c>
      <c r="DS2" s="6" t="str">
        <f>IF(W2="y",IF(AND(V2="n",BY2&lt;&gt;"y"),CHAR(34)&amp;"allver"&amp;CHAR(34)&amp;",",""),"")</f>
        <v/>
      </c>
      <c r="DT2" s="6" t="str">
        <f>IF(V2="y",IF(AND(W2="n",BY2&lt;&gt;"y"),CHAR(34)&amp;"allhor"&amp;CHAR(34)&amp;",",""),"")</f>
        <v/>
      </c>
      <c r="DU2" s="6" t="str">
        <f>IF(BY2="y",IF(AND(W2="n",V2="n"),CHAR(34)&amp;"alldia"&amp;CHAR(34)&amp;",",""),"")</f>
        <v/>
      </c>
      <c r="DV2" s="48" t="str">
        <f>IF(IA2&lt;&gt;"",(IF(IA2="y",CHAR(34)&amp;"largec"&amp;CHAR(34)&amp;",",CHAR(34)&amp;"smallc"&amp;CHAR(34)&amp;",")),"")</f>
        <v/>
      </c>
      <c r="DW2" s="48" t="str">
        <f>IF(CL2="y",CHAR(34)&amp;CL$1&amp;CHAR(34)&amp;",","")</f>
        <v>"NoBand",</v>
      </c>
      <c r="DX2" s="48" t="str">
        <f>IF(CM2="y",CHAR(34)&amp;CM$1&amp;CHAR(34)&amp;",","")</f>
        <v/>
      </c>
      <c r="DY2" s="48" t="str">
        <f>IF(CN2="y",CHAR(34)&amp;CN$1&amp;CHAR(34)&amp;",","")</f>
        <v/>
      </c>
      <c r="DZ2" s="48" t="str">
        <f>IF(CO2="y",CHAR(34)&amp;CO$1&amp;CHAR(34)&amp;",","")</f>
        <v/>
      </c>
      <c r="EA2" s="48" t="str">
        <f>IF(T2="y",CHAR(34)&amp;T$1&amp;CHAR(34)&amp;",","")</f>
        <v/>
      </c>
      <c r="EB2" s="48" t="str">
        <f>IF(U2="y",CHAR(34)&amp;U$1&amp;CHAR(34)&amp;",","")</f>
        <v/>
      </c>
      <c r="EC2" s="48" t="str">
        <f>IF(V2="y",CHAR(34)&amp;V$1&amp;CHAR(34)&amp;",","")</f>
        <v/>
      </c>
      <c r="ED2" s="48" t="str">
        <f>IF(W2="y",CHAR(34)&amp;W$1&amp;CHAR(34)&amp;",","")</f>
        <v/>
      </c>
      <c r="EE2" s="48" t="str">
        <f>IF(X2="y",CHAR(34)&amp;X$1&amp;CHAR(34)&amp;",","")</f>
        <v/>
      </c>
      <c r="EF2" s="48" t="str">
        <f>IF(AND(Y2&lt;&gt;"n",Y2&lt;&gt;""),CHAR(34)&amp;Y$1&amp;CHAR(34)&amp;",","")</f>
        <v/>
      </c>
      <c r="EG2" s="48" t="str">
        <f>IF(Z2="y",CHAR(34)&amp;Z$1&amp;CHAR(34)&amp;",","")</f>
        <v/>
      </c>
      <c r="EH2" s="48" t="str">
        <f>IF(AA2="y",CHAR(34)&amp;AA$1&amp;CHAR(34)&amp;",","")</f>
        <v/>
      </c>
      <c r="EI2" s="48" t="str">
        <f>IF(AB2="y",CHAR(34)&amp;AB$1&amp;CHAR(34)&amp;",","")</f>
        <v/>
      </c>
      <c r="EJ2" s="48" t="str">
        <f>IF(AC2="y",CHAR(34)&amp;AC$1&amp;CHAR(34)&amp;",","")</f>
        <v/>
      </c>
      <c r="EK2" s="48" t="str">
        <f>IF(AD2="y",CHAR(34)&amp;AD$1&amp;CHAR(34)&amp;",","")</f>
        <v/>
      </c>
      <c r="EL2" s="48" t="str">
        <f>IF(AE2="y",CHAR(34)&amp;AE$1&amp;CHAR(34)&amp;",","")</f>
        <v/>
      </c>
      <c r="EM2" s="48" t="str">
        <f>IF(AF2="y",CHAR(34)&amp;AF$1&amp;CHAR(34)&amp;",","")</f>
        <v/>
      </c>
      <c r="EN2" s="48" t="str">
        <f>IF(AG2="y",CHAR(34)&amp;AG$1&amp;CHAR(34)&amp;",","")</f>
        <v/>
      </c>
      <c r="EO2" s="48" t="str">
        <f>IF(AH2="y",CHAR(34)&amp;AH$1&amp;CHAR(34)&amp;",","")</f>
        <v>"Center",</v>
      </c>
      <c r="EP2" s="48" t="str">
        <f>IF(AI2="y",CHAR(34)&amp;AI$1&amp;CHAR(34)&amp;",","")</f>
        <v/>
      </c>
      <c r="EQ2" s="48" t="str">
        <f>IF(AJ2="y",CHAR(34)&amp;AJ$1&amp;CHAR(34)&amp;",","")</f>
        <v/>
      </c>
      <c r="ER2" s="48" t="str">
        <f>IF(AK2="y",CHAR(34)&amp;AK$1&amp;CHAR(34)&amp;",","")</f>
        <v/>
      </c>
      <c r="ES2" s="48" t="str">
        <f>IF(AL2="y",CHAR(34)&amp;AL$1&amp;CHAR(34)&amp;",","")</f>
        <v/>
      </c>
      <c r="ET2" s="48" t="str">
        <f>IF(AM2="y",CHAR(34)&amp;AM$1&amp;CHAR(34)&amp;",","")</f>
        <v/>
      </c>
      <c r="EU2" s="48" t="str">
        <f>IF(AN2="y",CHAR(34)&amp;AN$1&amp;CHAR(34)&amp;",","")</f>
        <v/>
      </c>
      <c r="EV2" s="48" t="str">
        <f>IF(AO2="y",CHAR(34)&amp;AO$1&amp;CHAR(34)&amp;",","")</f>
        <v/>
      </c>
      <c r="EW2" s="48" t="str">
        <f>IF(AP2="y",CHAR(34)&amp;AP$1&amp;CHAR(34)&amp;",","")</f>
        <v/>
      </c>
      <c r="EX2" s="48" t="str">
        <f>IF(AQ2="y",CHAR(34)&amp;AQ$1&amp;CHAR(34)&amp;",","")</f>
        <v/>
      </c>
      <c r="EY2" s="48" t="str">
        <f>IF(AR2="y",CHAR(34)&amp;AR$1&amp;CHAR(34)&amp;",","")</f>
        <v/>
      </c>
      <c r="EZ2" s="48" t="str">
        <f>IF(AS2="y",CHAR(34)&amp;AS$1&amp;CHAR(34)&amp;",","")</f>
        <v/>
      </c>
      <c r="FA2" s="48" t="str">
        <f>IF(AT2&gt;0,CHAR(34)&amp;"sta"&amp;AZ2&amp;CHAR(34)&amp;",","")</f>
        <v>"staWHI",</v>
      </c>
      <c r="FB2" s="48" t="str">
        <f>IF(AND(AT2&gt;0,BA2&lt;&gt;""),CHAR(34)&amp;"sta"&amp;BA2&amp;CHAR(34)&amp;",","")</f>
        <v/>
      </c>
      <c r="FC2" s="48" t="str">
        <f>IF(AND(AT2&gt;0,BB2&lt;&gt;""),CHAR(34)&amp;"sta"&amp;BB2&amp;CHAR(34)&amp;",","")</f>
        <v/>
      </c>
      <c r="FD2" s="48" t="str">
        <f>IF(BV2="n",CHAR(34)&amp;"tcWHYE"&amp;CHAR(34)&amp;",",IF(BV2="y",CHAR(34)&amp;FD$1&amp;CHAR(34)&amp;",",""))</f>
        <v/>
      </c>
      <c r="FE2" s="48" t="str">
        <f>IF(COUNTIF(BL2:BT2,"BLU")=0,CHAR(34)&amp;"NO_BLU"&amp;CHAR(34)&amp;",", "")</f>
        <v/>
      </c>
      <c r="FF2" s="48" t="str">
        <f>IF(COUNTIF(BL2:BT2,"WHI")=0,CHAR(34)&amp;"NO_WHI"&amp;CHAR(34)&amp;",", "")</f>
        <v/>
      </c>
      <c r="FG2" s="48" t="str">
        <f>IF(COUNTIF(BL2:BT2,"RED")=0,CHAR(34)&amp;"NO_RED"&amp;CHAR(34)&amp;",", "")</f>
        <v>"NO_RED",</v>
      </c>
      <c r="FH2" s="48" t="str">
        <f>IF(COUNTIF(BL2:BS2,"GRE")=0,CHAR(34)&amp;"NO_GRE"&amp;CHAR(34)&amp;",", "")</f>
        <v>"NO_GRE",</v>
      </c>
      <c r="FI2" s="48" t="str">
        <f>IF(COUNTIF(BL2:BT2,"YEL")=0,CHAR(34)&amp;"NO_YEL"&amp;CHAR(34)&amp;",", "")</f>
        <v>"NO_YEL",</v>
      </c>
      <c r="FJ2" s="48" t="str">
        <f>IF(COUNTIF(BL2:BT2,"BLA")=0,CHAR(34)&amp;"NO_BLA"&amp;CHAR(34)&amp;",", "")</f>
        <v>"NO_BLA",</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
      </c>
      <c r="FP2" s="48" t="str">
        <f>IF(AND(FF2&lt;&gt;"",FF2&lt;&gt;""),CHAR(34)&amp;"WHRENO"&amp;CHAR(34)&amp;",","")</f>
        <v/>
      </c>
      <c r="FQ2" s="48" t="str">
        <f>IF(LEN(BF2)=3,CHAR(34)&amp;"001"&amp;BF2&amp;CHAR(34)&amp;",","")</f>
        <v/>
      </c>
      <c r="FR2" s="48" t="str">
        <f>IF(LEN(BG2)=3,CHAR(34)&amp;"002"&amp;BG2&amp;CHAR(34)&amp;",","")</f>
        <v/>
      </c>
      <c r="FS2" s="48" t="str">
        <f>IF(LEN(BH2)=3,CHAR(34)&amp;"003"&amp;BH2&amp;CHAR(34)&amp;",","")</f>
        <v/>
      </c>
      <c r="FT2" s="48" t="str">
        <f>CHAR(34)&amp;"myr"&amp;BD2&amp;CHAR(34)&amp;","</f>
        <v>"myrBLU",</v>
      </c>
      <c r="FU2" s="48" t="str">
        <f>IF(AY2="y",CHAR(34)&amp;"island"&amp;CHAR(34)&amp;",","")</f>
        <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"arabic",</v>
      </c>
      <c r="FZ2" s="48" t="str">
        <f>IFERROR(IF(SEARCH("English",CB2)&gt;0,CHAR(34)&amp;"englis"&amp;CHAR(34)&amp;",",""),"")</f>
        <v/>
      </c>
      <c r="GA2" s="48" t="str">
        <f>IFERROR(IF(SEARCH("French",CB2)&gt;0,CHAR(34)&amp;"french"&amp;CHAR(34)&amp;",",""),"")</f>
        <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
      </c>
      <c r="GK2" s="48" t="str">
        <f>IF(GJ2="",CHAR(34)&amp;"HasSta"&amp;CHAR(34)&amp;",","")</f>
        <v>"HasSta",</v>
      </c>
      <c r="GL2" s="48" t="str">
        <f>IF(CQ2="y",CHAR(34)&amp;CQ$1&amp;CHAR(34)&amp;",","")</f>
        <v>"1Stars",</v>
      </c>
      <c r="GM2" s="48" t="str">
        <f>IF(CR2="y",CHAR(34)&amp;CR$1&amp;CHAR(34)&amp;",","")</f>
        <v/>
      </c>
      <c r="GN2" s="48" t="str">
        <f>IF(CS2="y",CHAR(34)&amp;CS$1&amp;CHAR(34)&amp;",","")</f>
        <v/>
      </c>
      <c r="GP2" s="48" t="str">
        <f>CHAR(34)&amp;AU2&amp;CHAR(34)</f>
        <v>""</v>
      </c>
      <c r="GS2" s="48" t="str">
        <f>SUBSTITUTE("["&amp;_xlfn.CONCAT(CW2:GN2)&amp;"]",",]","]")</f>
        <v>["2Color","lets07","startS","BLUWHI","year19","NoBand","Center","staWHI","NO_RED","NO_GRE","NO_YEL","NO_BLA","myrBLU","arabic","HasSta","1Stars"]</v>
      </c>
      <c r="GT2" s="48" t="str">
        <f>IF(BL2&lt;&gt;"",CHAR(34)&amp;"cl_"&amp;BL2&amp;CHAR(34)&amp;",","")</f>
        <v>"cl_BLU",</v>
      </c>
      <c r="GU2" s="48" t="str">
        <f>IF(BM2&lt;&gt;"",CHAR(34)&amp;"cl_"&amp;BM2&amp;CHAR(34)&amp;",","")</f>
        <v>"cl_WHI",</v>
      </c>
      <c r="GV2" s="48" t="str">
        <f>IF(BN2&lt;&gt;"",CHAR(34)&amp;"cl_"&amp;BN2&amp;CHAR(34)&amp;",","")</f>
        <v/>
      </c>
      <c r="GW2" s="48" t="str">
        <f>IF(BO2&lt;&gt;"",CHAR(34)&amp;"cl_"&amp;BO2&amp;CHAR(34)&amp;",","")</f>
        <v/>
      </c>
      <c r="GX2" s="48" t="str">
        <f>IF(BP2&lt;&gt;"",CHAR(34)&amp;"cl_"&amp;BP2&amp;CHAR(34)&amp;",","")</f>
        <v/>
      </c>
      <c r="GY2" s="48" t="str">
        <f>IF(BQ2&lt;&gt;"",CHAR(34)&amp;"cl_"&amp;BQ2&amp;CHAR(34)&amp;",","")</f>
        <v/>
      </c>
      <c r="GZ2" s="48" t="str">
        <f>IF(BR2&lt;&gt;"",CHAR(34)&amp;"cl_"&amp;BR2&amp;CHAR(34)&amp;",","")</f>
        <v/>
      </c>
      <c r="HA2" s="48" t="str">
        <f>IF(BS2&lt;&gt;"",CHAR(34)&amp;"cl_"&amp;BS2&amp;CHAR(34)&amp;",","")</f>
        <v/>
      </c>
      <c r="HB2" s="48" t="str">
        <f>IF(BT2&lt;&gt;"",CHAR(34)&amp;"cl_"&amp;BT2&amp;CHAR(34)&amp;",","")</f>
        <v/>
      </c>
      <c r="HC2" s="48" t="str">
        <f>SUBSTITUTE("["&amp;_xlfn.CONCAT(GT2:HB2)&amp;"]",",]","]")</f>
        <v>["cl_BLU","cl_WHI"]</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{couname:"Somalia",year:"1954 ",region:"rgn_Africa",Colors:["cl_BLU","cl_WHI"],Items:["2Color","lets07","startS","BLUWHI","year19","NoBand","Center","staWHI","NO_RED","NO_GRE","NO_YEL","NO_BLA","myrBLU","arabic","HasSta","1Stars"],Flag:"https://i.ibb.co/0qX5fdM/Somalia-Flag.png",HDFlag:"https://upload.wikimedia.org/wikipedia/commons/thumb/a/a0/Flag_of_Somalia.svg/2560px-Flag_of_Somalia.svg.png",type:"", describe: "\nAs an ethnic flag, the five-pointed white Star of Unity in its center represents the areas where the Somali ethnic group form the majority: Djibouti, Somaliland (former British protectorate), the Somali region in Ethiopia, the North Eastern Province in Kenya, and Somalia (Italian Somaliland). However, the flag does not represent all the Somali regions anymore, going from an ethnic flag to the national flag of Somalia only. It now officially denotes the sky as well as the Gulf of Aden, Guardafui Channel and the Somali Sea, which flank the country. The blue color of the flag was selected in tribute to the United Nations who helped to form the country of Somalia during its status as a trust territory from 1950-1960.", isnew:".", links: "https://en.wikipedia.org/wiki/Flag_of_Somalia"},</v>
      </c>
      <c r="HG2" s="73" t="str">
        <f>"{couname:"&amp;CT2&amp;(IF(HK2&lt;&gt;"",",subtype:"&amp;CHAR(34)&amp;HK2&amp;CHAR(34),""))&amp;",year:"&amp;HJ2&amp;",region:"&amp;CU2&amp;",Colors:"&amp;HC2&amp;",Items:"&amp;GS2&amp;",Flag:"&amp;CV2&amp;",HDFlag:"&amp;CHAR(34)&amp;E2&amp;CHAR(34)&amp;",type:"&amp;GP2&amp;", describe: "&amp;HI2&amp;", links: "&amp;HL2&amp;"},"</f>
        <v>{couname:"Somalia",year:"1954 ",region:"rgn_Africa",Colors:["cl_BLU","cl_WHI"],Items:["2Color","lets07","startS","BLUWHI","year19","NoBand","Center","staWHI","NO_RED","NO_GRE","NO_YEL","NO_BLA","myrBLU","arabic","HasSta","1Stars"],Flag:"https://i.ibb.co/0qX5fdM/Somalia-Flag.png",HDFlag:"https://upload.wikimedia.org/wikipedia/commons/thumb/a/a0/Flag_of_Somalia.svg/2560px-Flag_of_Somalia.svg.png",type:"", describe: "\nAs an ethnic flag, the five-pointed white Star of Unity in its center represents the areas where the Somali ethnic group form the majority: Djibouti, Somaliland (former British protectorate), the Somali region in Ethiopia, the North Eastern Province in Kenya, and Somalia (Italian Somaliland). However, the flag does not represent all the Somali regions anymore, going from an ethnic flag to the national flag of Somalia only. It now officially denotes the sky as well as the Gulf of Aden, Guardafui Channel and the Somali Sea, which flank the country. The blue color of the flag was selected in tribute to the United Nations who helped to form the country of Somalia during its status as a trust territory from 1950-1960.", links: "https://en.wikipedia.org/wiki/Flag_of_Somalia"},</v>
      </c>
      <c r="HH2" s="48" t="str">
        <f>IF(P2&lt;&gt;"",CHAR(34)&amp;"\n"&amp;P2&amp;CHAR(34),CHAR(34)&amp;CHAR(34))</f>
        <v>"\nAs an ethnic flag, the five-pointed white Star of Unity in its center represents the areas where the Somali ethnic group form the majority: Djibouti, Somaliland (former British protectorate), the Somali region in Ethiopia, the North Eastern Province in Kenya, and Somalia (Italian Somaliland). However, the flag does not represent all the Somali regions anymore, going from an ethnic flag to the national flag of Somalia only. It now officially denotes the sky as well as the Gulf of Aden, Guardafui Channel and the Somali Sea, which flank the country. The blue color of the flag was selected in tribute to the United Nations who helped to form the country of Somalia during its status as a trust territory from 1950-1960."</v>
      </c>
      <c r="HI2" s="48" t="str">
        <f>IF(J2=0,CHAR(34)&amp;CHAR(34),HH2)</f>
        <v>"\nAs an ethnic flag, the five-pointed white Star of Unity in its center represents the areas where the Somali ethnic group form the majority: Djibouti, Somaliland (former British protectorate), the Somali region in Ethiopia, the North Eastern Province in Kenya, and Somalia (Italian Somaliland). However, the flag does not represent all the Somali regions anymore, going from an ethnic flag to the national flag of Somalia only. It now officially denotes the sky as well as the Gulf of Aden, Guardafui Channel and the Somali Sea, which flank the country. The blue color of the flag was selected in tribute to the United Nations who helped to form the country of Somalia during its status as a trust territory from 1950-1960."</v>
      </c>
      <c r="HJ2" s="48" t="str">
        <f>CHAR(34)&amp;O2&amp;CHAR(34)</f>
        <v>"1954 "</v>
      </c>
      <c r="HL2" s="48" t="str">
        <f>CHAR(34)&amp;I2&amp;CHAR(34)</f>
        <v>"https://en.wikipedia.org/wiki/Flag_of_Somalia"</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{"couname":"Somalia","year":"1954 ","region":"rgn_Africa","Colors":["cl_BLU","cl_WHI"],"Items":["2Color","lets07","startS","BLUWHI","year19","NoBand","Center","staWHI","NO_RED","NO_GRE","NO_YEL","NO_BLA","myrBLU","arabic","HasSta","1Stars"],"Flag":"https://i.ibb.co/0qX5fdM/Somalia-Flag.png","HDFlag":"https://upload.wikimedia.org/wikipedia/commons/thumb/a/a0/Flag_of_Somalia.svg/2560px-Flag_of_Somalia.svg.png","type":"", "describe": "\nAs an ethnic flag, the five-pointed white Star of Unity in its center represents the areas where the Somali ethnic group form the majority: Djibouti, Somaliland (former British protectorate), the Somali region in Ethiopia, the North Eastern Province in Kenya, and Somalia (Italian Somaliland). However, the flag does not represent all the Somali regions anymore, going from an ethnic flag to the national flag of Somalia only. It now officially denotes the sky as well as the Gulf of Aden, Guardafui Channel and the Somali Sea, which flank the country. The blue color of the flag was selected in tribute to the United Nations who helped to form the country of Somalia during its status as a trust territory from 1950-1960.", "isnew": ".", "links": "https://en.wikipedia.org/wiki/Flag_of_Somalia"},</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{"couname":"Somalia","year":"1954 ","region":"rgn_Africa","Colors":["cl_BLU","cl_WHI"],"Items":["2Color","lets07","startS","BLUWHI","year19","NoBand","Center","staWHI","NO_RED","NO_GRE","NO_YEL","NO_BLA","myrBLU","arabic","HasSta","1Stars"],"Flag":"https://i.ibb.co/0qX5fdM/Somalia-Flag.png","HDFlag":"https://upload.wikimedia.org/wikipedia/commons/thumb/a/a0/Flag_of_Somalia.svg/2560px-Flag_of_Somalia.svg.png","type":"", "describe": "\nAs an ethnic flag, the five-pointed white Star of Unity in its center represents the areas where the Somali ethnic group form the majority: Djibouti, Somaliland (former British protectorate), the Somali region in Ethiopia, the North Eastern Province in Kenya, and Somalia (Italian Somaliland). However, the flag does not represent all the Somali regions anymore, going from an ethnic flag to the national flag of Somalia only. It now officially denotes the sky as well as the Gulf of Aden, Guardafui Channel and the Somali Sea, which flank the country. The blue color of the flag was selected in tribute to the United Nations who helped to form the country of Somalia during its status as a trust territory from 1950-1960.", "isnew": ".", "links": "https://en.wikipedia.org/wiki/Flag_of_Somalia"},</v>
      </c>
      <c r="HO2" s="75"/>
      <c r="HP2" s="48" t="str" cm="1">
        <f t="array" ref="HP2">IF(_xlfn.TEXTJOIN(", ", TRUE, IF(ISNUMBER(SEARCH("BLA", BL2:BT2)), COLUMN(BL2:BT2) - COLUMN(BL2) + 1, ""))&lt;&gt;"","BLA","")</f>
        <v/>
      </c>
      <c r="HQ2" s="48" t="str" cm="1">
        <f t="array" ref="HQ2">IF(_xlfn.TEXTJOIN(", ", TRUE, IF(ISNUMBER(SEARCH("BLU", BL2:BT2)), COLUMN(BL2:BT2) - COLUMN(BL2) + 1, ""))&lt;&gt;"","BLU","")</f>
        <v>BLU</v>
      </c>
      <c r="HR2" s="48" t="str" cm="1">
        <f t="array" ref="HR2">IF(_xlfn.TEXTJOIN(", ", TRUE, IF(ISNUMBER(SEARCH("GRE", BL2:BT2)), COLUMN(BL2:BT2) - COLUMN(BL2) + 1, ""))&lt;&gt;"","GRE","")</f>
        <v/>
      </c>
      <c r="HS2" s="48" t="str" cm="1">
        <f t="array" ref="HS2">IF(_xlfn.TEXTJOIN(", ", TRUE, IF(ISNUMBER(SEARCH("RED", BL2:BT2)), COLUMN(BL2:BT2) - COLUMN(BL2) + 1, ""))&lt;&gt;"","RED","")</f>
        <v/>
      </c>
      <c r="HT2" s="48" t="str" cm="1">
        <f t="array" ref="HT2">IF(_xlfn.TEXTJOIN(", ", TRUE, IF(ISNUMBER(SEARCH("YEL", BL2:BT2)), COLUMN(BL2:BT2) - COLUMN(BL2) + 1, ""))&lt;&gt;"","YEL","")</f>
        <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c r="IB2" s="6"/>
      <c r="IC2" s="77"/>
      <c r="ID2" s="77"/>
      <c r="IE2" s="77"/>
      <c r="IF2" s="77"/>
      <c r="IG2" s="77"/>
      <c r="IH2" s="77"/>
      <c r="II2" s="77"/>
      <c r="IJ2" s="77"/>
      <c r="IK2" s="77"/>
      <c r="IL2" s="48">
        <f>SUM(IC2:IK2)</f>
        <v>0</v>
      </c>
      <c r="IM2" s="45">
        <f>COUNTIF(IC2:IK2,"&gt;0")-CG2</f>
        <v>-2</v>
      </c>
      <c r="IN2" s="78" t="str">
        <f>"http://mkweb.bcgsc.ca/color-summarizer/?url="&amp;D2&amp;"&amp;precision=low&amp;num_clusters="&amp;CG2&amp;"&amp;text=1"</f>
        <v>http://mkweb.bcgsc.ca/color-summarizer/?url=https://i.ibb.co/0qX5fdM/Somalia-Flag.png&amp;precision=low&amp;num_clusters=2&amp;text=1</v>
      </c>
      <c r="IO2" s="48" t="str">
        <f>IF(HP2&lt;&gt;"",CHAR(34)&amp;"black"&amp;CHAR(34),"")</f>
        <v/>
      </c>
      <c r="IP2" s="48" t="str">
        <f>IF(HQ2&lt;&gt;"",CHAR(34)&amp;"blue"&amp;CHAR(34),"")</f>
        <v>"blue"</v>
      </c>
      <c r="IQ2" s="48" t="str">
        <f>IF(HR2&lt;&gt;"",CHAR(34)&amp;"green"&amp;CHAR(34),"")</f>
        <v/>
      </c>
      <c r="IR2" s="48" t="str">
        <f>IF(HS2&lt;&gt;"",CHAR(34)&amp;"red"&amp;CHAR(34),"")</f>
        <v/>
      </c>
      <c r="IS2" s="48" t="str">
        <f>IF(HT2&lt;&gt;"",CHAR(34)&amp;"yellow"&amp;CHAR(34),"")</f>
        <v/>
      </c>
      <c r="IT2" s="48" t="str">
        <f>IF(HU2&lt;&gt;"",CHAR(34)&amp;"orange"&amp;CHAR(34),"")</f>
        <v/>
      </c>
      <c r="IU2" s="48" t="str">
        <f>IF(HV2&lt;&gt;"",CHAR(34)&amp;"brown"&amp;CHAR(34),"")</f>
        <v/>
      </c>
      <c r="IV2" s="48" t="str">
        <f>IF(HW2&lt;&gt;"",CHAR(34)&amp;"purple"&amp;CHAR(34),"")</f>
        <v/>
      </c>
      <c r="IW2" s="48" t="str">
        <f>IF(HX2&lt;&gt;"",CHAR(34)&amp;"white"&amp;CHAR(34),"")</f>
        <v>"white"</v>
      </c>
      <c r="IX2" s="48" t="str">
        <f>"{"&amp;CHAR(34)&amp;"url"&amp;CHAR(34)&amp;":"&amp;CHAR(34)&amp;IN2&amp;CHAR(34)&amp;","&amp;CHAR(34)&amp;"name"&amp;CHAR(34)&amp;":"&amp;CHAR(34)&amp;A2&amp;CHAR(34)&amp;"},"</f>
        <v>{"url":"http://mkweb.bcgsc.ca/color-summarizer/?url=https://i.ibb.co/0qX5fdM/Somalia-Flag.png&amp;precision=low&amp;num_clusters=2&amp;text=1","name":"Somalia"},</v>
      </c>
      <c r="IY2" s="48">
        <v>202</v>
      </c>
    </row>
    <row r="3" spans="1:259" s="48" customFormat="1" ht="38.4" customHeight="1" thickBot="1" x14ac:dyDescent="0.35">
      <c r="A3" s="79" t="s">
        <v>433</v>
      </c>
      <c r="B3" s="40" t="e" vm="107">
        <v>#VALUE!</v>
      </c>
      <c r="C3" s="41">
        <v>2</v>
      </c>
      <c r="D3" s="42" t="s">
        <v>434</v>
      </c>
      <c r="E3" s="43" t="s">
        <v>435</v>
      </c>
      <c r="F3" s="44" t="s">
        <v>163</v>
      </c>
      <c r="G3" s="45">
        <f>COUNTIF($A$1:$A$8393,A3)</f>
        <v>1</v>
      </c>
      <c r="H3" s="46"/>
      <c r="I3" s="47" t="s">
        <v>436</v>
      </c>
      <c r="J3" s="48" t="str">
        <f>""</f>
        <v/>
      </c>
      <c r="K3" s="49"/>
      <c r="L3" s="50"/>
      <c r="M3" s="50"/>
      <c r="N3" s="51" t="s">
        <v>180</v>
      </c>
      <c r="O3" s="52">
        <v>1996</v>
      </c>
      <c r="P3" s="53" t="s">
        <v>437</v>
      </c>
      <c r="Q3" s="54">
        <v>1</v>
      </c>
      <c r="R3" s="55" t="s">
        <v>180</v>
      </c>
      <c r="S3" s="56">
        <v>3</v>
      </c>
      <c r="T3" s="57" t="s">
        <v>164</v>
      </c>
      <c r="U3" s="58" t="s">
        <v>164</v>
      </c>
      <c r="V3" s="58" t="s">
        <v>167</v>
      </c>
      <c r="W3" s="58" t="s">
        <v>164</v>
      </c>
      <c r="X3" s="58" t="s">
        <v>164</v>
      </c>
      <c r="Y3" s="58" t="s">
        <v>164</v>
      </c>
      <c r="Z3" s="58" t="s">
        <v>164</v>
      </c>
      <c r="AA3" s="58" t="s">
        <v>164</v>
      </c>
      <c r="AB3" s="58" t="s">
        <v>167</v>
      </c>
      <c r="AC3" s="58" t="s">
        <v>164</v>
      </c>
      <c r="AD3" s="58" t="s">
        <v>164</v>
      </c>
      <c r="AE3" s="58" t="s">
        <v>164</v>
      </c>
      <c r="AF3" s="59" t="s">
        <v>164</v>
      </c>
      <c r="AG3" s="59" t="s">
        <v>167</v>
      </c>
      <c r="AH3" s="59" t="s">
        <v>167</v>
      </c>
      <c r="AI3" s="59" t="s">
        <v>164</v>
      </c>
      <c r="AJ3" s="59" t="s">
        <v>164</v>
      </c>
      <c r="AK3" s="59" t="s">
        <v>164</v>
      </c>
      <c r="AL3" s="59" t="s">
        <v>164</v>
      </c>
      <c r="AM3" s="59" t="s">
        <v>164</v>
      </c>
      <c r="AN3" s="59" t="s">
        <v>164</v>
      </c>
      <c r="AO3" s="59" t="s">
        <v>164</v>
      </c>
      <c r="AP3" s="59" t="s">
        <v>164</v>
      </c>
      <c r="AQ3" s="59" t="s">
        <v>164</v>
      </c>
      <c r="AR3" s="59" t="s">
        <v>164</v>
      </c>
      <c r="AS3" s="59" t="s">
        <v>164</v>
      </c>
      <c r="AT3" s="60">
        <v>1</v>
      </c>
      <c r="AU3" s="59" t="s">
        <v>445</v>
      </c>
      <c r="AV3" s="59" t="str">
        <f>IF(LEFT(A3,1)="[",LEFT(A3,5)&amp;AU3&amp;A3,"")</f>
        <v>[SOM]Limited Recognition State[SOM] Somaliland</v>
      </c>
      <c r="AW3" s="59" t="str">
        <f t="shared" ref="AW3" si="1">C3&amp;H3&amp;A3</f>
        <v>2[SOM] Somaliland</v>
      </c>
      <c r="AX3" s="61"/>
      <c r="AY3" s="61"/>
      <c r="AZ3" s="62" t="s">
        <v>151</v>
      </c>
      <c r="BA3" s="62"/>
      <c r="BB3" s="62"/>
      <c r="BC3" s="63"/>
      <c r="BD3" s="64" t="s">
        <v>159</v>
      </c>
      <c r="BE3" s="47"/>
      <c r="BF3" s="64" t="s">
        <v>153</v>
      </c>
      <c r="BG3" s="64" t="s">
        <v>159</v>
      </c>
      <c r="BH3" s="64" t="s">
        <v>154</v>
      </c>
      <c r="BI3" s="64"/>
      <c r="BJ3" s="64"/>
      <c r="BK3" s="47"/>
      <c r="BL3" s="64" t="s">
        <v>151</v>
      </c>
      <c r="BM3" s="64" t="s">
        <v>172</v>
      </c>
      <c r="BN3" s="64" t="s">
        <v>153</v>
      </c>
      <c r="BO3" s="64" t="s">
        <v>154</v>
      </c>
      <c r="BP3" s="64" t="s">
        <v>172</v>
      </c>
      <c r="BQ3" s="64" t="s">
        <v>172</v>
      </c>
      <c r="BR3" s="64" t="s">
        <v>172</v>
      </c>
      <c r="BS3" s="64" t="s">
        <v>172</v>
      </c>
      <c r="BT3" s="64" t="s">
        <v>159</v>
      </c>
      <c r="BU3" s="65"/>
      <c r="BV3" s="66"/>
      <c r="BW3" s="66">
        <v>0</v>
      </c>
      <c r="BX3" s="47"/>
      <c r="CB3" s="6"/>
      <c r="CC3" s="6"/>
      <c r="CD3" s="67">
        <v>0</v>
      </c>
      <c r="CE3" s="67">
        <v>0</v>
      </c>
      <c r="CF3" s="67" t="e">
        <v>#REF!</v>
      </c>
      <c r="CG3" s="68" cm="1">
        <f t="array" ref="CG3">SUMPRODUCT(--(LEN(TRIM(BL3:BT3))&gt;0))</f>
        <v>4</v>
      </c>
      <c r="CH3" s="59" t="str">
        <f>IF(CG3=2,"y","n")</f>
        <v>n</v>
      </c>
      <c r="CI3" s="59" t="str">
        <f>IF(CG3=3,"y","n")</f>
        <v>n</v>
      </c>
      <c r="CJ3" s="59" t="str">
        <f>IF(CG3=4,"y","n")</f>
        <v>y</v>
      </c>
      <c r="CK3" s="59" t="str">
        <f>IF(CG3&gt;4,"y","n")</f>
        <v>n</v>
      </c>
      <c r="CL3" s="59" t="str">
        <f>IF(S3=0,"y","n")</f>
        <v>n</v>
      </c>
      <c r="CM3" s="59" t="str">
        <f>IF(S3=2,"y","n")</f>
        <v>n</v>
      </c>
      <c r="CN3" s="59" t="str">
        <f>IF(S3=3,"y","n")</f>
        <v>y</v>
      </c>
      <c r="CO3" s="59" t="str">
        <f>IF(S3&gt;=4,"y","n")</f>
        <v>n</v>
      </c>
      <c r="CP3" s="59" t="str">
        <f>IF(AT3=0,"y","n")</f>
        <v>n</v>
      </c>
      <c r="CQ3" s="59" t="str">
        <f>IF(AT3=1,"y","n")</f>
        <v>y</v>
      </c>
      <c r="CR3" s="59" t="str">
        <f>IF(AT3=2,"y","n")</f>
        <v>n</v>
      </c>
      <c r="CS3" s="59" t="str">
        <f>IF(AT3&gt;=3,"y","n")</f>
        <v>n</v>
      </c>
      <c r="CT3" s="69" t="str">
        <f>CHAR(34)&amp;A3&amp;CHAR(34)</f>
        <v>"[SOM] Somaliland"</v>
      </c>
      <c r="CU3" s="70" t="str">
        <f>CHAR(34)&amp;"rgn_"&amp;R3&amp;CHAR(34)</f>
        <v>"rgn_Africa"</v>
      </c>
      <c r="CV3" s="48" t="str">
        <f>CHAR(34)&amp;D3&amp;CHAR(34)</f>
        <v>"https://upload.wikimedia.org/wikipedia/commons/thumb/4/4d/Flag_of_Somaliland.svg/640px-Flag_of_Somaliland.svg.png"</v>
      </c>
      <c r="CW3" s="48" t="str">
        <f>IF(CH3="y",CHAR(34)&amp;CH$1&amp;CHAR(34)&amp;",","")</f>
        <v/>
      </c>
      <c r="CX3" s="48" t="str">
        <f>IF(CI3="y",CHAR(34)&amp;CI$1&amp;CHAR(34)&amp;",","")</f>
        <v/>
      </c>
      <c r="CY3" s="48" t="str">
        <f>IF(CJ3="y",CHAR(34)&amp;CJ$1&amp;CHAR(34)&amp;",","")</f>
        <v>"4Color",</v>
      </c>
      <c r="CZ3" s="48" t="str">
        <f>IF(CK3="y",CHAR(34)&amp;CK$1&amp;CHAR(34)&amp;",","")</f>
        <v/>
      </c>
      <c r="DA3" s="48" t="str">
        <f>IF(Q3&gt;1,CHAR(34)&amp;"words2"&amp;CHAR(34)&amp;",","")</f>
        <v/>
      </c>
      <c r="DB3" s="48" t="str">
        <f>IF(Q3&gt;2,CHAR(34)&amp;"words3"&amp;CHAR(34)&amp;",","")</f>
        <v/>
      </c>
      <c r="DC3" s="48" t="str">
        <f>IF(Q3=2,CHAR(34)&amp;"exact2"&amp;CHAR(34)&amp;",","")</f>
        <v/>
      </c>
      <c r="DD3" s="48" t="str">
        <f>IF(LEN(CHAR(34)&amp;"lets"&amp;LEN(SUBSTITUTE(SUBSTITUTE(IFERROR(TRIM(SUBSTITUTE(SUBSTITUTE(SUBSTITUTE(IFERROR(TRIM(SUBSTITUTE(A3,MID(A3,FIND("(",A3),FIND(")",A3)-FIND("(",A3)+1),"")),A3),"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",""),"-",""))&amp;CHAR(34)&amp;",")=9,CHAR(34)&amp;"lets"&amp;LEN(SUBSTITUTE(SUBSTITUTE(IFERROR(TRIM(SUBSTITUTE(SUBSTITUTE(SUBSTITUTE(IFERROR(TRIM(SUBSTITUTE(A3,MID(A3,FIND("(",A3),FIND(")",A3)-FIND("(",A3)+1),"")),A3),"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",""),"-",""))&amp;CHAR(34)&amp;",",CHAR(34)&amp;"lets0"&amp;LEN(SUBSTITUTE(SUBSTITUTE(IFERROR(TRIM(SUBSTITUTE(SUBSTITUTE(SUBSTITUTE(IFERROR(TRIM(SUBSTITUTE(A3,MID(A3,FIND("(",A3),FIND(")",A3)-FIND("(",A3)+1),"")),A3),"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f>
        <v>"lets10",</v>
      </c>
      <c r="DE3" s="48" t="str">
        <f>IFERROR(CHAR(34)&amp;"start"&amp;LEFT(TRIM(SUBSTITUTE(SUBSTITUTE(TRIM(SUBSTITUTE(SUBSTITUTE(A3, MID(A3, FIND("[", A3), FIND("]", A3) - FIND("[", A3) + 1), ""), "  ", " ")), MID(TRIM(SUBSTITUTE(SUBSTITUTE(A3, MID(A3, FIND("[", A3), FIND("]", A3) - FIND("[", A3) + 1), ""), "  ", " ")), FIND("[", TRIM(SUBSTITUTE(SUBSTITUTE(A3, MID(A3, FIND("[", A3), FIND("]", A3) - FIND("[", A3) + 1), ""), "  ", " "))), FIND("]", TRIM(SUBSTITUTE(SUBSTITUTE(A3, MID(A3, FIND("[", A3), FIND("]", A3) - FIND("[", A3) + 1), ""), "  ", " "))) - FIND("[", TRIM(SUBSTITUTE(SUBSTITUTE(A3, MID(A3, FIND("[", A3), FIND("]", A3) - FIND("[", A3) + 1), ""), "  ", " "))) + 1), ""), "  ", " ")),1)&amp;CHAR(34)&amp;",",CHAR(34)&amp;"start"&amp;IFERROR(LEFT(SUBSTITUTE(A3,"["&amp;MID(A3,FIND("[",A3)+1,FIND("]",A3)-FIND("[",A3)-1)&amp;"] ",""),1),LEFT(A3,1))&amp;CHAR(34)&amp;",")</f>
        <v>"startS",</v>
      </c>
      <c r="DF3" s="48" t="str">
        <f>IFERROR(IF(SEARCH("tan",A3)&gt;0,CHAR(34)&amp;"withtn"&amp;CHAR(34)&amp;",",""),"")</f>
        <v/>
      </c>
      <c r="DG3" s="48" t="str">
        <f>IFERROR(IF(SEARCH("q",A3)&gt;0,CHAR(34)&amp;"with_q"&amp;CHAR(34)&amp;",",""),"")</f>
        <v/>
      </c>
      <c r="DH3" s="48" t="str">
        <f>IFERROR(IF(SEARCH("v",A3)&gt;0,CHAR(34)&amp;"with_v"&amp;CHAR(34)&amp;",",""),"")</f>
        <v/>
      </c>
      <c r="DI3" s="48" t="str">
        <f>IFERROR(IF(SEARCH("w",A3)&gt;0,CHAR(34)&amp;"with_w"&amp;CHAR(34)&amp;",",""),"")</f>
        <v/>
      </c>
      <c r="DJ3" s="48" t="str">
        <f>IFERROR(IF(SEARCH("y",A3)&gt;0,CHAR(34)&amp;"with_y"&amp;CHAR(34)&amp;",",""),"")</f>
        <v/>
      </c>
      <c r="DK3" s="48" t="str">
        <f>IFERROR(IF(SEARCH("z",A3)&gt;0,CHAR(34)&amp;"with_z"&amp;CHAR(34)&amp;",",""),"")</f>
        <v/>
      </c>
      <c r="DL3" s="48" t="str">
        <f>IF(CG3=2, CHAR(34) &amp; _xlfn.TEXTJOIN("", TRUE, _xlfn._xlws.SORT(HP3:HX3)) &amp; CHAR(34) &amp; ",", "")</f>
        <v/>
      </c>
      <c r="DM3" s="48" t="str" cm="1">
        <f t="array" ref="DM3">IF(CG3=3,CHAR(34) &amp; _xlfn.TEXTJOIN("", TRUE, RIGHT(HP3:HX3, 2)) &amp; CHAR(34) &amp; ",", "")</f>
        <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"year19",</v>
      </c>
      <c r="DP3" s="6" t="str">
        <f>IF(AND(ISNUMBER(SEARCH("20", O3)), ISERROR(SEARCH("1920", O3))), CHAR(34)&amp;"year00"&amp;CHAR(34)&amp;",", "")</f>
        <v/>
      </c>
      <c r="DQ3" s="6" t="str">
        <f>IF(CC3="y",CHAR(34)&amp;"soviet"&amp;CHAR(34)&amp;",","")</f>
        <v/>
      </c>
      <c r="DR3" s="6" t="str">
        <f>IF(BY3="y",CHAR(34)&amp;"dgband"&amp;CHAR(34)&amp;",","")</f>
        <v/>
      </c>
      <c r="DS3" s="6" t="str">
        <f>IF(W3="y",IF(AND(V3="n",BY3&lt;&gt;"y"),CHAR(34)&amp;"allver"&amp;CHAR(34)&amp;",",""),"")</f>
        <v/>
      </c>
      <c r="DT3" s="6" t="str">
        <f>IF(V3="y",IF(AND(W3="n",BY3&lt;&gt;"y"),CHAR(34)&amp;"allhor"&amp;CHAR(34)&amp;",",""),"")</f>
        <v>"allhor",</v>
      </c>
      <c r="DU3" s="6" t="str">
        <f>IF(BY3="y",IF(AND(W3="n",V3="n"),CHAR(34)&amp;"alldia"&amp;CHAR(34)&amp;",",""),"")</f>
        <v/>
      </c>
      <c r="DV3" s="48" t="str">
        <f>IF(IA3&lt;&gt;"",(IF(IA3="y",CHAR(34)&amp;"largec"&amp;CHAR(34)&amp;",",CHAR(34)&amp;"smallc"&amp;CHAR(34)&amp;",")),"")</f>
        <v/>
      </c>
      <c r="DW3" s="48" t="str">
        <f>IF(CL3="y",CHAR(34)&amp;CL$1&amp;CHAR(34)&amp;",","")</f>
        <v/>
      </c>
      <c r="DX3" s="48" t="str">
        <f>IF(CM3="y",CHAR(34)&amp;CM$1&amp;CHAR(34)&amp;",","")</f>
        <v/>
      </c>
      <c r="DY3" s="48" t="str">
        <f>IF(CN3="y",CHAR(34)&amp;CN$1&amp;CHAR(34)&amp;",","")</f>
        <v>"3Bands",</v>
      </c>
      <c r="DZ3" s="48" t="str">
        <f>IF(CO3="y",CHAR(34)&amp;CO$1&amp;CHAR(34)&amp;",","")</f>
        <v/>
      </c>
      <c r="EA3" s="48" t="str">
        <f>IF(T3="y",CHAR(34)&amp;T$1&amp;CHAR(34)&amp;",","")</f>
        <v/>
      </c>
      <c r="EB3" s="48" t="str">
        <f>IF(U3="y",CHAR(34)&amp;U$1&amp;CHAR(34)&amp;",","")</f>
        <v/>
      </c>
      <c r="EC3" s="48" t="str">
        <f>IF(V3="y",CHAR(34)&amp;V$1&amp;CHAR(34)&amp;",","")</f>
        <v>"Horizo",</v>
      </c>
      <c r="ED3" s="48" t="str">
        <f>IF(W3="y",CHAR(34)&amp;W$1&amp;CHAR(34)&amp;",","")</f>
        <v/>
      </c>
      <c r="EE3" s="48" t="str">
        <f>IF(X3="y",CHAR(34)&amp;X$1&amp;CHAR(34)&amp;",","")</f>
        <v/>
      </c>
      <c r="EF3" s="48" t="str">
        <f>IF(AND(Y3&lt;&gt;"n",Y3&lt;&gt;""),CHAR(34)&amp;Y$1&amp;CHAR(34)&amp;",","")</f>
        <v/>
      </c>
      <c r="EG3" s="48" t="str">
        <f>IF(Z3="y",CHAR(34)&amp;Z$1&amp;CHAR(34)&amp;",","")</f>
        <v/>
      </c>
      <c r="EH3" s="48" t="str">
        <f>IF(AA3="y",CHAR(34)&amp;AA$1&amp;CHAR(34)&amp;",","")</f>
        <v/>
      </c>
      <c r="EI3" s="48" t="str">
        <f>IF(AB3="y",CHAR(34)&amp;AB$1&amp;CHAR(34)&amp;",","")</f>
        <v>"Texted",</v>
      </c>
      <c r="EJ3" s="48" t="str">
        <f>IF(AC3="y",CHAR(34)&amp;AC$1&amp;CHAR(34)&amp;",","")</f>
        <v/>
      </c>
      <c r="EK3" s="48" t="str">
        <f>IF(AD3="y",CHAR(34)&amp;AD$1&amp;CHAR(34)&amp;",","")</f>
        <v/>
      </c>
      <c r="EL3" s="48" t="str">
        <f>IF(AE3="y",CHAR(34)&amp;AE$1&amp;CHAR(34)&amp;",","")</f>
        <v/>
      </c>
      <c r="EM3" s="48" t="str">
        <f>IF(AF3="y",CHAR(34)&amp;AF$1&amp;CHAR(34)&amp;",","")</f>
        <v/>
      </c>
      <c r="EN3" s="48" t="str">
        <f>IF(AG3="y",CHAR(34)&amp;AG$1&amp;CHAR(34)&amp;",","")</f>
        <v>"Unequa",</v>
      </c>
      <c r="EO3" s="48" t="str">
        <f>IF(AH3="y",CHAR(34)&amp;AH$1&amp;CHAR(34)&amp;",","")</f>
        <v>"Center",</v>
      </c>
      <c r="EP3" s="48" t="str">
        <f>IF(AI3="y",CHAR(34)&amp;AI$1&amp;CHAR(34)&amp;",","")</f>
        <v/>
      </c>
      <c r="EQ3" s="48" t="str">
        <f>IF(AJ3="y",CHAR(34)&amp;AJ$1&amp;CHAR(34)&amp;",","")</f>
        <v/>
      </c>
      <c r="ER3" s="48" t="str">
        <f>IF(AK3="y",CHAR(34)&amp;AK$1&amp;CHAR(34)&amp;",","")</f>
        <v/>
      </c>
      <c r="ES3" s="48" t="str">
        <f>IF(AL3="y",CHAR(34)&amp;AL$1&amp;CHAR(34)&amp;",","")</f>
        <v/>
      </c>
      <c r="ET3" s="48" t="str">
        <f>IF(AM3="y",CHAR(34)&amp;AM$1&amp;CHAR(34)&amp;",","")</f>
        <v/>
      </c>
      <c r="EU3" s="48" t="str">
        <f>IF(AN3="y",CHAR(34)&amp;AN$1&amp;CHAR(34)&amp;",","")</f>
        <v/>
      </c>
      <c r="EV3" s="48" t="str">
        <f>IF(AO3="y",CHAR(34)&amp;AO$1&amp;CHAR(34)&amp;",","")</f>
        <v/>
      </c>
      <c r="EW3" s="48" t="str">
        <f>IF(AP3="y",CHAR(34)&amp;AP$1&amp;CHAR(34)&amp;",","")</f>
        <v/>
      </c>
      <c r="EX3" s="48" t="str">
        <f>IF(AQ3="y",CHAR(34)&amp;AQ$1&amp;CHAR(34)&amp;",","")</f>
        <v/>
      </c>
      <c r="EY3" s="48" t="str">
        <f>IF(AR3="y",CHAR(34)&amp;AR$1&amp;CHAR(34)&amp;",","")</f>
        <v/>
      </c>
      <c r="EZ3" s="48" t="str">
        <f>IF(AS3="y",CHAR(34)&amp;AS$1&amp;CHAR(34)&amp;",","")</f>
        <v/>
      </c>
      <c r="FA3" s="48" t="str">
        <f>IF(AT3&gt;0,CHAR(34)&amp;"sta"&amp;AZ3&amp;CHAR(34)&amp;",","")</f>
        <v>"staBLA",</v>
      </c>
      <c r="FB3" s="48" t="str">
        <f>IF(AND(AT3&gt;0,BA3&lt;&gt;""),CHAR(34)&amp;"sta"&amp;BA3&amp;CHAR(34)&amp;",","")</f>
        <v/>
      </c>
      <c r="FC3" s="48" t="str">
        <f>IF(AND(AT3&gt;0,BB3&lt;&gt;""),CHAR(34)&amp;"sta"&amp;BB3&amp;CHAR(34)&amp;",","")</f>
        <v/>
      </c>
      <c r="FD3" s="48" t="str">
        <f>IF(BV3="n",CHAR(34)&amp;"tcWHYE"&amp;CHAR(34)&amp;",",IF(BV3="y",CHAR(34)&amp;FD$1&amp;CHAR(34)&amp;",",""))</f>
        <v/>
      </c>
      <c r="FE3" s="48" t="str">
        <f>IF(COUNTIF(BL3:BT3,"BLU")=0,CHAR(34)&amp;"NO_BLU"&amp;CHAR(34)&amp;",", "")</f>
        <v>"NO_BLU",</v>
      </c>
      <c r="FF3" s="48" t="str">
        <f>IF(COUNTIF(BL3:BT3,"WHI")=0,CHAR(34)&amp;"NO_WHI"&amp;CHAR(34)&amp;",", "")</f>
        <v/>
      </c>
      <c r="FG3" s="48" t="str">
        <f>IF(COUNTIF(BL3:BT3,"RED")=0,CHAR(34)&amp;"NO_RED"&amp;CHAR(34)&amp;",", "")</f>
        <v/>
      </c>
      <c r="FH3" s="48" t="str">
        <f>IF(COUNTIF(BL3:BS3,"GRE")=0,CHAR(34)&amp;"NO_GRE"&amp;CHAR(34)&amp;",", "")</f>
        <v/>
      </c>
      <c r="FI3" s="48" t="str">
        <f>IF(COUNTIF(BL3:BT3,"YEL")=0,CHAR(34)&amp;"NO_YEL"&amp;CHAR(34)&amp;",", "")</f>
        <v>"NO_YEL",</v>
      </c>
      <c r="FJ3" s="48" t="str">
        <f>IF(COUNTIF(BL3:BT3,"BLA")=0,CHAR(34)&amp;"NO_BLA"&amp;CHAR(34)&amp;",", "")</f>
        <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
      </c>
      <c r="FQ3" s="48" t="str">
        <f>IF(LEN(BF3)=3,CHAR(34)&amp;"001"&amp;BF3&amp;CHAR(34)&amp;",","")</f>
        <v>"001GRE",</v>
      </c>
      <c r="FR3" s="48" t="str">
        <f>IF(LEN(BG3)=3,CHAR(34)&amp;"002"&amp;BG3&amp;CHAR(34)&amp;",","")</f>
        <v>"002WHI",</v>
      </c>
      <c r="FS3" s="48" t="str">
        <f>IF(LEN(BH3)=3,CHAR(34)&amp;"003"&amp;BH3&amp;CHAR(34)&amp;",","")</f>
        <v>"003RED",</v>
      </c>
      <c r="FT3" s="48" t="str">
        <f>CHAR(34)&amp;"myr"&amp;BD3&amp;CHAR(34)&amp;","</f>
        <v>"myrWHI",</v>
      </c>
      <c r="FU3" s="48" t="str">
        <f>IF(AY3="y",CHAR(34)&amp;"island"&amp;CHAR(34)&amp;",","")</f>
        <v/>
      </c>
      <c r="FV3" s="48" t="str">
        <f>IF(BZ3="y",CHAR(34)&amp;"landlo"&amp;CHAR(34)&amp;",","")</f>
        <v/>
      </c>
      <c r="FW3" s="48" t="str">
        <f>IF(CA3="y",CHAR(34)&amp;"eunion"&amp;CHAR(34)&amp;",","")</f>
        <v/>
      </c>
      <c r="FX3" s="48" t="str">
        <f>SUBSTITUTE(IFERROR(SEARCH("[",A3),IFERROR(IF(AND(CA3&lt;&gt;"y",SEARCH("Europe",R3)&gt;0),CHAR(34)&amp;"noeuni"&amp;CHAR(34)&amp;",",""),"")),"1","")</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C3" s="48" t="str">
        <f>IFERROR(IF(SEARCH("Portuguese",CB3)&gt;0,CHAR(34)&amp;"portug"&amp;CHAR(34)&amp;",",""),"")</f>
        <v/>
      </c>
      <c r="GD3" s="48" t="str">
        <f>IFERROR(IF(SEARCH("German",CB3)&gt;0,CHAR(34)&amp;"german"&amp;CHAR(34)&amp;",",""),"")</f>
        <v/>
      </c>
      <c r="GE3" s="48" t="str">
        <f>IFERROR(IF(SEARCH("Dutch",CB3)&gt;0,CHAR(34)&amp;"dutchs"&amp;CHAR(34)&amp;",",""),"")</f>
        <v/>
      </c>
      <c r="GF3" s="48" t="str">
        <f>IFERROR(IF(SEARCH("Historical",AU3)&gt;0,CHAR(34)&amp;"histor"&amp;CHAR(34)&amp;",",""),"")</f>
        <v/>
      </c>
      <c r="GG3" s="48" t="str">
        <f>IF(BU3="y",CHAR(34)&amp;"unjack"&amp;CHAR(34)&amp;",","")</f>
        <v/>
      </c>
      <c r="GH3" s="48" t="str">
        <f>IF(CD3=1,CHAR(34)&amp;"southc"&amp;CHAR(34)&amp;",","")</f>
        <v/>
      </c>
      <c r="GI3" s="48" t="str">
        <f>IF(CE3=1,CHAR(34)&amp;"hasmap"&amp;CHAR(34)&amp;",","")</f>
        <v/>
      </c>
      <c r="GJ3" s="48" t="str">
        <f>IF(CP3="y",CHAR(34)&amp;CP$1&amp;CHAR(34)&amp;",","")</f>
        <v/>
      </c>
      <c r="GK3" s="48" t="str">
        <f>IF(GJ3="",CHAR(34)&amp;"HasSta"&amp;CHAR(34)&amp;",","")</f>
        <v>"HasSta",</v>
      </c>
      <c r="GL3" s="48" t="str">
        <f>IF(CQ3="y",CHAR(34)&amp;CQ$1&amp;CHAR(34)&amp;",","")</f>
        <v>"1Stars",</v>
      </c>
      <c r="GM3" s="48" t="str">
        <f>IF(CR3="y",CHAR(34)&amp;CR$1&amp;CHAR(34)&amp;",","")</f>
        <v/>
      </c>
      <c r="GN3" s="48" t="str">
        <f>IF(CS3="y",CHAR(34)&amp;CS$1&amp;CHAR(34)&amp;",","")</f>
        <v/>
      </c>
      <c r="GP3" s="48" t="str">
        <f>CHAR(34)&amp;AU3&amp;CHAR(34)</f>
        <v>"Limited Recognition State"</v>
      </c>
      <c r="GS3" s="48" t="str">
        <f>SUBSTITUTE("["&amp;_xlfn.CONCAT(CW3:GN3)&amp;"]",",]","]")</f>
        <v>["4Color","lets10","startS","year19","allhor","3Bands","Horizo","Texted","Unequa","Center","staBLA","NO_BLU","NO_YEL","001GRE","002WHI","003RED","myrWHI","HasSta","1Stars"]</v>
      </c>
      <c r="GT3" s="48" t="str">
        <f>IF(BL3&lt;&gt;"",CHAR(34)&amp;"cl_"&amp;BL3&amp;CHAR(34)&amp;",","")</f>
        <v>"cl_BLA",</v>
      </c>
      <c r="GU3" s="48" t="str">
        <f>IF(BM3&lt;&gt;"",CHAR(34)&amp;"cl_"&amp;BM3&amp;CHAR(34)&amp;",","")</f>
        <v/>
      </c>
      <c r="GV3" s="48" t="str">
        <f>IF(BN3&lt;&gt;"",CHAR(34)&amp;"cl_"&amp;BN3&amp;CHAR(34)&amp;",","")</f>
        <v>"cl_GRE",</v>
      </c>
      <c r="GW3" s="48" t="str">
        <f>IF(BO3&lt;&gt;"",CHAR(34)&amp;"cl_"&amp;BO3&amp;CHAR(34)&amp;",","")</f>
        <v>"cl_RED",</v>
      </c>
      <c r="GX3" s="48" t="str">
        <f>IF(BP3&lt;&gt;"",CHAR(34)&amp;"cl_"&amp;BP3&amp;CHAR(34)&amp;",","")</f>
        <v/>
      </c>
      <c r="GY3" s="48" t="str">
        <f>IF(BQ3&lt;&gt;"",CHAR(34)&amp;"cl_"&amp;BQ3&amp;CHAR(34)&amp;",","")</f>
        <v/>
      </c>
      <c r="GZ3" s="48" t="str">
        <f>IF(BR3&lt;&gt;"",CHAR(34)&amp;"cl_"&amp;BR3&amp;CHAR(34)&amp;",","")</f>
        <v/>
      </c>
      <c r="HA3" s="48" t="str">
        <f>IF(BS3&lt;&gt;"",CHAR(34)&amp;"cl_"&amp;BS3&amp;CHAR(34)&amp;",","")</f>
        <v/>
      </c>
      <c r="HB3" s="48" t="str">
        <f>IF(BT3&lt;&gt;"",CHAR(34)&amp;"cl_"&amp;BT3&amp;CHAR(34)&amp;",","")</f>
        <v>"cl_WHI",</v>
      </c>
      <c r="HC3" s="48" t="str">
        <f>SUBSTITUTE("["&amp;_xlfn.CONCAT(GT3:HB3)&amp;"]",",]","]")</f>
        <v>["cl_BLA","cl_GRE","cl_RED","cl_WHI"]</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{couname:"[SOM] Somaliland",year:"1996",region:"rgn_Africa",Colors:["cl_BLA","cl_GRE","cl_RED","cl_WHI"],Items:["4Color","lets10","startS","year19","allhor","3Bands","Horizo","Texted","Unequa","Center","staBLA","NO_BLU","NO_YEL","001GRE","002WHI","003RED","myrWHI","HasSta","1Stars"],Flag:"https://upload.wikimedia.org/wikipedia/commons/thumb/4/4d/Flag_of_Somaliland.svg/640px-Flag_of_Somaliland.svg.png",HDFlag:"https://upload.wikimedia.org/wikipedia/commons/thumb/4/4d/Flag_of_Somaliland.svg/2560px-Flag_of_Somaliland.svg.png",type:"Limited Recognition State", describe: "\nDue to the importance of the Shahada in Islam, regulations have been made on the usage of the flag. It is forbidden for Somalis to fly the flag at half mast because it has the Shahada (which reads in Arabic 'There is no other god except God, Muhammad is the Messenger of God') written on it, and it is seen as desecration. Moreover, if a person is seen lowering the flag to half-mast, they might be charged with flag desecration. Similar rules, for the same reason, also apply to the flags of Afghanistan, Saudi Arabia and Iraq.", isnew:".", links: "https://en.wikipedia.org/wiki/Flag_of_Somaliland"},</v>
      </c>
      <c r="HG3" s="73" t="str">
        <f>"{couname:"&amp;CT3&amp;(IF(HK3&lt;&gt;"",",subtype:"&amp;CHAR(34)&amp;HK3&amp;CHAR(34),""))&amp;",year:"&amp;HJ3&amp;",region:"&amp;CU3&amp;",Colors:"&amp;HC3&amp;",Items:"&amp;GS3&amp;",Flag:"&amp;CV3&amp;",HDFlag:"&amp;CHAR(34)&amp;E3&amp;CHAR(34)&amp;",type:"&amp;GP3&amp;", describe: "&amp;HI3&amp;", links: "&amp;HL3&amp;"},"</f>
        <v>{couname:"[SOM] Somaliland",year:"1996",region:"rgn_Africa",Colors:["cl_BLA","cl_GRE","cl_RED","cl_WHI"],Items:["4Color","lets10","startS","year19","allhor","3Bands","Horizo","Texted","Unequa","Center","staBLA","NO_BLU","NO_YEL","001GRE","002WHI","003RED","myrWHI","HasSta","1Stars"],Flag:"https://upload.wikimedia.org/wikipedia/commons/thumb/4/4d/Flag_of_Somaliland.svg/640px-Flag_of_Somaliland.svg.png",HDFlag:"https://upload.wikimedia.org/wikipedia/commons/thumb/4/4d/Flag_of_Somaliland.svg/2560px-Flag_of_Somaliland.svg.png",type:"Limited Recognition State", describe: "\nDue to the importance of the Shahada in Islam, regulations have been made on the usage of the flag. It is forbidden for Somalis to fly the flag at half mast because it has the Shahada (which reads in Arabic 'There is no other god except God, Muhammad is the Messenger of God') written on it, and it is seen as desecration. Moreover, if a person is seen lowering the flag to half-mast, they might be charged with flag desecration. Similar rules, for the same reason, also apply to the flags of Afghanistan, Saudi Arabia and Iraq.", links: "https://en.wikipedia.org/wiki/Flag_of_Somaliland"},</v>
      </c>
      <c r="HH3" s="48" t="str">
        <f>IF(P3&lt;&gt;"",CHAR(34)&amp;"\n"&amp;P3&amp;CHAR(34),CHAR(34)&amp;CHAR(34))</f>
        <v>"\nDue to the importance of the Shahada in Islam, regulations have been made on the usage of the flag. It is forbidden for Somalis to fly the flag at half mast because it has the Shahada (which reads in Arabic 'There is no other god except God, Muhammad is the Messenger of God') written on it, and it is seen as desecration. Moreover, if a person is seen lowering the flag to half-mast, they might be charged with flag desecration. Similar rules, for the same reason, also apply to the flags of Afghanistan, Saudi Arabia and Iraq."</v>
      </c>
      <c r="HI3" s="48" t="str">
        <f>IF(J3=0,CHAR(34)&amp;CHAR(34),HH3)</f>
        <v>"\nDue to the importance of the Shahada in Islam, regulations have been made on the usage of the flag. It is forbidden for Somalis to fly the flag at half mast because it has the Shahada (which reads in Arabic 'There is no other god except God, Muhammad is the Messenger of God') written on it, and it is seen as desecration. Moreover, if a person is seen lowering the flag to half-mast, they might be charged with flag desecration. Similar rules, for the same reason, also apply to the flags of Afghanistan, Saudi Arabia and Iraq."</v>
      </c>
      <c r="HJ3" s="48" t="str">
        <f>CHAR(34)&amp;O3&amp;CHAR(34)</f>
        <v>"1996"</v>
      </c>
      <c r="HL3" s="48" t="str">
        <f>CHAR(34)&amp;I3&amp;CHAR(34)</f>
        <v>"https://en.wikipedia.org/wiki/Flag_of_Somaliland"</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{"couname":"[SOM] Somaliland","year":"1996","region":"rgn_Africa","Colors":["cl_BLA","cl_GRE","cl_RED","cl_WHI"],"Items":["4Color","lets10","startS","year19","allhor","3Bands","Horizo","Texted","Unequa","Center","staBLA","NO_BLU","NO_YEL","001GRE","002WHI","003RED","myrWHI","HasSta","1Stars"],"Flag":"https://upload.wikimedia.org/wikipedia/commons/thumb/4/4d/Flag_of_Somaliland.svg/640px-Flag_of_Somaliland.svg.png","HDFlag":"https://upload.wikimedia.org/wikipedia/commons/thumb/4/4d/Flag_of_Somaliland.svg/2560px-Flag_of_Somaliland.svg.png","type":"Limited Recognition State", "describe": "\nDue to the importance of the Shahada in Islam, regulations have been made on the usage of the flag. It is forbidden for Somalis to fly the flag at half mast because it has the Shahada (which reads in Arabic 'There is no other god except God, Muhammad is the Messenger of God') written on it, and it is seen as desecration. Moreover, if a person is seen lowering the flag to half-mast, they might be charged with flag desecration. Similar rules, for the same reason, also apply to the flags of Afghanistan, Saudi Arabia and Iraq.", "isnew": ".", "links": "https://en.wikipedia.org/wiki/Flag_of_Somaliland"},</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{"couname":"[SOM] Somaliland","year":"1996","region":"rgn_Africa","Colors":["cl_BLA","cl_GRE","cl_RED","cl_WHI"],"Items":["4Color","lets10","startS","year19","allhor","3Bands","Horizo","Texted","Unequa","Center","staBLA","NO_BLU","NO_YEL","001GRE","002WHI","003RED","myrWHI","HasSta","1Stars"],"Flag":"https://upload.wikimedia.org/wikipedia/commons/thumb/4/4d/Flag_of_Somaliland.svg/640px-Flag_of_Somaliland.svg.png","HDFlag":"https://upload.wikimedia.org/wikipedia/commons/thumb/4/4d/Flag_of_Somaliland.svg/2560px-Flag_of_Somaliland.svg.png","type":"Limited Recognition State", "describe": "\nDue to the importance of the Shahada in Islam, regulations have been made on the usage of the flag. It is forbidden for Somalis to fly the flag at half mast because it has the Shahada (which reads in Arabic 'There is no other god except God, Muhammad is the Messenger of God') written on it, and it is seen as desecration. Moreover, if a person is seen lowering the flag to half-mast, they might be charged with flag desecration. Similar rules, for the same reason, also apply to the flags of Afghanistan, Saudi Arabia and Iraq.", "isnew": ".", "links": "https://en.wikipedia.org/wiki/Flag_of_Somaliland"},</v>
      </c>
      <c r="HO3" s="75"/>
      <c r="HP3" s="48" t="str" cm="1">
        <f t="array" ref="HP3">IF(_xlfn.TEXTJOIN(", ", TRUE, IF(ISNUMBER(SEARCH("BLA", BL3:BT3)), COLUMN(BL3:BT3) - COLUMN(BL3) + 1, ""))&lt;&gt;"","BLA","")</f>
        <v>BLA</v>
      </c>
      <c r="HQ3" s="48" t="str" cm="1">
        <f t="array" ref="HQ3">IF(_xlfn.TEXTJOIN(", ", TRUE, IF(ISNUMBER(SEARCH("BLU", BL3:BT3)), COLUMN(BL3:BT3) - COLUMN(BL3) + 1, ""))&lt;&gt;"","BLU","")</f>
        <v/>
      </c>
      <c r="HR3" s="48" t="str" cm="1">
        <f t="array" ref="HR3">IF(_xlfn.TEXTJOIN(", ", TRUE, IF(ISNUMBER(SEARCH("GRE", BL3:BT3)), COLUMN(BL3:BT3) - COLUMN(BL3) + 1, ""))&lt;&gt;"","GRE","")</f>
        <v>GRE</v>
      </c>
      <c r="HS3" s="48" t="str" cm="1">
        <f t="array" ref="HS3">IF(_xlfn.TEXTJOIN(", ", TRUE, IF(ISNUMBER(SEARCH("RED", BL3:BT3)), COLUMN(BL3:BT3) - COLUMN(BL3) + 1, ""))&lt;&gt;"","RED","")</f>
        <v>RED</v>
      </c>
      <c r="HT3" s="48" t="str" cm="1">
        <f t="array" ref="HT3">IF(_xlfn.TEXTJOIN(", ", TRUE, IF(ISNUMBER(SEARCH("YEL", BL3:BT3)), COLUMN(BL3:BT3) - COLUMN(BL3) + 1, ""))&lt;&gt;"","YEL","")</f>
        <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L3" s="48">
        <f>SUM(IC3:IK3)</f>
        <v>0</v>
      </c>
      <c r="IM3" s="45">
        <f>COUNTIF(IC3:IK3,"&gt;0")-CG3</f>
        <v>-4</v>
      </c>
      <c r="IN3" s="78" t="str">
        <f>"http://mkweb.bcgsc.ca/color-summarizer/?url="&amp;D3&amp;"&amp;precision=low&amp;num_clusters="&amp;CG3&amp;"&amp;text=1"</f>
        <v>http://mkweb.bcgsc.ca/color-summarizer/?url=https://upload.wikimedia.org/wikipedia/commons/thumb/4/4d/Flag_of_Somaliland.svg/640px-Flag_of_Somaliland.svg.png&amp;precision=low&amp;num_clusters=4&amp;text=1</v>
      </c>
      <c r="IO3" s="48" t="str">
        <f>IF(HP3&lt;&gt;"",CHAR(34)&amp;"black"&amp;CHAR(34),"")</f>
        <v>"black"</v>
      </c>
      <c r="IP3" s="48" t="str">
        <f>IF(HQ3&lt;&gt;"",CHAR(34)&amp;"blue"&amp;CHAR(34),"")</f>
        <v/>
      </c>
      <c r="IQ3" s="48" t="str">
        <f>IF(HR3&lt;&gt;"",CHAR(34)&amp;"green"&amp;CHAR(34),"")</f>
        <v>"green"</v>
      </c>
      <c r="IR3" s="48" t="str">
        <f>IF(HS3&lt;&gt;"",CHAR(34)&amp;"red"&amp;CHAR(34),"")</f>
        <v>"red"</v>
      </c>
      <c r="IS3" s="48" t="str">
        <f>IF(HT3&lt;&gt;"",CHAR(34)&amp;"yellow"&amp;CHAR(34),"")</f>
        <v/>
      </c>
      <c r="IT3" s="48" t="str">
        <f>IF(HU3&lt;&gt;"",CHAR(34)&amp;"orange"&amp;CHAR(34),"")</f>
        <v/>
      </c>
      <c r="IU3" s="48" t="str">
        <f>IF(HV3&lt;&gt;"",CHAR(34)&amp;"brown"&amp;CHAR(34),"")</f>
        <v/>
      </c>
      <c r="IV3" s="48" t="str">
        <f>IF(HW3&lt;&gt;"",CHAR(34)&amp;"purple"&amp;CHAR(34),"")</f>
        <v/>
      </c>
      <c r="IW3" s="48" t="str">
        <f>IF(HX3&lt;&gt;"",CHAR(34)&amp;"white"&amp;CHAR(34),"")</f>
        <v>"white"</v>
      </c>
      <c r="IX3" s="48" t="str">
        <f>"{"&amp;CHAR(34)&amp;"url"&amp;CHAR(34)&amp;":"&amp;CHAR(34)&amp;IN3&amp;CHAR(34)&amp;","&amp;CHAR(34)&amp;"name"&amp;CHAR(34)&amp;":"&amp;CHAR(34)&amp;A3&amp;CHAR(34)&amp;"},"</f>
        <v>{"url":"http://mkweb.bcgsc.ca/color-summarizer/?url=https://upload.wikimedia.org/wikipedia/commons/thumb/4/4d/Flag_of_Somaliland.svg/640px-Flag_of_Somaliland.svg.png&amp;precision=low&amp;num_clusters=4&amp;text=1","name":"[SOM] Somaliland"},</v>
      </c>
      <c r="IY3" s="48">
        <v>778</v>
      </c>
    </row>
    <row r="4" spans="1:259" ht="38.4" customHeight="1" x14ac:dyDescent="0.3">
      <c r="F4" s="82"/>
      <c r="G4" s="82"/>
      <c r="H4" s="82"/>
      <c r="I4" s="82"/>
      <c r="J4" s="82"/>
      <c r="K4" s="82"/>
    </row>
    <row r="5" spans="1:259" ht="38.4" customHeight="1" x14ac:dyDescent="0.3">
      <c r="E5" s="81"/>
      <c r="F5" s="81"/>
      <c r="K5" s="81"/>
    </row>
    <row r="6" spans="1:259" ht="38.4" customHeight="1" x14ac:dyDescent="0.3">
      <c r="E6" s="81"/>
      <c r="F6" s="81"/>
      <c r="K6" s="81"/>
    </row>
    <row r="7" spans="1:259" ht="38.4" customHeight="1" x14ac:dyDescent="0.3">
      <c r="E7" s="81"/>
      <c r="F7" s="81"/>
      <c r="K7" s="81"/>
    </row>
    <row r="8" spans="1:259" ht="38.4" customHeight="1" x14ac:dyDescent="0.3">
      <c r="E8" s="81"/>
      <c r="F8" s="81"/>
      <c r="K8" s="81"/>
    </row>
  </sheetData>
  <autoFilter ref="A1:IY1" xr:uid="{A1051193-A95B-4CFB-A73C-F0184620C81F}">
    <sortState xmlns:xlrd2="http://schemas.microsoft.com/office/spreadsheetml/2017/richdata2" ref="A2:IY5">
      <sortCondition ref="AW1"/>
    </sortState>
  </autoFilter>
  <conditionalFormatting sqref="H1 CW1:GS1 IA1:IB1">
    <cfRule type="cellIs" dxfId="1628" priority="118" operator="greaterThan">
      <formula>0</formula>
    </cfRule>
  </conditionalFormatting>
  <conditionalFormatting sqref="H1 H6:H1048576">
    <cfRule type="cellIs" dxfId="1627" priority="84" stopIfTrue="1" operator="notEqual">
      <formula>""</formula>
    </cfRule>
  </conditionalFormatting>
  <conditionalFormatting sqref="T1:BK1">
    <cfRule type="cellIs" dxfId="1626" priority="121" operator="greaterThan">
      <formula>0</formula>
    </cfRule>
  </conditionalFormatting>
  <conditionalFormatting sqref="BV4:BW1048576 BV1:BW1">
    <cfRule type="cellIs" dxfId="1625" priority="120" operator="equal">
      <formula>"nc"</formula>
    </cfRule>
  </conditionalFormatting>
  <conditionalFormatting sqref="HF1:HG1">
    <cfRule type="cellIs" dxfId="1624" priority="122" operator="greaterThan">
      <formula>0</formula>
    </cfRule>
  </conditionalFormatting>
  <conditionalFormatting sqref="HK1">
    <cfRule type="cellIs" dxfId="1623" priority="119" operator="greaterThan">
      <formula>0</formula>
    </cfRule>
  </conditionalFormatting>
  <conditionalFormatting sqref="HP1:HX1">
    <cfRule type="cellIs" dxfId="1622" priority="96" operator="equal">
      <formula>"PIN"</formula>
    </cfRule>
    <cfRule type="cellIs" dxfId="1621" priority="97" operator="equal">
      <formula>"ORA"</formula>
    </cfRule>
    <cfRule type="cellIs" dxfId="1620" priority="98" operator="equal">
      <formula>"GRA"</formula>
    </cfRule>
    <cfRule type="cellIs" dxfId="1619" priority="99" operator="equal">
      <formula>"PUR"</formula>
    </cfRule>
    <cfRule type="cellIs" dxfId="1618" priority="100" operator="equal">
      <formula>"BRO"</formula>
    </cfRule>
    <cfRule type="cellIs" dxfId="1617" priority="101" operator="equal">
      <formula>"YEL"</formula>
    </cfRule>
    <cfRule type="cellIs" dxfId="1616" priority="102" operator="equal">
      <formula>"BLU"</formula>
    </cfRule>
    <cfRule type="cellIs" dxfId="1615" priority="103" operator="equal">
      <formula>"WHI"</formula>
    </cfRule>
    <cfRule type="cellIs" dxfId="1614" priority="104" operator="equal">
      <formula>"GRE"</formula>
    </cfRule>
    <cfRule type="cellIs" dxfId="1613" priority="105" operator="equal">
      <formula>"RED"</formula>
    </cfRule>
    <cfRule type="cellIs" dxfId="1612" priority="106" operator="equal">
      <formula>"BLA"</formula>
    </cfRule>
  </conditionalFormatting>
  <conditionalFormatting sqref="IC1:IK1">
    <cfRule type="cellIs" dxfId="1611" priority="107" operator="equal">
      <formula>"PIN"</formula>
    </cfRule>
    <cfRule type="cellIs" dxfId="1610" priority="108" operator="equal">
      <formula>"ORA"</formula>
    </cfRule>
    <cfRule type="cellIs" dxfId="1609" priority="109" operator="equal">
      <formula>"GRA"</formula>
    </cfRule>
    <cfRule type="cellIs" dxfId="1608" priority="110" operator="equal">
      <formula>"PUR"</formula>
    </cfRule>
    <cfRule type="cellIs" dxfId="1607" priority="111" operator="equal">
      <formula>"BRO"</formula>
    </cfRule>
    <cfRule type="cellIs" dxfId="1606" priority="112" operator="equal">
      <formula>"YEL"</formula>
    </cfRule>
    <cfRule type="cellIs" dxfId="1605" priority="113" operator="equal">
      <formula>"BLU"</formula>
    </cfRule>
    <cfRule type="cellIs" dxfId="1604" priority="114" operator="equal">
      <formula>"WHI"</formula>
    </cfRule>
    <cfRule type="cellIs" dxfId="1603" priority="115" operator="equal">
      <formula>"GRE"</formula>
    </cfRule>
    <cfRule type="cellIs" dxfId="1602" priority="116" operator="equal">
      <formula>"RED"</formula>
    </cfRule>
    <cfRule type="cellIs" dxfId="1601" priority="117" operator="equal">
      <formula>"BLA"</formula>
    </cfRule>
  </conditionalFormatting>
  <conditionalFormatting sqref="IO1:IW1">
    <cfRule type="cellIs" dxfId="1600" priority="85" operator="equal">
      <formula>"PIN"</formula>
    </cfRule>
    <cfRule type="cellIs" dxfId="1599" priority="86" operator="equal">
      <formula>"ORA"</formula>
    </cfRule>
    <cfRule type="cellIs" dxfId="1598" priority="87" operator="equal">
      <formula>"GRA"</formula>
    </cfRule>
    <cfRule type="cellIs" dxfId="1597" priority="88" operator="equal">
      <formula>"PUR"</formula>
    </cfRule>
    <cfRule type="cellIs" dxfId="1596" priority="89" operator="equal">
      <formula>"BRO"</formula>
    </cfRule>
    <cfRule type="cellIs" dxfId="1595" priority="90" operator="equal">
      <formula>"YEL"</formula>
    </cfRule>
    <cfRule type="cellIs" dxfId="1594" priority="91" operator="equal">
      <formula>"BLU"</formula>
    </cfRule>
    <cfRule type="cellIs" dxfId="1593" priority="92" operator="equal">
      <formula>"WHI"</formula>
    </cfRule>
    <cfRule type="cellIs" dxfId="1592" priority="93" operator="equal">
      <formula>"GRE"</formula>
    </cfRule>
    <cfRule type="cellIs" dxfId="1591" priority="94" operator="equal">
      <formula>"RED"</formula>
    </cfRule>
    <cfRule type="cellIs" dxfId="1590" priority="95" operator="equal">
      <formula>"BLA"</formula>
    </cfRule>
  </conditionalFormatting>
  <conditionalFormatting sqref="H3">
    <cfRule type="cellIs" dxfId="1589" priority="76" stopIfTrue="1" operator="notEqual">
      <formula>""</formula>
    </cfRule>
  </conditionalFormatting>
  <conditionalFormatting sqref="R3 CU3">
    <cfRule type="cellIs" dxfId="1588" priority="79" operator="greaterThan">
      <formula>0</formula>
    </cfRule>
  </conditionalFormatting>
  <conditionalFormatting sqref="T3:AS3 CH3:CS3">
    <cfRule type="cellIs" dxfId="1587" priority="73" stopIfTrue="1" operator="equal">
      <formula>"n"</formula>
    </cfRule>
    <cfRule type="cellIs" dxfId="1586" priority="74" stopIfTrue="1" operator="equal">
      <formula>"y"</formula>
    </cfRule>
    <cfRule type="cellIs" dxfId="1585" priority="75" operator="greaterThan">
      <formula>0</formula>
    </cfRule>
  </conditionalFormatting>
  <conditionalFormatting sqref="AZ3:BB3">
    <cfRule type="expression" dxfId="1584" priority="60">
      <formula>$AT3=0</formula>
    </cfRule>
  </conditionalFormatting>
  <conditionalFormatting sqref="CD3:CF3 BX3:CA3 AZ3:BU3">
    <cfRule type="cellIs" dxfId="1583" priority="61" operator="equal">
      <formula>"PIN"</formula>
    </cfRule>
    <cfRule type="cellIs" dxfId="1582" priority="62" operator="equal">
      <formula>"ORA"</formula>
    </cfRule>
    <cfRule type="cellIs" dxfId="1581" priority="63" operator="equal">
      <formula>"GRA"</formula>
    </cfRule>
    <cfRule type="cellIs" dxfId="1580" priority="64" operator="equal">
      <formula>"PUR"</formula>
    </cfRule>
    <cfRule type="cellIs" dxfId="1579" priority="65" operator="equal">
      <formula>"BRO"</formula>
    </cfRule>
    <cfRule type="cellIs" dxfId="1578" priority="66" operator="equal">
      <formula>"YEL"</formula>
    </cfRule>
    <cfRule type="cellIs" dxfId="1577" priority="67" operator="equal">
      <formula>"BLU"</formula>
    </cfRule>
    <cfRule type="cellIs" dxfId="1576" priority="68" operator="equal">
      <formula>"WHI"</formula>
    </cfRule>
    <cfRule type="cellIs" dxfId="1575" priority="69" operator="equal">
      <formula>"GRE"</formula>
    </cfRule>
    <cfRule type="cellIs" dxfId="1574" priority="70" operator="equal">
      <formula>"RED"</formula>
    </cfRule>
    <cfRule type="cellIs" dxfId="1573" priority="71" operator="equal">
      <formula>"BLA"</formula>
    </cfRule>
  </conditionalFormatting>
  <conditionalFormatting sqref="BV3">
    <cfRule type="cellIs" dxfId="1572" priority="78" operator="equal">
      <formula>"nc"</formula>
    </cfRule>
  </conditionalFormatting>
  <conditionalFormatting sqref="CD3:CF3 BX3:CA3">
    <cfRule type="cellIs" dxfId="1571" priority="77" operator="equal">
      <formula>"y"</formula>
    </cfRule>
  </conditionalFormatting>
  <conditionalFormatting sqref="CD3:CF3 BZ3:CA3">
    <cfRule type="cellIs" dxfId="1570" priority="72" operator="greaterThan">
      <formula>0</formula>
    </cfRule>
  </conditionalFormatting>
  <conditionalFormatting sqref="IC3:IK3">
    <cfRule type="expression" dxfId="1569" priority="59">
      <formula>$IL3&gt;0</formula>
    </cfRule>
  </conditionalFormatting>
  <conditionalFormatting sqref="IC3">
    <cfRule type="cellIs" dxfId="1568" priority="53" stopIfTrue="1" operator="greaterThan">
      <formula>0</formula>
    </cfRule>
  </conditionalFormatting>
  <conditionalFormatting sqref="ID3">
    <cfRule type="cellIs" dxfId="1567" priority="51" stopIfTrue="1" operator="greaterThan">
      <formula>0</formula>
    </cfRule>
  </conditionalFormatting>
  <conditionalFormatting sqref="II3 IE3:IF3">
    <cfRule type="cellIs" dxfId="1566" priority="58" operator="greaterThan">
      <formula>0</formula>
    </cfRule>
  </conditionalFormatting>
  <conditionalFormatting sqref="II3 IF3">
    <cfRule type="cellIs" dxfId="1565" priority="52" stopIfTrue="1" operator="greaterThan">
      <formula>0</formula>
    </cfRule>
  </conditionalFormatting>
  <conditionalFormatting sqref="IG3">
    <cfRule type="cellIs" dxfId="1564" priority="57" operator="greaterThan">
      <formula>0</formula>
    </cfRule>
  </conditionalFormatting>
  <conditionalFormatting sqref="IH3:II3">
    <cfRule type="cellIs" dxfId="1563" priority="56" operator="greaterThan">
      <formula>0</formula>
    </cfRule>
  </conditionalFormatting>
  <conditionalFormatting sqref="IJ3">
    <cfRule type="cellIs" dxfId="1562" priority="55" operator="greaterThan">
      <formula>0</formula>
    </cfRule>
  </conditionalFormatting>
  <conditionalFormatting sqref="IK3">
    <cfRule type="cellIs" dxfId="1561" priority="54" operator="greaterThan">
      <formula>0</formula>
    </cfRule>
  </conditionalFormatting>
  <conditionalFormatting sqref="IF3">
    <cfRule type="cellIs" dxfId="1560" priority="50" stopIfTrue="1" operator="greaterThan">
      <formula>0</formula>
    </cfRule>
  </conditionalFormatting>
  <conditionalFormatting sqref="IM3">
    <cfRule type="cellIs" dxfId="1559" priority="49" operator="equal">
      <formula>0</formula>
    </cfRule>
  </conditionalFormatting>
  <conditionalFormatting sqref="BX3:CA3 CD3:CF3">
    <cfRule type="cellIs" dxfId="1558" priority="37" operator="equal">
      <formula>"y"</formula>
    </cfRule>
    <cfRule type="cellIs" dxfId="1557" priority="38" operator="equal">
      <formula>"PIN"</formula>
    </cfRule>
    <cfRule type="cellIs" dxfId="1556" priority="39" operator="equal">
      <formula>"ORA"</formula>
    </cfRule>
    <cfRule type="cellIs" dxfId="1555" priority="40" operator="equal">
      <formula>"GRA"</formula>
    </cfRule>
    <cfRule type="cellIs" dxfId="1554" priority="41" operator="equal">
      <formula>"PUR"</formula>
    </cfRule>
    <cfRule type="cellIs" dxfId="1553" priority="42" operator="equal">
      <formula>"BRO"</formula>
    </cfRule>
    <cfRule type="cellIs" dxfId="1552" priority="43" operator="equal">
      <formula>"YEL"</formula>
    </cfRule>
    <cfRule type="cellIs" dxfId="1551" priority="44" operator="equal">
      <formula>"BLU"</formula>
    </cfRule>
    <cfRule type="cellIs" dxfId="1550" priority="45" operator="equal">
      <formula>"WHI"</formula>
    </cfRule>
    <cfRule type="cellIs" dxfId="1549" priority="46" operator="equal">
      <formula>"GRE"</formula>
    </cfRule>
    <cfRule type="cellIs" dxfId="1548" priority="47" operator="equal">
      <formula>"RED"</formula>
    </cfRule>
    <cfRule type="cellIs" dxfId="1547" priority="48" operator="equal">
      <formula>"BLA"</formula>
    </cfRule>
  </conditionalFormatting>
  <conditionalFormatting sqref="AT3">
    <cfRule type="colorScale" priority="80">
      <colorScale>
        <cfvo type="min"/>
        <cfvo type="max"/>
        <color rgb="FFFCFCFF"/>
        <color theme="8" tint="0.39997558519241921"/>
      </colorScale>
    </cfRule>
  </conditionalFormatting>
  <conditionalFormatting sqref="S3">
    <cfRule type="colorScale" priority="81">
      <colorScale>
        <cfvo type="min"/>
        <cfvo type="max"/>
        <color rgb="FFFCFCFF"/>
        <color rgb="FF754BFB"/>
      </colorScale>
    </cfRule>
  </conditionalFormatting>
  <conditionalFormatting sqref="J3">
    <cfRule type="colorScale" priority="82">
      <colorScale>
        <cfvo type="min"/>
        <cfvo type="percentile" val="50"/>
        <cfvo type="max"/>
        <color rgb="FFF8696B"/>
        <color rgb="FFFFEB84"/>
        <color rgb="FF63BE7B"/>
      </colorScale>
    </cfRule>
  </conditionalFormatting>
  <conditionalFormatting sqref="CG3">
    <cfRule type="colorScale" priority="83">
      <colorScale>
        <cfvo type="min"/>
        <cfvo type="max"/>
        <color rgb="FFFCFCFF"/>
        <color rgb="FF63BE7B"/>
      </colorScale>
    </cfRule>
  </conditionalFormatting>
  <conditionalFormatting sqref="H2">
    <cfRule type="cellIs" dxfId="1546" priority="30" stopIfTrue="1" operator="notEqual">
      <formula>""</formula>
    </cfRule>
  </conditionalFormatting>
  <conditionalFormatting sqref="R2 CU2">
    <cfRule type="cellIs" dxfId="1545" priority="32" operator="greaterThan">
      <formula>0</formula>
    </cfRule>
  </conditionalFormatting>
  <conditionalFormatting sqref="T2:AS2 CH2:CS2">
    <cfRule type="cellIs" dxfId="1544" priority="27" stopIfTrue="1" operator="equal">
      <formula>"n"</formula>
    </cfRule>
    <cfRule type="cellIs" dxfId="1543" priority="28" stopIfTrue="1" operator="equal">
      <formula>"y"</formula>
    </cfRule>
    <cfRule type="cellIs" dxfId="1542" priority="29" operator="greaterThan">
      <formula>0</formula>
    </cfRule>
  </conditionalFormatting>
  <conditionalFormatting sqref="AZ2:BB2">
    <cfRule type="expression" dxfId="1541" priority="14">
      <formula>$AT2=0</formula>
    </cfRule>
  </conditionalFormatting>
  <conditionalFormatting sqref="AZ2:BU2">
    <cfRule type="cellIs" dxfId="1540" priority="15" operator="equal">
      <formula>"PIN"</formula>
    </cfRule>
    <cfRule type="cellIs" dxfId="1539" priority="16" operator="equal">
      <formula>"ORA"</formula>
    </cfRule>
    <cfRule type="cellIs" dxfId="1538" priority="17" operator="equal">
      <formula>"GRA"</formula>
    </cfRule>
    <cfRule type="cellIs" dxfId="1537" priority="18" operator="equal">
      <formula>"PUR"</formula>
    </cfRule>
    <cfRule type="cellIs" dxfId="1536" priority="19" operator="equal">
      <formula>"BRO"</formula>
    </cfRule>
    <cfRule type="cellIs" dxfId="1535" priority="20" operator="equal">
      <formula>"YEL"</formula>
    </cfRule>
    <cfRule type="cellIs" dxfId="1534" priority="21" operator="equal">
      <formula>"BLU"</formula>
    </cfRule>
    <cfRule type="cellIs" dxfId="1533" priority="22" operator="equal">
      <formula>"WHI"</formula>
    </cfRule>
    <cfRule type="cellIs" dxfId="1532" priority="23" operator="equal">
      <formula>"GRE"</formula>
    </cfRule>
    <cfRule type="cellIs" dxfId="1531" priority="24" operator="equal">
      <formula>"RED"</formula>
    </cfRule>
    <cfRule type="cellIs" dxfId="1530" priority="25" operator="equal">
      <formula>"BLA"</formula>
    </cfRule>
  </conditionalFormatting>
  <conditionalFormatting sqref="BV2">
    <cfRule type="cellIs" dxfId="1529" priority="31" operator="equal">
      <formula>"nc"</formula>
    </cfRule>
  </conditionalFormatting>
  <conditionalFormatting sqref="CD2:CF2 BZ2:CA2">
    <cfRule type="cellIs" dxfId="1528" priority="26" operator="greaterThan">
      <formula>0</formula>
    </cfRule>
  </conditionalFormatting>
  <conditionalFormatting sqref="IC2:IK2">
    <cfRule type="expression" dxfId="1527" priority="13">
      <formula>$IL2&gt;0</formula>
    </cfRule>
  </conditionalFormatting>
  <conditionalFormatting sqref="BX2:CA2 CD2:CF2">
    <cfRule type="cellIs" dxfId="1526" priority="1" operator="equal">
      <formula>"y"</formula>
    </cfRule>
    <cfRule type="cellIs" dxfId="1525" priority="2" operator="equal">
      <formula>"PIN"</formula>
    </cfRule>
    <cfRule type="cellIs" dxfId="1524" priority="3" operator="equal">
      <formula>"ORA"</formula>
    </cfRule>
    <cfRule type="cellIs" dxfId="1523" priority="4" operator="equal">
      <formula>"GRA"</formula>
    </cfRule>
    <cfRule type="cellIs" dxfId="1522" priority="5" operator="equal">
      <formula>"PUR"</formula>
    </cfRule>
    <cfRule type="cellIs" dxfId="1521" priority="6" operator="equal">
      <formula>"BRO"</formula>
    </cfRule>
    <cfRule type="cellIs" dxfId="1520" priority="7" operator="equal">
      <formula>"YEL"</formula>
    </cfRule>
    <cfRule type="cellIs" dxfId="1519" priority="8" operator="equal">
      <formula>"BLU"</formula>
    </cfRule>
    <cfRule type="cellIs" dxfId="1518" priority="9" operator="equal">
      <formula>"WHI"</formula>
    </cfRule>
    <cfRule type="cellIs" dxfId="1517" priority="10" operator="equal">
      <formula>"GRE"</formula>
    </cfRule>
    <cfRule type="cellIs" dxfId="1516" priority="11" operator="equal">
      <formula>"RED"</formula>
    </cfRule>
    <cfRule type="cellIs" dxfId="1515" priority="12" operator="equal">
      <formula>"BLA"</formula>
    </cfRule>
  </conditionalFormatting>
  <conditionalFormatting sqref="J2">
    <cfRule type="colorScale" priority="33">
      <colorScale>
        <cfvo type="min"/>
        <cfvo type="percentile" val="50"/>
        <cfvo type="max"/>
        <color rgb="FFF8696B"/>
        <color rgb="FFFFEB84"/>
        <color rgb="FF63BE7B"/>
      </colorScale>
    </cfRule>
  </conditionalFormatting>
  <conditionalFormatting sqref="S2">
    <cfRule type="colorScale" priority="34">
      <colorScale>
        <cfvo type="min"/>
        <cfvo type="max"/>
        <color rgb="FFFCFCFF"/>
        <color rgb="FF754BFB"/>
      </colorScale>
    </cfRule>
  </conditionalFormatting>
  <conditionalFormatting sqref="AT2">
    <cfRule type="colorScale" priority="35">
      <colorScale>
        <cfvo type="min"/>
        <cfvo type="max"/>
        <color rgb="FFFCFCFF"/>
        <color theme="8" tint="0.39997558519241921"/>
      </colorScale>
    </cfRule>
  </conditionalFormatting>
  <conditionalFormatting sqref="CG2">
    <cfRule type="colorScale" priority="36">
      <colorScale>
        <cfvo type="min"/>
        <cfvo type="max"/>
        <color rgb="FFFCFCFF"/>
        <color rgb="FF63BE7B"/>
      </colorScale>
    </cfRule>
  </conditionalFormatting>
  <hyperlinks>
    <hyperlink ref="A2" r:id="rId1" display="https://fbref.com/en/country/SOM/Somalia-Football" xr:uid="{2B3A0A2F-A229-4AD0-9C93-83588DAE528A}"/>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8433" r:id="rId5"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18434" r:id="rId6"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18435" r:id="rId7"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ACD04B-141B-43E8-9BEC-494A5CDB9E00}">
  <sheetPr codeName="Sheet39"/>
  <dimension ref="A1:IY6"/>
  <sheetViews>
    <sheetView zoomScale="70" zoomScaleNormal="70" workbookViewId="0">
      <pane xSplit="5" ySplit="1" topLeftCell="F2" activePane="bottomRight" state="frozen"/>
      <selection pane="topRight" activeCell="F1" sqref="F1"/>
      <selection pane="bottomLeft" activeCell="A2" sqref="A2"/>
      <selection pane="bottomRight" activeCell="M3" sqref="M3"/>
    </sheetView>
  </sheetViews>
  <sheetFormatPr defaultRowHeight="38.4" customHeight="1" x14ac:dyDescent="0.3"/>
  <cols>
    <col min="1" max="1" width="52.44140625" style="81" bestFit="1" customWidth="1"/>
    <col min="2" max="2" width="10.109375" style="81" customWidth="1"/>
    <col min="3" max="3" width="7.44140625" style="82" customWidth="1"/>
    <col min="4" max="4" width="4.77734375" style="83" customWidth="1"/>
    <col min="5" max="5" width="4.5546875" style="83" customWidth="1"/>
    <col min="6" max="6" width="5.77734375" style="83" customWidth="1"/>
    <col min="7" max="7" width="7.44140625" style="81" customWidth="1"/>
    <col min="8" max="8" width="11.44140625" style="81" customWidth="1"/>
    <col min="9" max="9" width="10" style="81" customWidth="1"/>
    <col min="10" max="10" width="4.21875" style="81" customWidth="1"/>
    <col min="11" max="11" width="5.6640625" style="83" customWidth="1"/>
    <col min="12" max="12" width="2.88671875" style="83" customWidth="1"/>
    <col min="13" max="13" width="6.44140625" style="83" customWidth="1"/>
    <col min="14" max="14" width="4.5546875" style="83" customWidth="1"/>
    <col min="15" max="15" width="10.5546875" style="84" customWidth="1"/>
    <col min="16" max="16" width="6.88671875" style="83" customWidth="1"/>
    <col min="17" max="17" width="4.77734375" style="83" customWidth="1"/>
    <col min="18" max="18" width="13.109375" style="82" customWidth="1"/>
    <col min="19" max="19" width="6.77734375" style="82" customWidth="1"/>
    <col min="20" max="46" width="8.44140625" style="81" customWidth="1"/>
    <col min="47" max="47" width="24.5546875" style="81" customWidth="1"/>
    <col min="48" max="51" width="16.6640625" style="81" customWidth="1"/>
    <col min="52" max="52" width="6.5546875" style="81" customWidth="1"/>
    <col min="53" max="54" width="5.88671875" style="81" customWidth="1"/>
    <col min="55" max="55" width="1.33203125" style="81" customWidth="1"/>
    <col min="56" max="56" width="7.44140625" style="81" customWidth="1"/>
    <col min="57" max="57" width="2.33203125" style="81" customWidth="1"/>
    <col min="58" max="62" width="6.109375" style="81" customWidth="1"/>
    <col min="63" max="63" width="2.33203125" style="81" customWidth="1"/>
    <col min="64" max="64" width="7" style="81" bestFit="1" customWidth="1"/>
    <col min="65" max="65" width="6.44140625" style="81" bestFit="1" customWidth="1"/>
    <col min="66" max="66" width="7.109375" style="81" bestFit="1" customWidth="1"/>
    <col min="67" max="71" width="6.44140625" style="81" bestFit="1" customWidth="1"/>
    <col min="72" max="73" width="6.44140625" style="81" customWidth="1"/>
    <col min="74" max="75" width="13.44140625" style="81" customWidth="1"/>
    <col min="76" max="84" width="14.6640625" style="81" customWidth="1"/>
    <col min="85" max="85" width="6.44140625" style="81" customWidth="1"/>
    <col min="86" max="87" width="11.6640625" style="81" bestFit="1" customWidth="1"/>
    <col min="88" max="88" width="11.6640625" style="81" customWidth="1"/>
    <col min="89" max="89" width="12.77734375" style="81" bestFit="1" customWidth="1"/>
    <col min="90" max="90" width="16.44140625" style="82" bestFit="1" customWidth="1"/>
    <col min="91" max="92" width="14.88671875" style="82" bestFit="1" customWidth="1"/>
    <col min="93" max="93" width="16" style="82" bestFit="1" customWidth="1"/>
    <col min="94" max="97" width="7.77734375" style="81" customWidth="1"/>
    <col min="98" max="98" width="33.21875" style="81" customWidth="1"/>
    <col min="99" max="99" width="18" style="81" customWidth="1"/>
    <col min="100" max="100" width="75.6640625" style="81" customWidth="1"/>
    <col min="101" max="125" width="33" style="81" customWidth="1"/>
    <col min="126" max="126" width="8.88671875" style="81"/>
    <col min="127" max="128" width="9.44140625" style="81" bestFit="1" customWidth="1"/>
    <col min="129" max="129" width="10.77734375" style="81" bestFit="1" customWidth="1"/>
    <col min="130" max="134" width="10.77734375" style="81" customWidth="1"/>
    <col min="135" max="135" width="10.109375" style="81" bestFit="1" customWidth="1"/>
    <col min="136" max="136" width="7.77734375" style="81" bestFit="1" customWidth="1"/>
    <col min="137" max="137" width="7.77734375" style="81" customWidth="1"/>
    <col min="138" max="138" width="9" style="81" bestFit="1" customWidth="1"/>
    <col min="139" max="139" width="11.33203125" style="81" bestFit="1" customWidth="1"/>
    <col min="140" max="140" width="9.109375" style="81" bestFit="1" customWidth="1"/>
    <col min="141" max="141" width="9" style="81" bestFit="1" customWidth="1"/>
    <col min="142" max="142" width="12" style="81" bestFit="1" customWidth="1"/>
    <col min="143" max="166" width="12" style="81" customWidth="1"/>
    <col min="167" max="167" width="17.21875" style="81" customWidth="1"/>
    <col min="168" max="191" width="12" style="81" customWidth="1"/>
    <col min="192" max="192" width="8.5546875" style="81" bestFit="1" customWidth="1"/>
    <col min="193" max="193" width="8.5546875" style="81" customWidth="1"/>
    <col min="194" max="194" width="7.109375" style="81" bestFit="1" customWidth="1"/>
    <col min="195" max="195" width="7.5546875" style="81" bestFit="1" customWidth="1"/>
    <col min="196" max="196" width="8.5546875" style="81" bestFit="1" customWidth="1"/>
    <col min="197" max="200" width="8.5546875" style="81" customWidth="1"/>
    <col min="201" max="201" width="188.88671875" style="81" customWidth="1"/>
    <col min="202" max="202" width="9.5546875" style="81" bestFit="1" customWidth="1"/>
    <col min="203" max="203" width="10.44140625" style="81" bestFit="1" customWidth="1"/>
    <col min="204" max="204" width="11.109375" style="81" bestFit="1" customWidth="1"/>
    <col min="205" max="205" width="10.44140625" style="81" bestFit="1" customWidth="1"/>
    <col min="206" max="210" width="10.44140625" style="81" customWidth="1"/>
    <col min="211" max="211" width="45.44140625" style="81" customWidth="1"/>
    <col min="212" max="212" width="47.5546875" style="81" bestFit="1" customWidth="1"/>
    <col min="213" max="213" width="9.33203125" style="85" customWidth="1"/>
    <col min="214" max="214" width="119.5546875" style="81" customWidth="1"/>
    <col min="215" max="215" width="69.6640625" style="81" customWidth="1"/>
    <col min="216" max="218" width="8.88671875" style="81"/>
    <col min="219" max="219" width="37.109375" style="81" customWidth="1"/>
    <col min="220" max="220" width="16.33203125" style="81" customWidth="1"/>
    <col min="221" max="222" width="8.88671875" style="81"/>
    <col min="223" max="223" width="10.109375" style="81" bestFit="1" customWidth="1"/>
    <col min="224" max="232" width="10.88671875" style="81" customWidth="1"/>
    <col min="233" max="234" width="30.77734375" style="81" customWidth="1"/>
    <col min="235" max="235" width="5.109375" style="81" customWidth="1"/>
    <col min="236" max="236" width="3" style="81" customWidth="1"/>
    <col min="237" max="245" width="6.77734375" style="86" customWidth="1"/>
    <col min="246" max="247" width="8.88671875" style="81"/>
    <col min="248" max="248" width="61.5546875" style="81" customWidth="1"/>
    <col min="249" max="253" width="8.88671875" style="81"/>
    <col min="254" max="254" width="9" style="81" customWidth="1"/>
    <col min="255" max="16384" width="8.88671875" style="8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1008</v>
      </c>
      <c r="B2" s="40" t="e" vm="108">
        <v>#VALUE!</v>
      </c>
      <c r="C2" s="41">
        <v>1</v>
      </c>
      <c r="D2" s="42" t="s">
        <v>1009</v>
      </c>
      <c r="E2" s="43" t="s">
        <v>1010</v>
      </c>
      <c r="F2" s="44" t="s">
        <v>163</v>
      </c>
      <c r="G2" s="45">
        <f>COUNTIF($A$1:$A$8340,A2)</f>
        <v>1</v>
      </c>
      <c r="H2" s="46"/>
      <c r="I2" s="47" t="s">
        <v>1011</v>
      </c>
      <c r="J2" s="48" t="str">
        <f>""</f>
        <v/>
      </c>
      <c r="K2" s="49">
        <v>8791902</v>
      </c>
      <c r="L2" s="50">
        <v>3545000</v>
      </c>
      <c r="M2" s="50" t="s">
        <v>1117</v>
      </c>
      <c r="N2" s="51" t="s">
        <v>180</v>
      </c>
      <c r="O2" s="52" t="s">
        <v>1012</v>
      </c>
      <c r="P2" s="53" t="s">
        <v>1013</v>
      </c>
      <c r="Q2" s="54">
        <v>2</v>
      </c>
      <c r="R2" s="55" t="s">
        <v>180</v>
      </c>
      <c r="S2" s="56">
        <v>3</v>
      </c>
      <c r="T2" s="57" t="s">
        <v>164</v>
      </c>
      <c r="U2" s="58" t="s">
        <v>164</v>
      </c>
      <c r="V2" s="58" t="s">
        <v>167</v>
      </c>
      <c r="W2" s="58" t="s">
        <v>164</v>
      </c>
      <c r="X2" s="58" t="s">
        <v>164</v>
      </c>
      <c r="Y2" s="58" t="s">
        <v>164</v>
      </c>
      <c r="Z2" s="58" t="s">
        <v>164</v>
      </c>
      <c r="AA2" s="58" t="s">
        <v>164</v>
      </c>
      <c r="AB2" s="58" t="s">
        <v>164</v>
      </c>
      <c r="AC2" s="58" t="s">
        <v>164</v>
      </c>
      <c r="AD2" s="58" t="s">
        <v>164</v>
      </c>
      <c r="AE2" s="58" t="s">
        <v>164</v>
      </c>
      <c r="AF2" s="59" t="s">
        <v>164</v>
      </c>
      <c r="AG2" s="59" t="s">
        <v>164</v>
      </c>
      <c r="AH2" s="59" t="s">
        <v>164</v>
      </c>
      <c r="AI2" s="59" t="s">
        <v>164</v>
      </c>
      <c r="AJ2" s="59" t="s">
        <v>164</v>
      </c>
      <c r="AK2" s="59" t="s">
        <v>167</v>
      </c>
      <c r="AL2" s="59" t="s">
        <v>164</v>
      </c>
      <c r="AM2" s="59" t="s">
        <v>164</v>
      </c>
      <c r="AN2" s="59" t="s">
        <v>164</v>
      </c>
      <c r="AO2" s="59" t="s">
        <v>164</v>
      </c>
      <c r="AP2" s="59" t="s">
        <v>164</v>
      </c>
      <c r="AQ2" s="59" t="s">
        <v>164</v>
      </c>
      <c r="AR2" s="59" t="s">
        <v>164</v>
      </c>
      <c r="AS2" s="59" t="s">
        <v>164</v>
      </c>
      <c r="AT2" s="60">
        <v>0</v>
      </c>
      <c r="AU2" s="59"/>
      <c r="AV2" s="59" t="str">
        <f>IF(LEFT(A2,1)="[",LEFT(A2,5)&amp;AU2&amp;A2,"")</f>
        <v/>
      </c>
      <c r="AW2" s="59" t="str">
        <f t="shared" ref="AW2" si="0">C2&amp;H2&amp;A2</f>
        <v>1Sierra Leone</v>
      </c>
      <c r="AX2" s="61" t="str">
        <f>_xlfn.TEXTJOIN(";",TRUE,AU2:AW2)</f>
        <v>1Sierra Leone</v>
      </c>
      <c r="AY2" s="61"/>
      <c r="AZ2" s="62"/>
      <c r="BA2" s="62"/>
      <c r="BB2" s="62"/>
      <c r="BC2" s="63"/>
      <c r="BD2" s="64" t="s">
        <v>169</v>
      </c>
      <c r="BE2" s="47"/>
      <c r="BF2" s="64" t="s">
        <v>153</v>
      </c>
      <c r="BG2" s="64" t="s">
        <v>159</v>
      </c>
      <c r="BH2" s="64" t="s">
        <v>152</v>
      </c>
      <c r="BI2" s="64"/>
      <c r="BJ2" s="64"/>
      <c r="BK2" s="47"/>
      <c r="BL2" s="64" t="s">
        <v>153</v>
      </c>
      <c r="BM2" s="64" t="s">
        <v>159</v>
      </c>
      <c r="BN2" s="64" t="s">
        <v>152</v>
      </c>
      <c r="BO2" s="64"/>
      <c r="BP2" s="64"/>
      <c r="BQ2" s="64"/>
      <c r="BR2" s="64"/>
      <c r="BS2" s="64"/>
      <c r="BT2" s="64"/>
      <c r="BU2" s="65"/>
      <c r="BV2" s="66" t="s">
        <v>165</v>
      </c>
      <c r="BW2" s="66">
        <v>0</v>
      </c>
      <c r="BX2" s="47"/>
      <c r="CB2" s="6" t="s">
        <v>136</v>
      </c>
      <c r="CC2" s="6"/>
      <c r="CD2" s="67">
        <v>0</v>
      </c>
      <c r="CE2" s="67">
        <v>0</v>
      </c>
      <c r="CF2" s="67" t="e">
        <v>#REF!</v>
      </c>
      <c r="CG2" s="68" cm="1">
        <f t="array" ref="CG2">SUMPRODUCT(--(LEN(TRIM(BL2:BT2))&gt;0))</f>
        <v>3</v>
      </c>
      <c r="CH2" s="59" t="str">
        <f>IF(CG2=2,"y","n")</f>
        <v>n</v>
      </c>
      <c r="CI2" s="59" t="str">
        <f>IF(CG2=3,"y","n")</f>
        <v>y</v>
      </c>
      <c r="CJ2" s="59" t="str">
        <f>IF(CG2=4,"y","n")</f>
        <v>n</v>
      </c>
      <c r="CK2" s="59" t="str">
        <f>IF(CG2&gt;4,"y","n")</f>
        <v>n</v>
      </c>
      <c r="CL2" s="59" t="str">
        <f>IF(S2=0,"y","n")</f>
        <v>n</v>
      </c>
      <c r="CM2" s="59" t="str">
        <f>IF(S2=2,"y","n")</f>
        <v>n</v>
      </c>
      <c r="CN2" s="59" t="str">
        <f>IF(S2=3,"y","n")</f>
        <v>y</v>
      </c>
      <c r="CO2" s="59" t="str">
        <f>IF(S2&gt;=4,"y","n")</f>
        <v>n</v>
      </c>
      <c r="CP2" s="59" t="str">
        <f>IF(AT2=0,"y","n")</f>
        <v>y</v>
      </c>
      <c r="CQ2" s="59" t="str">
        <f>IF(AT2=1,"y","n")</f>
        <v>n</v>
      </c>
      <c r="CR2" s="59" t="str">
        <f>IF(AT2=2,"y","n")</f>
        <v>n</v>
      </c>
      <c r="CS2" s="59" t="str">
        <f>IF(AT2&gt;=3,"y","n")</f>
        <v>n</v>
      </c>
      <c r="CT2" s="69" t="str">
        <f>CHAR(34)&amp;A2&amp;CHAR(34)</f>
        <v>"Sierra Leone"</v>
      </c>
      <c r="CU2" s="70" t="str">
        <f>CHAR(34)&amp;"rgn_"&amp;R2&amp;CHAR(34)</f>
        <v>"rgn_Africa"</v>
      </c>
      <c r="CV2" s="48" t="str">
        <f>CHAR(34)&amp;D2&amp;CHAR(34)</f>
        <v>"https://i.ibb.co/wy3yWcs/Sierra-Leone-Flag.png"</v>
      </c>
      <c r="CW2" s="48" t="str">
        <f>IF(CH2="y",CHAR(34)&amp;CH$1&amp;CHAR(34)&amp;",","")</f>
        <v/>
      </c>
      <c r="CX2" s="48" t="str">
        <f>IF(CI2="y",CHAR(34)&amp;CI$1&amp;CHAR(34)&amp;",","")</f>
        <v>"3Color",</v>
      </c>
      <c r="CY2" s="48" t="str">
        <f>IF(CJ2="y",CHAR(34)&amp;CJ$1&amp;CHAR(34)&amp;",","")</f>
        <v/>
      </c>
      <c r="CZ2" s="48" t="str">
        <f>IF(CK2="y",CHAR(34)&amp;CK$1&amp;CHAR(34)&amp;",","")</f>
        <v/>
      </c>
      <c r="DA2" s="48" t="str">
        <f>IF(Q2&gt;1,CHAR(34)&amp;"words2"&amp;CHAR(34)&amp;",","")</f>
        <v>"words2",</v>
      </c>
      <c r="DB2" s="48" t="str">
        <f>IF(Q2&gt;2,CHAR(34)&amp;"words3"&amp;CHAR(34)&amp;",","")</f>
        <v/>
      </c>
      <c r="DC2" s="48" t="str">
        <f>IF(Q2=2,CHAR(34)&amp;"exact2"&amp;CHAR(34)&amp;",","")</f>
        <v>"exact2",</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"lets11",</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"startS",</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"LUREHI",</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
      </c>
      <c r="DS2" s="6" t="str">
        <f>IF(W2="y",IF(AND(V2="n",BY2&lt;&gt;"y"),CHAR(34)&amp;"allver"&amp;CHAR(34)&amp;",",""),"")</f>
        <v/>
      </c>
      <c r="DT2" s="6" t="str">
        <f>IF(V2="y",IF(AND(W2="n",BY2&lt;&gt;"y"),CHAR(34)&amp;"allhor"&amp;CHAR(34)&amp;",",""),"")</f>
        <v>"allhor",</v>
      </c>
      <c r="DU2" s="6" t="str">
        <f>IF(BY2="y",IF(AND(W2="n",V2="n"),CHAR(34)&amp;"alldia"&amp;CHAR(34)&amp;",",""),"")</f>
        <v/>
      </c>
      <c r="DV2" s="48" t="str">
        <f>IF(IA2&lt;&gt;"",(IF(IA2="y",CHAR(34)&amp;"largec"&amp;CHAR(34)&amp;",",CHAR(34)&amp;"smallc"&amp;CHAR(34)&amp;",")),"")</f>
        <v/>
      </c>
      <c r="DW2" s="48" t="str">
        <f>IF(CL2="y",CHAR(34)&amp;CL$1&amp;CHAR(34)&amp;",","")</f>
        <v/>
      </c>
      <c r="DX2" s="48" t="str">
        <f>IF(CM2="y",CHAR(34)&amp;CM$1&amp;CHAR(34)&amp;",","")</f>
        <v/>
      </c>
      <c r="DY2" s="48" t="str">
        <f>IF(CN2="y",CHAR(34)&amp;CN$1&amp;CHAR(34)&amp;",","")</f>
        <v>"3Bands",</v>
      </c>
      <c r="DZ2" s="48" t="str">
        <f>IF(CO2="y",CHAR(34)&amp;CO$1&amp;CHAR(34)&amp;",","")</f>
        <v/>
      </c>
      <c r="EA2" s="48" t="str">
        <f>IF(T2="y",CHAR(34)&amp;T$1&amp;CHAR(34)&amp;",","")</f>
        <v/>
      </c>
      <c r="EB2" s="48" t="str">
        <f>IF(U2="y",CHAR(34)&amp;U$1&amp;CHAR(34)&amp;",","")</f>
        <v/>
      </c>
      <c r="EC2" s="48" t="str">
        <f>IF(V2="y",CHAR(34)&amp;V$1&amp;CHAR(34)&amp;",","")</f>
        <v>"Horizo",</v>
      </c>
      <c r="ED2" s="48" t="str">
        <f>IF(W2="y",CHAR(34)&amp;W$1&amp;CHAR(34)&amp;",","")</f>
        <v/>
      </c>
      <c r="EE2" s="48" t="str">
        <f>IF(X2="y",CHAR(34)&amp;X$1&amp;CHAR(34)&amp;",","")</f>
        <v/>
      </c>
      <c r="EF2" s="48" t="str">
        <f>IF(AND(Y2&lt;&gt;"n",Y2&lt;&gt;""),CHAR(34)&amp;Y$1&amp;CHAR(34)&amp;",","")</f>
        <v/>
      </c>
      <c r="EG2" s="48" t="str">
        <f>IF(Z2="y",CHAR(34)&amp;Z$1&amp;CHAR(34)&amp;",","")</f>
        <v/>
      </c>
      <c r="EH2" s="48" t="str">
        <f>IF(AA2="y",CHAR(34)&amp;AA$1&amp;CHAR(34)&amp;",","")</f>
        <v/>
      </c>
      <c r="EI2" s="48" t="str">
        <f>IF(AB2="y",CHAR(34)&amp;AB$1&amp;CHAR(34)&amp;",","")</f>
        <v/>
      </c>
      <c r="EJ2" s="48" t="str">
        <f>IF(AC2="y",CHAR(34)&amp;AC$1&amp;CHAR(34)&amp;",","")</f>
        <v/>
      </c>
      <c r="EK2" s="48" t="str">
        <f>IF(AD2="y",CHAR(34)&amp;AD$1&amp;CHAR(34)&amp;",","")</f>
        <v/>
      </c>
      <c r="EL2" s="48" t="str">
        <f>IF(AE2="y",CHAR(34)&amp;AE$1&amp;CHAR(34)&amp;",","")</f>
        <v/>
      </c>
      <c r="EM2" s="48" t="str">
        <f>IF(AF2="y",CHAR(34)&amp;AF$1&amp;CHAR(34)&amp;",","")</f>
        <v/>
      </c>
      <c r="EN2" s="48" t="str">
        <f>IF(AG2="y",CHAR(34)&amp;AG$1&amp;CHAR(34)&amp;",","")</f>
        <v/>
      </c>
      <c r="EO2" s="48" t="str">
        <f>IF(AH2="y",CHAR(34)&amp;AH$1&amp;CHAR(34)&amp;",","")</f>
        <v/>
      </c>
      <c r="EP2" s="48" t="str">
        <f>IF(AI2="y",CHAR(34)&amp;AI$1&amp;CHAR(34)&amp;",","")</f>
        <v/>
      </c>
      <c r="EQ2" s="48" t="str">
        <f>IF(AJ2="y",CHAR(34)&amp;AJ$1&amp;CHAR(34)&amp;",","")</f>
        <v/>
      </c>
      <c r="ER2" s="48" t="str">
        <f>IF(AK2="y",CHAR(34)&amp;AK$1&amp;CHAR(34)&amp;",","")</f>
        <v>"OnlyBa",</v>
      </c>
      <c r="ES2" s="48" t="str">
        <f>IF(AL2="y",CHAR(34)&amp;AL$1&amp;CHAR(34)&amp;",","")</f>
        <v/>
      </c>
      <c r="ET2" s="48" t="str">
        <f>IF(AM2="y",CHAR(34)&amp;AM$1&amp;CHAR(34)&amp;",","")</f>
        <v/>
      </c>
      <c r="EU2" s="48" t="str">
        <f>IF(AN2="y",CHAR(34)&amp;AN$1&amp;CHAR(34)&amp;",","")</f>
        <v/>
      </c>
      <c r="EV2" s="48" t="str">
        <f>IF(AO2="y",CHAR(34)&amp;AO$1&amp;CHAR(34)&amp;",","")</f>
        <v/>
      </c>
      <c r="EW2" s="48" t="str">
        <f>IF(AP2="y",CHAR(34)&amp;AP$1&amp;CHAR(34)&amp;",","")</f>
        <v/>
      </c>
      <c r="EX2" s="48" t="str">
        <f>IF(AQ2="y",CHAR(34)&amp;AQ$1&amp;CHAR(34)&amp;",","")</f>
        <v/>
      </c>
      <c r="EY2" s="48" t="str">
        <f>IF(AR2="y",CHAR(34)&amp;AR$1&amp;CHAR(34)&amp;",","")</f>
        <v/>
      </c>
      <c r="EZ2" s="48" t="str">
        <f>IF(AS2="y",CHAR(34)&amp;AS$1&amp;CHAR(34)&amp;",","")</f>
        <v/>
      </c>
      <c r="FA2" s="48" t="str">
        <f>IF(AT2&gt;0,CHAR(34)&amp;"sta"&amp;AZ2&amp;CHAR(34)&amp;",","")</f>
        <v/>
      </c>
      <c r="FB2" s="48" t="str">
        <f>IF(AND(AT2&gt;0,BA2&lt;&gt;""),CHAR(34)&amp;"sta"&amp;BA2&amp;CHAR(34)&amp;",","")</f>
        <v/>
      </c>
      <c r="FC2" s="48" t="str">
        <f>IF(AND(AT2&gt;0,BB2&lt;&gt;""),CHAR(34)&amp;"sta"&amp;BB2&amp;CHAR(34)&amp;",","")</f>
        <v/>
      </c>
      <c r="FD2" s="48" t="str">
        <f>IF(BV2="n",CHAR(34)&amp;"tcWHYE"&amp;CHAR(34)&amp;",",IF(BV2="y",CHAR(34)&amp;FD$1&amp;CHAR(34)&amp;",",""))</f>
        <v/>
      </c>
      <c r="FE2" s="48" t="str">
        <f>IF(COUNTIF(BL2:BT2,"BLU")=0,CHAR(34)&amp;"NO_BLU"&amp;CHAR(34)&amp;",", "")</f>
        <v/>
      </c>
      <c r="FF2" s="48" t="str">
        <f>IF(COUNTIF(BL2:BT2,"WHI")=0,CHAR(34)&amp;"NO_WHI"&amp;CHAR(34)&amp;",", "")</f>
        <v/>
      </c>
      <c r="FG2" s="48" t="str">
        <f>IF(COUNTIF(BL2:BT2,"RED")=0,CHAR(34)&amp;"NO_RED"&amp;CHAR(34)&amp;",", "")</f>
        <v>"NO_RED",</v>
      </c>
      <c r="FH2" s="48" t="str">
        <f>IF(COUNTIF(BL2:BS2,"GRE")=0,CHAR(34)&amp;"NO_GRE"&amp;CHAR(34)&amp;",", "")</f>
        <v/>
      </c>
      <c r="FI2" s="48" t="str">
        <f>IF(COUNTIF(BL2:BT2,"YEL")=0,CHAR(34)&amp;"NO_YEL"&amp;CHAR(34)&amp;",", "")</f>
        <v>"NO_YEL",</v>
      </c>
      <c r="FJ2" s="48" t="str">
        <f>IF(COUNTIF(BL2:BT2,"BLA")=0,CHAR(34)&amp;"NO_BLA"&amp;CHAR(34)&amp;",", "")</f>
        <v>"NO_BLA",</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
      </c>
      <c r="FP2" s="48" t="str">
        <f>IF(AND(FF2&lt;&gt;"",FF2&lt;&gt;""),CHAR(34)&amp;"WHRENO"&amp;CHAR(34)&amp;",","")</f>
        <v/>
      </c>
      <c r="FQ2" s="48" t="str">
        <f>IF(LEN(BF2)=3,CHAR(34)&amp;"001"&amp;BF2&amp;CHAR(34)&amp;",","")</f>
        <v>"001GRE",</v>
      </c>
      <c r="FR2" s="48" t="str">
        <f>IF(LEN(BG2)=3,CHAR(34)&amp;"002"&amp;BG2&amp;CHAR(34)&amp;",","")</f>
        <v>"002WHI",</v>
      </c>
      <c r="FS2" s="48" t="str">
        <f>IF(LEN(BH2)=3,CHAR(34)&amp;"003"&amp;BH2&amp;CHAR(34)&amp;",","")</f>
        <v>"003BLU",</v>
      </c>
      <c r="FT2" s="48" t="str">
        <f>CHAR(34)&amp;"myr"&amp;BD2&amp;CHAR(34)&amp;","</f>
        <v>"myrEQ",</v>
      </c>
      <c r="FU2" s="48" t="str">
        <f>IF(AY2="y",CHAR(34)&amp;"island"&amp;CHAR(34)&amp;",","")</f>
        <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"englis",</v>
      </c>
      <c r="GA2" s="48" t="str">
        <f>IFERROR(IF(SEARCH("French",CB2)&gt;0,CHAR(34)&amp;"french"&amp;CHAR(34)&amp;",",""),"")</f>
        <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"NoStar",</v>
      </c>
      <c r="GK2" s="48" t="str">
        <f>IF(GJ2="",CHAR(34)&amp;"HasSta"&amp;CHAR(34)&amp;",","")</f>
        <v/>
      </c>
      <c r="GL2" s="48" t="str">
        <f>IF(CQ2="y",CHAR(34)&amp;CQ$1&amp;CHAR(34)&amp;",","")</f>
        <v/>
      </c>
      <c r="GM2" s="48" t="str">
        <f>IF(CR2="y",CHAR(34)&amp;CR$1&amp;CHAR(34)&amp;",","")</f>
        <v/>
      </c>
      <c r="GN2" s="48" t="str">
        <f>IF(CS2="y",CHAR(34)&amp;CS$1&amp;CHAR(34)&amp;",","")</f>
        <v/>
      </c>
      <c r="GP2" s="48" t="str">
        <f>CHAR(34)&amp;AU2&amp;CHAR(34)</f>
        <v>""</v>
      </c>
      <c r="GS2" s="48" t="str">
        <f>SUBSTITUTE("["&amp;_xlfn.CONCAT(CW2:GN2)&amp;"]",",]","]")</f>
        <v>["3Color","words2","exact2","lets11","startS","LUREHI","year19","allhor","3Bands","Horizo","OnlyBa","NO_RED","NO_YEL","NO_BLA","001GRE","002WHI","003BLU","myrEQ","englis","NoStar"]</v>
      </c>
      <c r="GT2" s="48" t="str">
        <f>IF(BL2&lt;&gt;"",CHAR(34)&amp;"cl_"&amp;BL2&amp;CHAR(34)&amp;",","")</f>
        <v>"cl_GRE",</v>
      </c>
      <c r="GU2" s="48" t="str">
        <f>IF(BM2&lt;&gt;"",CHAR(34)&amp;"cl_"&amp;BM2&amp;CHAR(34)&amp;",","")</f>
        <v>"cl_WHI",</v>
      </c>
      <c r="GV2" s="48" t="str">
        <f>IF(BN2&lt;&gt;"",CHAR(34)&amp;"cl_"&amp;BN2&amp;CHAR(34)&amp;",","")</f>
        <v>"cl_BLU",</v>
      </c>
      <c r="GW2" s="48" t="str">
        <f>IF(BO2&lt;&gt;"",CHAR(34)&amp;"cl_"&amp;BO2&amp;CHAR(34)&amp;",","")</f>
        <v/>
      </c>
      <c r="GX2" s="48" t="str">
        <f>IF(BP2&lt;&gt;"",CHAR(34)&amp;"cl_"&amp;BP2&amp;CHAR(34)&amp;",","")</f>
        <v/>
      </c>
      <c r="GY2" s="48" t="str">
        <f>IF(BQ2&lt;&gt;"",CHAR(34)&amp;"cl_"&amp;BQ2&amp;CHAR(34)&amp;",","")</f>
        <v/>
      </c>
      <c r="GZ2" s="48" t="str">
        <f>IF(BR2&lt;&gt;"",CHAR(34)&amp;"cl_"&amp;BR2&amp;CHAR(34)&amp;",","")</f>
        <v/>
      </c>
      <c r="HA2" s="48" t="str">
        <f>IF(BS2&lt;&gt;"",CHAR(34)&amp;"cl_"&amp;BS2&amp;CHAR(34)&amp;",","")</f>
        <v/>
      </c>
      <c r="HB2" s="48" t="str">
        <f>IF(BT2&lt;&gt;"",CHAR(34)&amp;"cl_"&amp;BT2&amp;CHAR(34)&amp;",","")</f>
        <v/>
      </c>
      <c r="HC2" s="48" t="str">
        <f>SUBSTITUTE("["&amp;_xlfn.CONCAT(GT2:HB2)&amp;"]",",]","]")</f>
        <v>["cl_GRE","cl_WHI","cl_BLU"]</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{couname:"Sierra Leone",year:"1961 ",region:"rgn_Africa",Colors:["cl_GRE","cl_WHI","cl_BLU"],Items:["3Color","words2","exact2","lets11","startS","LUREHI","year19","allhor","3Bands","Horizo","OnlyBa","NO_RED","NO_YEL","NO_BLA","001GRE","002WHI","003BLU","myrEQ","englis","NoStar"],Flag:"https://i.ibb.co/wy3yWcs/Sierra-Leone-Flag.png",HDFlag:"https://upload.wikimedia.org/wikipedia/commons/thumb/1/17/Flag_of_Sierra_Leone.svg/2560px-Flag_of_Sierra_Leone.svg.png",type:"", describe: "\nThe green alludes to the country's natural resources – specifically agriculture and its mountains. – while the white epitomizes unity and justice. The blue evokes the natural harbour of Freetown, the capital city of Sierra Leone, as well as the hope of contributing to world peace through its usage", isnew:".", links: "https://en.wikipedia.org/wiki/Flag_of_Sierra_Leone"},</v>
      </c>
      <c r="HG2" s="73" t="str">
        <f>"{couname:"&amp;CT2&amp;(IF(HK2&lt;&gt;"",",subtype:"&amp;CHAR(34)&amp;HK2&amp;CHAR(34),""))&amp;",year:"&amp;HJ2&amp;",region:"&amp;CU2&amp;",Colors:"&amp;HC2&amp;",Items:"&amp;GS2&amp;",Flag:"&amp;CV2&amp;",HDFlag:"&amp;CHAR(34)&amp;E2&amp;CHAR(34)&amp;",type:"&amp;GP2&amp;", describe: "&amp;HI2&amp;", links: "&amp;HL2&amp;"},"</f>
        <v>{couname:"Sierra Leone",year:"1961 ",region:"rgn_Africa",Colors:["cl_GRE","cl_WHI","cl_BLU"],Items:["3Color","words2","exact2","lets11","startS","LUREHI","year19","allhor","3Bands","Horizo","OnlyBa","NO_RED","NO_YEL","NO_BLA","001GRE","002WHI","003BLU","myrEQ","englis","NoStar"],Flag:"https://i.ibb.co/wy3yWcs/Sierra-Leone-Flag.png",HDFlag:"https://upload.wikimedia.org/wikipedia/commons/thumb/1/17/Flag_of_Sierra_Leone.svg/2560px-Flag_of_Sierra_Leone.svg.png",type:"", describe: "\nThe green alludes to the country's natural resources – specifically agriculture and its mountains. – while the white epitomizes unity and justice. The blue evokes the natural harbour of Freetown, the capital city of Sierra Leone, as well as the hope of contributing to world peace through its usage", links: "https://en.wikipedia.org/wiki/Flag_of_Sierra_Leone"},</v>
      </c>
      <c r="HH2" s="48" t="str">
        <f>IF(P2&lt;&gt;"",CHAR(34)&amp;"\n"&amp;P2&amp;CHAR(34),CHAR(34)&amp;CHAR(34))</f>
        <v>"\nThe green alludes to the country's natural resources – specifically agriculture and its mountains. – while the white epitomizes unity and justice. The blue evokes the natural harbour of Freetown, the capital city of Sierra Leone, as well as the hope of contributing to world peace through its usage"</v>
      </c>
      <c r="HI2" s="48" t="str">
        <f>IF(J2=0,CHAR(34)&amp;CHAR(34),HH2)</f>
        <v>"\nThe green alludes to the country's natural resources – specifically agriculture and its mountains. – while the white epitomizes unity and justice. The blue evokes the natural harbour of Freetown, the capital city of Sierra Leone, as well as the hope of contributing to world peace through its usage"</v>
      </c>
      <c r="HJ2" s="48" t="str">
        <f>CHAR(34)&amp;O2&amp;CHAR(34)</f>
        <v>"1961 "</v>
      </c>
      <c r="HL2" s="48" t="str">
        <f>CHAR(34)&amp;I2&amp;CHAR(34)</f>
        <v>"https://en.wikipedia.org/wiki/Flag_of_Sierra_Leone"</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{"couname":"Sierra Leone","year":"1961 ","region":"rgn_Africa","Colors":["cl_GRE","cl_WHI","cl_BLU"],"Items":["3Color","words2","exact2","lets11","startS","LUREHI","year19","allhor","3Bands","Horizo","OnlyBa","NO_RED","NO_YEL","NO_BLA","001GRE","002WHI","003BLU","myrEQ","englis","NoStar"],"Flag":"https://i.ibb.co/wy3yWcs/Sierra-Leone-Flag.png","HDFlag":"https://upload.wikimedia.org/wikipedia/commons/thumb/1/17/Flag_of_Sierra_Leone.svg/2560px-Flag_of_Sierra_Leone.svg.png","type":"", "describe": "\nThe green alludes to the country's natural resources – specifically agriculture and its mountains. – while the white epitomizes unity and justice. The blue evokes the natural harbour of Freetown, the capital city of Sierra Leone, as well as the hope of contributing to world peace through its usage", "isnew": ".", "links": "https://en.wikipedia.org/wiki/Flag_of_Sierra_Leone"},</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{"couname":"Sierra Leone","year":"1961 ","region":"rgn_Africa","Colors":["cl_GRE","cl_WHI","cl_BLU"],"Items":["3Color","words2","exact2","lets11","startS","LUREHI","year19","allhor","3Bands","Horizo","OnlyBa","NO_RED","NO_YEL","NO_BLA","001GRE","002WHI","003BLU","myrEQ","englis","NoStar"],"Flag":"https://i.ibb.co/wy3yWcs/Sierra-Leone-Flag.png","HDFlag":"https://upload.wikimedia.org/wikipedia/commons/thumb/1/17/Flag_of_Sierra_Leone.svg/2560px-Flag_of_Sierra_Leone.svg.png","type":"", "describe": "\nThe green alludes to the country's natural resources – specifically agriculture and its mountains. – while the white epitomizes unity and justice. The blue evokes the natural harbour of Freetown, the capital city of Sierra Leone, as well as the hope of contributing to world peace through its usage", "isnew": ".", "links": "https://en.wikipedia.org/wiki/Flag_of_Sierra_Leone"},</v>
      </c>
      <c r="HO2" s="75"/>
      <c r="HP2" s="48" t="str" cm="1">
        <f t="array" ref="HP2">IF(_xlfn.TEXTJOIN(", ", TRUE, IF(ISNUMBER(SEARCH("BLA", BL2:BT2)), COLUMN(BL2:BT2) - COLUMN(BL2) + 1, ""))&lt;&gt;"","BLA","")</f>
        <v/>
      </c>
      <c r="HQ2" s="48" t="str" cm="1">
        <f t="array" ref="HQ2">IF(_xlfn.TEXTJOIN(", ", TRUE, IF(ISNUMBER(SEARCH("BLU", BL2:BT2)), COLUMN(BL2:BT2) - COLUMN(BL2) + 1, ""))&lt;&gt;"","BLU","")</f>
        <v>BLU</v>
      </c>
      <c r="HR2" s="48" t="str" cm="1">
        <f t="array" ref="HR2">IF(_xlfn.TEXTJOIN(", ", TRUE, IF(ISNUMBER(SEARCH("GRE", BL2:BT2)), COLUMN(BL2:BT2) - COLUMN(BL2) + 1, ""))&lt;&gt;"","GRE","")</f>
        <v>GRE</v>
      </c>
      <c r="HS2" s="48" t="str" cm="1">
        <f t="array" ref="HS2">IF(_xlfn.TEXTJOIN(", ", TRUE, IF(ISNUMBER(SEARCH("RED", BL2:BT2)), COLUMN(BL2:BT2) - COLUMN(BL2) + 1, ""))&lt;&gt;"","RED","")</f>
        <v/>
      </c>
      <c r="HT2" s="48" t="str" cm="1">
        <f t="array" ref="HT2">IF(_xlfn.TEXTJOIN(", ", TRUE, IF(ISNUMBER(SEARCH("YEL", BL2:BT2)), COLUMN(BL2:BT2) - COLUMN(BL2) + 1, ""))&lt;&gt;"","YEL","")</f>
        <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c r="IB2" s="6"/>
      <c r="IC2" s="77"/>
      <c r="ID2" s="77"/>
      <c r="IE2" s="77"/>
      <c r="IF2" s="77"/>
      <c r="IG2" s="77"/>
      <c r="IH2" s="77"/>
      <c r="II2" s="77"/>
      <c r="IJ2" s="77"/>
      <c r="IK2" s="77"/>
      <c r="IL2" s="48">
        <f>SUM(IC2:IK2)</f>
        <v>0</v>
      </c>
      <c r="IM2" s="45">
        <f>COUNTIF(IC2:IK2,"&gt;0")-CG2</f>
        <v>-3</v>
      </c>
      <c r="IN2" s="78" t="str">
        <f>"http://mkweb.bcgsc.ca/color-summarizer/?url="&amp;D2&amp;"&amp;precision=low&amp;num_clusters="&amp;CG2&amp;"&amp;text=1"</f>
        <v>http://mkweb.bcgsc.ca/color-summarizer/?url=https://i.ibb.co/wy3yWcs/Sierra-Leone-Flag.png&amp;precision=low&amp;num_clusters=3&amp;text=1</v>
      </c>
      <c r="IO2" s="48" t="str">
        <f>IF(HP2&lt;&gt;"",CHAR(34)&amp;"black"&amp;CHAR(34),"")</f>
        <v/>
      </c>
      <c r="IP2" s="48" t="str">
        <f>IF(HQ2&lt;&gt;"",CHAR(34)&amp;"blue"&amp;CHAR(34),"")</f>
        <v>"blue"</v>
      </c>
      <c r="IQ2" s="48" t="str">
        <f>IF(HR2&lt;&gt;"",CHAR(34)&amp;"green"&amp;CHAR(34),"")</f>
        <v>"green"</v>
      </c>
      <c r="IR2" s="48" t="str">
        <f>IF(HS2&lt;&gt;"",CHAR(34)&amp;"red"&amp;CHAR(34),"")</f>
        <v/>
      </c>
      <c r="IS2" s="48" t="str">
        <f>IF(HT2&lt;&gt;"",CHAR(34)&amp;"yellow"&amp;CHAR(34),"")</f>
        <v/>
      </c>
      <c r="IT2" s="48" t="str">
        <f>IF(HU2&lt;&gt;"",CHAR(34)&amp;"orange"&amp;CHAR(34),"")</f>
        <v/>
      </c>
      <c r="IU2" s="48" t="str">
        <f>IF(HV2&lt;&gt;"",CHAR(34)&amp;"brown"&amp;CHAR(34),"")</f>
        <v/>
      </c>
      <c r="IV2" s="48" t="str">
        <f>IF(HW2&lt;&gt;"",CHAR(34)&amp;"purple"&amp;CHAR(34),"")</f>
        <v/>
      </c>
      <c r="IW2" s="48" t="str">
        <f>IF(HX2&lt;&gt;"",CHAR(34)&amp;"white"&amp;CHAR(34),"")</f>
        <v>"white"</v>
      </c>
      <c r="IX2" s="48" t="str">
        <f>"{"&amp;CHAR(34)&amp;"url"&amp;CHAR(34)&amp;":"&amp;CHAR(34)&amp;IN2&amp;CHAR(34)&amp;","&amp;CHAR(34)&amp;"name"&amp;CHAR(34)&amp;":"&amp;CHAR(34)&amp;A2&amp;CHAR(34)&amp;"},"</f>
        <v>{"url":"http://mkweb.bcgsc.ca/color-summarizer/?url=https://i.ibb.co/wy3yWcs/Sierra-Leone-Flag.png&amp;precision=low&amp;num_clusters=3&amp;text=1","name":"Sierra Leone"},</v>
      </c>
      <c r="IY2" s="48">
        <v>195</v>
      </c>
    </row>
    <row r="3" spans="1:259" s="48" customFormat="1" ht="38.4" customHeight="1" thickBot="1" x14ac:dyDescent="0.35">
      <c r="A3" s="79" t="s">
        <v>996</v>
      </c>
      <c r="B3" s="40" t="e" vm="109">
        <v>#VALUE!</v>
      </c>
      <c r="C3" s="41">
        <v>2</v>
      </c>
      <c r="D3" s="42" t="s">
        <v>997</v>
      </c>
      <c r="E3" s="43" t="s">
        <v>998</v>
      </c>
      <c r="F3" s="44" t="s">
        <v>404</v>
      </c>
      <c r="G3" s="45">
        <f>COUNTIF($A$1:$A$8338,A3)</f>
        <v>1</v>
      </c>
      <c r="H3" s="46"/>
      <c r="I3" s="47" t="s">
        <v>999</v>
      </c>
      <c r="J3" s="48" t="str">
        <f>""</f>
        <v/>
      </c>
      <c r="K3" s="49"/>
      <c r="L3" s="50"/>
      <c r="M3" s="50"/>
      <c r="N3" s="51" t="s">
        <v>180</v>
      </c>
      <c r="O3" s="52" t="s">
        <v>170</v>
      </c>
      <c r="P3" s="53" t="s">
        <v>1000</v>
      </c>
      <c r="Q3" s="54">
        <v>1</v>
      </c>
      <c r="R3" s="55" t="s">
        <v>180</v>
      </c>
      <c r="S3" s="56">
        <v>0</v>
      </c>
      <c r="T3" s="57" t="s">
        <v>167</v>
      </c>
      <c r="U3" s="58" t="s">
        <v>164</v>
      </c>
      <c r="V3" s="58" t="s">
        <v>167</v>
      </c>
      <c r="W3" s="58" t="s">
        <v>167</v>
      </c>
      <c r="X3" s="58" t="s">
        <v>164</v>
      </c>
      <c r="Y3" s="58" t="s">
        <v>167</v>
      </c>
      <c r="Z3" s="58" t="s">
        <v>164</v>
      </c>
      <c r="AA3" s="58" t="s">
        <v>167</v>
      </c>
      <c r="AB3" s="58" t="s">
        <v>167</v>
      </c>
      <c r="AC3" s="58" t="s">
        <v>167</v>
      </c>
      <c r="AD3" s="58" t="s">
        <v>164</v>
      </c>
      <c r="AE3" s="58" t="s">
        <v>164</v>
      </c>
      <c r="AF3" s="59" t="s">
        <v>164</v>
      </c>
      <c r="AG3" s="59" t="s">
        <v>164</v>
      </c>
      <c r="AH3" s="59" t="s">
        <v>167</v>
      </c>
      <c r="AI3" s="59" t="s">
        <v>164</v>
      </c>
      <c r="AJ3" s="59" t="s">
        <v>164</v>
      </c>
      <c r="AK3" s="59" t="s">
        <v>164</v>
      </c>
      <c r="AL3" s="59" t="s">
        <v>164</v>
      </c>
      <c r="AM3" s="59" t="s">
        <v>167</v>
      </c>
      <c r="AN3" s="59" t="s">
        <v>164</v>
      </c>
      <c r="AO3" s="59" t="s">
        <v>164</v>
      </c>
      <c r="AP3" s="59" t="s">
        <v>167</v>
      </c>
      <c r="AQ3" s="59" t="s">
        <v>164</v>
      </c>
      <c r="AR3" s="59" t="s">
        <v>164</v>
      </c>
      <c r="AS3" s="59" t="s">
        <v>164</v>
      </c>
      <c r="AT3" s="60">
        <v>0</v>
      </c>
      <c r="AU3" s="59" t="s">
        <v>1001</v>
      </c>
      <c r="AV3" s="59" t="str">
        <f>IF(LEFT(A3,1)="[",LEFT(A3,5)&amp;AU3&amp;A3,"")</f>
        <v>[SLE]City, Capital[SLE] Freetown</v>
      </c>
      <c r="AW3" s="59" t="str">
        <f t="shared" ref="AW3:AW4" si="1">C3&amp;H3&amp;A3</f>
        <v>2[SLE] Freetown</v>
      </c>
      <c r="AX3" s="61"/>
      <c r="AY3" s="61"/>
      <c r="AZ3" s="62" t="s">
        <v>172</v>
      </c>
      <c r="BA3" s="62" t="s">
        <v>172</v>
      </c>
      <c r="BB3" s="62"/>
      <c r="BC3" s="63"/>
      <c r="BD3" s="64" t="s">
        <v>152</v>
      </c>
      <c r="BE3" s="47"/>
      <c r="BF3" s="64" t="s">
        <v>172</v>
      </c>
      <c r="BG3" s="64" t="s">
        <v>172</v>
      </c>
      <c r="BH3" s="64" t="s">
        <v>172</v>
      </c>
      <c r="BI3" s="64"/>
      <c r="BJ3" s="64"/>
      <c r="BK3" s="47"/>
      <c r="BL3" s="64" t="s">
        <v>151</v>
      </c>
      <c r="BM3" s="64" t="s">
        <v>152</v>
      </c>
      <c r="BN3" s="64" t="s">
        <v>153</v>
      </c>
      <c r="BO3" s="64" t="s">
        <v>154</v>
      </c>
      <c r="BP3" s="64" t="s">
        <v>155</v>
      </c>
      <c r="BQ3" s="64" t="s">
        <v>156</v>
      </c>
      <c r="BR3" s="64" t="s">
        <v>157</v>
      </c>
      <c r="BS3" s="64" t="s">
        <v>172</v>
      </c>
      <c r="BT3" s="64" t="s">
        <v>159</v>
      </c>
      <c r="BU3" s="65"/>
      <c r="BV3" s="66"/>
      <c r="BW3" s="66">
        <v>0</v>
      </c>
      <c r="BX3" s="47"/>
      <c r="CB3" s="6"/>
      <c r="CC3" s="6"/>
      <c r="CD3" s="67">
        <v>0</v>
      </c>
      <c r="CE3" s="67">
        <v>0</v>
      </c>
      <c r="CF3" s="67" t="e">
        <v>#REF!</v>
      </c>
      <c r="CG3" s="68" cm="1">
        <f t="array" ref="CG3">SUMPRODUCT(--(LEN(TRIM(BL3:BT3))&gt;0))</f>
        <v>8</v>
      </c>
      <c r="CH3" s="59" t="str">
        <f>IF(CG3=2,"y","n")</f>
        <v>n</v>
      </c>
      <c r="CI3" s="59" t="str">
        <f>IF(CG3=3,"y","n")</f>
        <v>n</v>
      </c>
      <c r="CJ3" s="59" t="str">
        <f>IF(CG3=4,"y","n")</f>
        <v>n</v>
      </c>
      <c r="CK3" s="59" t="str">
        <f>IF(CG3&gt;4,"y","n")</f>
        <v>y</v>
      </c>
      <c r="CL3" s="59" t="str">
        <f>IF(S3=0,"y","n")</f>
        <v>y</v>
      </c>
      <c r="CM3" s="59" t="str">
        <f>IF(S3=2,"y","n")</f>
        <v>n</v>
      </c>
      <c r="CN3" s="59" t="str">
        <f>IF(S3=3,"y","n")</f>
        <v>n</v>
      </c>
      <c r="CO3" s="59" t="str">
        <f>IF(S3&gt;=4,"y","n")</f>
        <v>n</v>
      </c>
      <c r="CP3" s="59" t="str">
        <f>IF(AT3=0,"y","n")</f>
        <v>y</v>
      </c>
      <c r="CQ3" s="59" t="str">
        <f>IF(AT3=1,"y","n")</f>
        <v>n</v>
      </c>
      <c r="CR3" s="59" t="str">
        <f>IF(AT3=2,"y","n")</f>
        <v>n</v>
      </c>
      <c r="CS3" s="59" t="str">
        <f>IF(AT3&gt;=3,"y","n")</f>
        <v>n</v>
      </c>
      <c r="CT3" s="69" t="str">
        <f>CHAR(34)&amp;A3&amp;CHAR(34)</f>
        <v>"[SLE] Freetown"</v>
      </c>
      <c r="CU3" s="70" t="str">
        <f>CHAR(34)&amp;"rgn_"&amp;R3&amp;CHAR(34)</f>
        <v>"rgn_Africa"</v>
      </c>
      <c r="CV3" s="48" t="str">
        <f>CHAR(34)&amp;D3&amp;CHAR(34)</f>
        <v>"https://upload.wikimedia.org/wikipedia/commons/thumb/4/47/Flag_of_Freetown%2C_Sierra_Leone.png/640px-Flag_of_Freetown%2C_Sierra_Leone.png"</v>
      </c>
      <c r="CW3" s="48" t="str">
        <f>IF(CH3="y",CHAR(34)&amp;CH$1&amp;CHAR(34)&amp;",","")</f>
        <v/>
      </c>
      <c r="CX3" s="48" t="str">
        <f>IF(CI3="y",CHAR(34)&amp;CI$1&amp;CHAR(34)&amp;",","")</f>
        <v/>
      </c>
      <c r="CY3" s="48" t="str">
        <f>IF(CJ3="y",CHAR(34)&amp;CJ$1&amp;CHAR(34)&amp;",","")</f>
        <v/>
      </c>
      <c r="CZ3" s="48" t="str">
        <f>IF(CK3="y",CHAR(34)&amp;CK$1&amp;CHAR(34)&amp;",","")</f>
        <v>"5+Colo",</v>
      </c>
      <c r="DA3" s="48" t="str">
        <f>IF(Q3&gt;1,CHAR(34)&amp;"words2"&amp;CHAR(34)&amp;",","")</f>
        <v/>
      </c>
      <c r="DB3" s="48" t="str">
        <f>IF(Q3&gt;2,CHAR(34)&amp;"words3"&amp;CHAR(34)&amp;",","")</f>
        <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"lets08",</v>
      </c>
      <c r="DE3" s="48" t="str">
        <f>CHAR(34)&amp;"start"&amp;IFERROR(LEFT(SUBSTITUTE(A3,"["&amp;MID(A3,FIND("[",A3)+1,FIND("]",A3)-FIND("[",A3)-1)&amp;"] ",""),1),LEFT(A3,1))&amp;CHAR(34)&amp;","</f>
        <v>"startF",</v>
      </c>
      <c r="DF3" s="48" t="str">
        <f>IFERROR(IF(SEARCH("tan",A3)&gt;0,CHAR(34)&amp;"withtn"&amp;CHAR(34)&amp;",",""),"")</f>
        <v/>
      </c>
      <c r="DG3" s="48" t="str">
        <f>IFERROR(IF(SEARCH("q",A3)&gt;0,CHAR(34)&amp;"with_q"&amp;CHAR(34)&amp;",",""),"")</f>
        <v/>
      </c>
      <c r="DH3" s="48" t="str">
        <f>IFERROR(IF(SEARCH("v",A3)&gt;0,CHAR(34)&amp;"with_v"&amp;CHAR(34)&amp;",",""),"")</f>
        <v/>
      </c>
      <c r="DI3" s="48" t="str">
        <f>IFERROR(IF(SEARCH("w",A3)&gt;0,CHAR(34)&amp;"with_w"&amp;CHAR(34)&amp;",",""),"")</f>
        <v>"with_w",</v>
      </c>
      <c r="DJ3" s="48" t="str">
        <f>IFERROR(IF(SEARCH("y",A3)&gt;0,CHAR(34)&amp;"with_y"&amp;CHAR(34)&amp;",",""),"")</f>
        <v/>
      </c>
      <c r="DK3" s="48" t="str">
        <f>IFERROR(IF(SEARCH("z",A3)&gt;0,CHAR(34)&amp;"with_z"&amp;CHAR(34)&amp;",",""),"")</f>
        <v/>
      </c>
      <c r="DL3" s="48" t="str">
        <f>IF(CG3=2, CHAR(34) &amp; _xlfn.TEXTJOIN("", TRUE, _xlfn._xlws.SORT(HP3:HX3)) &amp; CHAR(34) &amp; ",", "")</f>
        <v/>
      </c>
      <c r="DM3" s="48" t="str" cm="1">
        <f t="array" ref="DM3">IF(CG3=3,CHAR(34) &amp; _xlfn.TEXTJOIN("", TRUE, RIGHT(HP3:HX3, 2)) &amp; CHAR(34) &amp; ",", "")</f>
        <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
      </c>
      <c r="DP3" s="6" t="str">
        <f>IF(AND(ISNUMBER(SEARCH("20", O3)), ISERROR(SEARCH("1920", O3))), CHAR(34)&amp;"year00"&amp;CHAR(34)&amp;",", "")</f>
        <v/>
      </c>
      <c r="DQ3" s="6" t="str">
        <f>IF(CC3="y",CHAR(34)&amp;"soviet"&amp;CHAR(34)&amp;",","")</f>
        <v/>
      </c>
      <c r="DR3" s="6" t="str">
        <f>IF(BY3="y",CHAR(34)&amp;"dgband"&amp;CHAR(34)&amp;",","")</f>
        <v/>
      </c>
      <c r="DS3" s="6" t="str">
        <f>IF(W3="y",IF(AND(V3="n",BY3&lt;&gt;"y"),CHAR(34)&amp;"allver"&amp;CHAR(34)&amp;",",""),"")</f>
        <v/>
      </c>
      <c r="DT3" s="6" t="str">
        <f>IF(V3="y",IF(AND(W3="n",BY3&lt;&gt;"y"),CHAR(34)&amp;"allhor"&amp;CHAR(34)&amp;",",""),"")</f>
        <v/>
      </c>
      <c r="DU3" s="6" t="str">
        <f>IF(BY3="y",IF(AND(W3="n",V3="n"),CHAR(34)&amp;"alldia"&amp;CHAR(34)&amp;",",""),"")</f>
        <v/>
      </c>
      <c r="DW3" s="48" t="str">
        <f>IF(CL3="y",CHAR(34)&amp;CL$1&amp;CHAR(34)&amp;",","")</f>
        <v>"NoBand",</v>
      </c>
      <c r="DX3" s="48" t="str">
        <f>IF(CM3="y",CHAR(34)&amp;CM$1&amp;CHAR(34)&amp;",","")</f>
        <v/>
      </c>
      <c r="DY3" s="48" t="str">
        <f>IF(CN3="y",CHAR(34)&amp;CN$1&amp;CHAR(34)&amp;",","")</f>
        <v/>
      </c>
      <c r="DZ3" s="48" t="str">
        <f>IF(CO3="y",CHAR(34)&amp;CO$1&amp;CHAR(34)&amp;",","")</f>
        <v/>
      </c>
      <c r="EA3" s="48" t="str">
        <f>IF(T3="y",CHAR(34)&amp;T$1&amp;CHAR(34)&amp;",","")</f>
        <v>"Diagon",</v>
      </c>
      <c r="EB3" s="48" t="str">
        <f>IF(U3="y",CHAR(34)&amp;U$1&amp;CHAR(34)&amp;",","")</f>
        <v/>
      </c>
      <c r="EC3" s="48" t="str">
        <f>IF(V3="y",CHAR(34)&amp;V$1&amp;CHAR(34)&amp;",","")</f>
        <v>"Horizo",</v>
      </c>
      <c r="ED3" s="48" t="str">
        <f>IF(W3="y",CHAR(34)&amp;W$1&amp;CHAR(34)&amp;",","")</f>
        <v>"Vertic",</v>
      </c>
      <c r="EE3" s="48" t="str">
        <f>IF(X3="y",CHAR(34)&amp;X$1&amp;CHAR(34)&amp;",","")</f>
        <v/>
      </c>
      <c r="EF3" s="48" t="str">
        <f>IF(AND(Y3&lt;&gt;"n",Y3&lt;&gt;""),CHAR(34)&amp;Y$1&amp;CHAR(34)&amp;",","")</f>
        <v>"Animal",</v>
      </c>
      <c r="EG3" s="48" t="str">
        <f>IF(Z3="y",CHAR(34)&amp;Z$1&amp;CHAR(34)&amp;",","")</f>
        <v/>
      </c>
      <c r="EH3" s="48" t="str">
        <f>IF(AA3="y",CHAR(34)&amp;AA$1&amp;CHAR(34)&amp;",","")</f>
        <v>"Plants",</v>
      </c>
      <c r="EI3" s="48" t="str">
        <f>IF(AB3="y",CHAR(34)&amp;AB$1&amp;CHAR(34)&amp;",","")</f>
        <v>"Texted",</v>
      </c>
      <c r="EJ3" s="48" t="str">
        <f>IF(AC3="y",CHAR(34)&amp;AC$1&amp;CHAR(34)&amp;",","")</f>
        <v>"Weapon",</v>
      </c>
      <c r="EK3" s="48" t="str">
        <f>IF(AD3="y",CHAR(34)&amp;AD$1&amp;CHAR(34)&amp;",","")</f>
        <v/>
      </c>
      <c r="EL3" s="48" t="str">
        <f>IF(AE3="y",CHAR(34)&amp;AE$1&amp;CHAR(34)&amp;",","")</f>
        <v/>
      </c>
      <c r="EM3" s="48" t="str">
        <f>IF(AF3="y",CHAR(34)&amp;AF$1&amp;CHAR(34)&amp;",","")</f>
        <v/>
      </c>
      <c r="EN3" s="48" t="str">
        <f>IF(AG3="y",CHAR(34)&amp;AG$1&amp;CHAR(34)&amp;",","")</f>
        <v/>
      </c>
      <c r="EO3" s="48" t="str">
        <f>IF(AH3="y",CHAR(34)&amp;AH$1&amp;CHAR(34)&amp;",","")</f>
        <v>"Center",</v>
      </c>
      <c r="EP3" s="48" t="str">
        <f>IF(AI3="y",CHAR(34)&amp;AI$1&amp;CHAR(34)&amp;",","")</f>
        <v/>
      </c>
      <c r="EQ3" s="48" t="str">
        <f>IF(AJ3="y",CHAR(34)&amp;AJ$1&amp;CHAR(34)&amp;",","")</f>
        <v/>
      </c>
      <c r="ER3" s="48" t="str">
        <f>IF(AK3="y",CHAR(34)&amp;AK$1&amp;CHAR(34)&amp;",","")</f>
        <v/>
      </c>
      <c r="ES3" s="48" t="str">
        <f>IF(AL3="y",CHAR(34)&amp;AL$1&amp;CHAR(34)&amp;",","")</f>
        <v/>
      </c>
      <c r="ET3" s="48" t="str">
        <f>IF(AM3="y",CHAR(34)&amp;AM$1&amp;CHAR(34)&amp;",","")</f>
        <v>"Geogrh",</v>
      </c>
      <c r="EU3" s="48" t="str">
        <f>IF(AN3="y",CHAR(34)&amp;AN$1&amp;CHAR(34)&amp;",","")</f>
        <v/>
      </c>
      <c r="EV3" s="48" t="str">
        <f>IF(AO3="y",CHAR(34)&amp;AO$1&amp;CHAR(34)&amp;",","")</f>
        <v/>
      </c>
      <c r="EW3" s="48" t="str">
        <f>IF(AP3="y",CHAR(34)&amp;AP$1&amp;CHAR(34)&amp;",","")</f>
        <v>"Ships!",</v>
      </c>
      <c r="EX3" s="48" t="str">
        <f>IF(AQ3="y",CHAR(34)&amp;AQ$1&amp;CHAR(34)&amp;",","")</f>
        <v/>
      </c>
      <c r="EY3" s="48" t="str">
        <f>IF(AR3="y",CHAR(34)&amp;AR$1&amp;CHAR(34)&amp;",","")</f>
        <v/>
      </c>
      <c r="EZ3" s="48" t="str">
        <f>IF(AS3="y",CHAR(34)&amp;AS$1&amp;CHAR(34)&amp;",","")</f>
        <v/>
      </c>
      <c r="FA3" s="48" t="str">
        <f>IF(AT3&gt;0,CHAR(34)&amp;"sta"&amp;AZ3&amp;CHAR(34)&amp;",","")</f>
        <v/>
      </c>
      <c r="FB3" s="48" t="str">
        <f>IF(AND(AT3&gt;0,BA3&lt;&gt;""),CHAR(34)&amp;"sta"&amp;BA3&amp;CHAR(34)&amp;",","")</f>
        <v/>
      </c>
      <c r="FD3" s="48" t="str">
        <f>IF(BV3="n",CHAR(34)&amp;"tcWHYE"&amp;CHAR(34)&amp;",",IF(BV3="y",CHAR(34)&amp;FD$1&amp;CHAR(34)&amp;",",""))</f>
        <v/>
      </c>
      <c r="FE3" s="48" t="str">
        <f>IF(COUNTIF(BL3:BT3,"BLU")=0,CHAR(34)&amp;"NO_BLU"&amp;CHAR(34)&amp;",", "")</f>
        <v/>
      </c>
      <c r="FF3" s="48" t="str">
        <f>IF(COUNTIF(BL3:BT3,"WHI")=0,CHAR(34)&amp;"NO_WHI"&amp;CHAR(34)&amp;",", "")</f>
        <v/>
      </c>
      <c r="FG3" s="48" t="str">
        <f>IF(COUNTIF(BL3:BT3,"RED")=0,CHAR(34)&amp;"NO_RED"&amp;CHAR(34)&amp;",", "")</f>
        <v/>
      </c>
      <c r="FH3" s="48" t="str">
        <f>IF(COUNTIF(BL3:BS3,"GRE")=0,CHAR(34)&amp;"NO_GRE"&amp;CHAR(34)&amp;",", "")</f>
        <v/>
      </c>
      <c r="FI3" s="48" t="str">
        <f>IF(COUNTIF(BL3:BT3,"YEL")=0,CHAR(34)&amp;"NO_YEL"&amp;CHAR(34)&amp;",", "")</f>
        <v/>
      </c>
      <c r="FJ3" s="48" t="str">
        <f>IF(COUNTIF(BL3:BT3,"BLA")=0,CHAR(34)&amp;"NO_BLA"&amp;CHAR(34)&amp;",", "")</f>
        <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
      </c>
      <c r="FQ3" s="48" t="str">
        <f>IF(LEN(BF3)=3,CHAR(34)&amp;"001"&amp;BF3&amp;CHAR(34)&amp;",","")</f>
        <v/>
      </c>
      <c r="FR3" s="48" t="str">
        <f>IF(LEN(BG3)=3,CHAR(34)&amp;"002"&amp;BG3&amp;CHAR(34)&amp;",","")</f>
        <v/>
      </c>
      <c r="FS3" s="48" t="str">
        <f>IF(LEN(BH3)=3,CHAR(34)&amp;"003"&amp;BH3&amp;CHAR(34)&amp;",","")</f>
        <v/>
      </c>
      <c r="FT3" s="48" t="str">
        <f>CHAR(34)&amp;"myr"&amp;BD3&amp;CHAR(34)&amp;","</f>
        <v>"myrBLU",</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
      </c>
      <c r="GG3" s="48" t="str">
        <f>IF(BU3="y",CHAR(34)&amp;"unjack"&amp;CHAR(34)&amp;",","")</f>
        <v/>
      </c>
      <c r="GH3" s="48" t="str">
        <f>IF(CD3=1,CHAR(34)&amp;"southc"&amp;CHAR(34)&amp;",","")</f>
        <v/>
      </c>
      <c r="GI3" s="48" t="str">
        <f>IF(CE3=1,CHAR(34)&amp;"hasmap"&amp;CHAR(34)&amp;",","")</f>
        <v/>
      </c>
      <c r="GJ3" s="48" t="str">
        <f>IF(CP3="y",CHAR(34)&amp;CP$1&amp;CHAR(34)&amp;",","")</f>
        <v>"NoStar",</v>
      </c>
      <c r="GK3" s="48" t="str">
        <f>IF(GJ3="",CHAR(34)&amp;"HasSta"&amp;CHAR(34)&amp;",","")</f>
        <v/>
      </c>
      <c r="GL3" s="48" t="str">
        <f>IF(CQ3="y",CHAR(34)&amp;CQ$1&amp;CHAR(34)&amp;",","")</f>
        <v/>
      </c>
      <c r="GM3" s="48" t="str">
        <f>IF(CR3="y",CHAR(34)&amp;CR$1&amp;CHAR(34)&amp;",","")</f>
        <v/>
      </c>
      <c r="GN3" s="48" t="str">
        <f>IF(CS3="y",CHAR(34)&amp;CS$1&amp;CHAR(34)&amp;",","")</f>
        <v/>
      </c>
      <c r="GP3" s="48" t="str">
        <f>CHAR(34)&amp;AU3&amp;CHAR(34)</f>
        <v>"City, Capital"</v>
      </c>
      <c r="GS3" s="48" t="str">
        <f>SUBSTITUTE("["&amp;_xlfn.CONCAT(CW3:GN3)&amp;"]",",]","]")</f>
        <v>["5+Colo","lets08","startF","with_w","NoBand","Diagon","Horizo","Vertic","Animal","Plants","Texted","Weapon","Center","Geogrh","Ships!","myrBLU","NoStar"]</v>
      </c>
      <c r="GT3" s="48" t="str">
        <f>IF(BL3&lt;&gt;"",CHAR(34)&amp;"cl_"&amp;BL3&amp;CHAR(34)&amp;",","")</f>
        <v>"cl_BLA",</v>
      </c>
      <c r="GU3" s="48" t="str">
        <f>IF(BM3&lt;&gt;"",CHAR(34)&amp;"cl_"&amp;BM3&amp;CHAR(34)&amp;",","")</f>
        <v>"cl_BLU",</v>
      </c>
      <c r="GV3" s="48" t="str">
        <f>IF(BN3&lt;&gt;"",CHAR(34)&amp;"cl_"&amp;BN3&amp;CHAR(34)&amp;",","")</f>
        <v>"cl_GRE",</v>
      </c>
      <c r="GW3" s="48" t="str">
        <f>IF(BO3&lt;&gt;"",CHAR(34)&amp;"cl_"&amp;BO3&amp;CHAR(34)&amp;",","")</f>
        <v>"cl_RED",</v>
      </c>
      <c r="GX3" s="48" t="str">
        <f>IF(BP3&lt;&gt;"",CHAR(34)&amp;"cl_"&amp;BP3&amp;CHAR(34)&amp;",","")</f>
        <v>"cl_YEL",</v>
      </c>
      <c r="GY3" s="48" t="str">
        <f>IF(BQ3&lt;&gt;"",CHAR(34)&amp;"cl_"&amp;BQ3&amp;CHAR(34)&amp;",","")</f>
        <v>"cl_ORA",</v>
      </c>
      <c r="GZ3" s="48" t="str">
        <f>IF(BR3&lt;&gt;"",CHAR(34)&amp;"cl_"&amp;BR3&amp;CHAR(34)&amp;",","")</f>
        <v>"cl_BRO",</v>
      </c>
      <c r="HA3" s="48" t="str">
        <f>IF(BS3&lt;&gt;"",CHAR(34)&amp;"cl_"&amp;BS3&amp;CHAR(34)&amp;",","")</f>
        <v/>
      </c>
      <c r="HB3" s="48" t="str">
        <f>IF(BT3&lt;&gt;"",CHAR(34)&amp;"cl_"&amp;BT3&amp;CHAR(34)&amp;",","")</f>
        <v>"cl_WHI",</v>
      </c>
      <c r="HC3" s="48" t="str">
        <f>SUBSTITUTE("["&amp;_xlfn.CONCAT(GT3:HB3)&amp;"]",",]","]")</f>
        <v>["cl_BLA","cl_BLU","cl_GRE","cl_RED","cl_YEL","cl_ORA","cl_BRO","cl_WHI"]</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{couname:"[SLE] Freetown",year:"???",region:"rgn_Africa",Colors:["cl_BLA","cl_BLU","cl_GRE","cl_RED","cl_YEL","cl_ORA","cl_BRO","cl_WHI"],Items:["5+Colo","lets08","startF","with_w","NoBand","Diagon","Horizo","Vertic","Animal","Plants","Texted","Weapon","Center","Geogrh","Ships!","myrBLU","NoStar"],Flag:"https://upload.wikimedia.org/wikipedia/commons/thumb/4/47/Flag_of_Freetown%2C_Sierra_Leone.png/640px-Flag_of_Freetown%2C_Sierra_Leone.png",HDFlag:"https://upload.wikimedia.org/wikipedia/commons/4/47/Flag_of_Freetown%2C_Sierra_Leone.png",type:"City, Capital", describe: "\nFlag of Freetown, Sierra Leon with the coat of arms in the middle", isnew:"www", links: "https://en.m.wikipedia.org/wiki/Freetown"},</v>
      </c>
      <c r="HG3" s="73" t="str">
        <f>"{couname:"&amp;CT3&amp;(IF(HK3&lt;&gt;"",",subtype:"&amp;CHAR(34)&amp;HK3&amp;CHAR(34),""))&amp;",year:"&amp;HJ3&amp;",region:"&amp;CU3&amp;",Colors:"&amp;HC3&amp;",Items:"&amp;GS3&amp;",Flag:"&amp;CV3&amp;",HDFlag:"&amp;CHAR(34)&amp;E3&amp;CHAR(34)&amp;",type:"&amp;GP3&amp;", describe: "&amp;HI3&amp;", links: "&amp;HL3&amp;"},"</f>
        <v>{couname:"[SLE] Freetown",year:"???",region:"rgn_Africa",Colors:["cl_BLA","cl_BLU","cl_GRE","cl_RED","cl_YEL","cl_ORA","cl_BRO","cl_WHI"],Items:["5+Colo","lets08","startF","with_w","NoBand","Diagon","Horizo","Vertic","Animal","Plants","Texted","Weapon","Center","Geogrh","Ships!","myrBLU","NoStar"],Flag:"https://upload.wikimedia.org/wikipedia/commons/thumb/4/47/Flag_of_Freetown%2C_Sierra_Leone.png/640px-Flag_of_Freetown%2C_Sierra_Leone.png",HDFlag:"https://upload.wikimedia.org/wikipedia/commons/4/47/Flag_of_Freetown%2C_Sierra_Leone.png",type:"City, Capital", describe: "\nFlag of Freetown, Sierra Leon with the coat of arms in the middle", links: "https://en.m.wikipedia.org/wiki/Freetown"},</v>
      </c>
      <c r="HH3" s="48" t="str">
        <f>IF(P3&lt;&gt;"",CHAR(34)&amp;"\n"&amp;P3&amp;CHAR(34),CHAR(34)&amp;CHAR(34))</f>
        <v>"\nFlag of Freetown, Sierra Leon with the coat of arms in the middle"</v>
      </c>
      <c r="HI3" s="48" t="str">
        <f>IF(J3=0,CHAR(34)&amp;CHAR(34),HH3)</f>
        <v>"\nFlag of Freetown, Sierra Leon with the coat of arms in the middle"</v>
      </c>
      <c r="HJ3" s="48" t="str">
        <f>CHAR(34)&amp;O3&amp;CHAR(34)</f>
        <v>"???"</v>
      </c>
      <c r="HL3" s="48" t="str">
        <f>CHAR(34)&amp;I3&amp;CHAR(34)</f>
        <v>"https://en.m.wikipedia.org/wiki/Freetown"</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{"couname":"[SLE] Freetown","year":"???","region":"rgn_Africa","Colors":["cl_BLA","cl_BLU","cl_GRE","cl_RED","cl_YEL","cl_ORA","cl_BRO","cl_WHI"],"Items":["5+Colo","lets08","startF","with_w","NoBand","Diagon","Horizo","Vertic","Animal","Plants","Texted","Weapon","Center","Geogrh","Ships!","myrBLU","NoStar"],"Flag":"https://upload.wikimedia.org/wikipedia/commons/thumb/4/47/Flag_of_Freetown%2C_Sierra_Leone.png/640px-Flag_of_Freetown%2C_Sierra_Leone.png","HDFlag":"https://upload.wikimedia.org/wikipedia/commons/4/47/Flag_of_Freetown%2C_Sierra_Leone.png","type":"City, Capital", "describe": "\nFlag of Freetown, Sierra Leon with the coat of arms in the middle", "isnew": "www", "links": "https://en.m.wikipedia.org/wiki/Freetown"},</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{"couname":"[SLE] Freetown","year":"???","region":"rgn_Africa","Colors":["cl_BLA","cl_BLU","cl_GRE","cl_RED","cl_YEL","cl_ORA","cl_BRO","cl_WHI"],"Items":["5+Colo","lets08","startF","with_w","NoBand","Diagon","Horizo","Vertic","Animal","Plants","Texted","Weapon","Center","Geogrh","Ships!","myrBLU","NoStar"],"Flag":"https://upload.wikimedia.org/wikipedia/commons/thumb/4/47/Flag_of_Freetown%2C_Sierra_Leone.png/640px-Flag_of_Freetown%2C_Sierra_Leone.png","HDFlag":"https://upload.wikimedia.org/wikipedia/commons/4/47/Flag_of_Freetown%2C_Sierra_Leone.png","type":"City, Capital", "describe": "\nFlag of Freetown, Sierra Leon with the coat of arms in the middle", "isnew": "www", "links": "https://en.m.wikipedia.org/wiki/Freetown"},</v>
      </c>
      <c r="HO3" s="75">
        <v>45653</v>
      </c>
      <c r="HP3" s="48" t="str" cm="1">
        <f t="array" ref="HP3">IF(_xlfn.TEXTJOIN(", ", TRUE, IF(ISNUMBER(SEARCH("BLA", BL3:BT3)), COLUMN(BL3:BT3) - COLUMN(BL3) + 1, ""))&lt;&gt;"","BLA","")</f>
        <v>BLA</v>
      </c>
      <c r="HQ3" s="48" t="str" cm="1">
        <f t="array" ref="HQ3">IF(_xlfn.TEXTJOIN(", ", TRUE, IF(ISNUMBER(SEARCH("BLU", BL3:BT3)), COLUMN(BL3:BT3) - COLUMN(BL3) + 1, ""))&lt;&gt;"","BLU","")</f>
        <v>BLU</v>
      </c>
      <c r="HR3" s="48" t="str" cm="1">
        <f t="array" ref="HR3">IF(_xlfn.TEXTJOIN(", ", TRUE, IF(ISNUMBER(SEARCH("GRE", BL3:BT3)), COLUMN(BL3:BT3) - COLUMN(BL3) + 1, ""))&lt;&gt;"","GRE","")</f>
        <v>GRE</v>
      </c>
      <c r="HS3" s="48" t="str" cm="1">
        <f t="array" ref="HS3">IF(_xlfn.TEXTJOIN(", ", TRUE, IF(ISNUMBER(SEARCH("RED", BL3:BT3)), COLUMN(BL3:BT3) - COLUMN(BL3) + 1, ""))&lt;&gt;"","RED","")</f>
        <v>RED</v>
      </c>
      <c r="HT3" s="48" t="str" cm="1">
        <f t="array" ref="HT3">IF(_xlfn.TEXTJOIN(", ", TRUE, IF(ISNUMBER(SEARCH("YEL", BL3:BT3)), COLUMN(BL3:BT3) - COLUMN(BL3) + 1, ""))&lt;&gt;"","YEL","")</f>
        <v>YEL</v>
      </c>
      <c r="HU3" s="48" t="str" cm="1">
        <f t="array" ref="HU3">IF(_xlfn.TEXTJOIN(", ", TRUE, IF(ISNUMBER(SEARCH("ORA", BL3:BT3)), COLUMN(BL3:BT3) - COLUMN(BL3) + 1, ""))&lt;&gt;"","ORA","")</f>
        <v>ORA</v>
      </c>
      <c r="HV3" s="48" t="str" cm="1">
        <f t="array" ref="HV3">IF(_xlfn.TEXTJOIN(", ", TRUE, IF(ISNUMBER(SEARCH("BRO", BL3:BT3)), COLUMN(BL3:BT3) - COLUMN(BL3) + 1, ""))&lt;&gt;"","BRO","")</f>
        <v>BRO</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M3" s="45">
        <f>COUNTIF(IC3:IK3,"&gt;0")-CG3</f>
        <v>-8</v>
      </c>
      <c r="IN3" s="78" t="str">
        <f>"http://mkweb.bcgsc.ca/color-summarizer/?url="&amp;D3&amp;"&amp;precision=low&amp;num_clusters="&amp;CG3&amp;"&amp;text=1"</f>
        <v>http://mkweb.bcgsc.ca/color-summarizer/?url=https://upload.wikimedia.org/wikipedia/commons/thumb/4/47/Flag_of_Freetown%2C_Sierra_Leone.png/640px-Flag_of_Freetown%2C_Sierra_Leone.png&amp;precision=low&amp;num_clusters=8&amp;text=1</v>
      </c>
      <c r="IO3" s="48" t="str">
        <f>IF(HP3&lt;&gt;"",CHAR(34)&amp;"black"&amp;CHAR(34),"")</f>
        <v>"black"</v>
      </c>
      <c r="IP3" s="48" t="str">
        <f>IF(HQ3&lt;&gt;"",CHAR(34)&amp;"blue"&amp;CHAR(34),"")</f>
        <v>"blue"</v>
      </c>
      <c r="IQ3" s="48" t="str">
        <f>IF(HR3&lt;&gt;"",CHAR(34)&amp;"green"&amp;CHAR(34),"")</f>
        <v>"green"</v>
      </c>
      <c r="IR3" s="48" t="str">
        <f>IF(HS3&lt;&gt;"",CHAR(34)&amp;"red"&amp;CHAR(34),"")</f>
        <v>"red"</v>
      </c>
      <c r="IS3" s="48" t="str">
        <f>IF(HT3&lt;&gt;"",CHAR(34)&amp;"yellow"&amp;CHAR(34),"")</f>
        <v>"yellow"</v>
      </c>
      <c r="IT3" s="48" t="str">
        <f>IF(HU3&lt;&gt;"",CHAR(34)&amp;"orange"&amp;CHAR(34),"")</f>
        <v>"orange"</v>
      </c>
      <c r="IU3" s="48" t="str">
        <f>IF(HV3&lt;&gt;"",CHAR(34)&amp;"brown"&amp;CHAR(34),"")</f>
        <v>"brown"</v>
      </c>
      <c r="IV3" s="48" t="str">
        <f>IF(HW3&lt;&gt;"",CHAR(34)&amp;"purple"&amp;CHAR(34),"")</f>
        <v/>
      </c>
      <c r="IW3" s="48" t="str">
        <f>IF(HX3&lt;&gt;"",CHAR(34)&amp;"white"&amp;CHAR(34),"")</f>
        <v>"white"</v>
      </c>
      <c r="IX3" s="48" t="str">
        <f>"{"&amp;CHAR(34)&amp;"url"&amp;CHAR(34)&amp;":"&amp;CHAR(34)&amp;IN3&amp;CHAR(34)&amp;","&amp;CHAR(34)&amp;"name"&amp;CHAR(34)&amp;":"&amp;CHAR(34)&amp;A3&amp;CHAR(34)&amp;"},"</f>
        <v>{"url":"http://mkweb.bcgsc.ca/color-summarizer/?url=https://upload.wikimedia.org/wikipedia/commons/thumb/4/47/Flag_of_Freetown%2C_Sierra_Leone.png/640px-Flag_of_Freetown%2C_Sierra_Leone.png&amp;precision=low&amp;num_clusters=8&amp;text=1","name":"[SLE] Freetown"},</v>
      </c>
      <c r="IY3" s="48">
        <v>1503</v>
      </c>
    </row>
    <row r="4" spans="1:259" s="48" customFormat="1" ht="38.4" customHeight="1" thickBot="1" x14ac:dyDescent="0.35">
      <c r="A4" s="80" t="s">
        <v>1002</v>
      </c>
      <c r="B4" s="40" t="e" vm="110">
        <v>#VALUE!</v>
      </c>
      <c r="C4" s="41" t="s">
        <v>173</v>
      </c>
      <c r="D4" s="42" t="s">
        <v>1003</v>
      </c>
      <c r="E4" s="43" t="s">
        <v>1004</v>
      </c>
      <c r="F4" s="44" t="s">
        <v>163</v>
      </c>
      <c r="G4" s="45">
        <f>COUNTIF($A$1:$A$8338,A4)</f>
        <v>1</v>
      </c>
      <c r="H4" s="46" t="s">
        <v>1014</v>
      </c>
      <c r="I4" s="47" t="s">
        <v>1005</v>
      </c>
      <c r="J4" s="48" t="str">
        <f>""</f>
        <v/>
      </c>
      <c r="K4" s="49"/>
      <c r="L4" s="50"/>
      <c r="M4" s="50"/>
      <c r="N4" s="51" t="s">
        <v>180</v>
      </c>
      <c r="O4" s="52" t="s">
        <v>1006</v>
      </c>
      <c r="P4" s="53" t="s">
        <v>1007</v>
      </c>
      <c r="Q4" s="54">
        <v>5</v>
      </c>
      <c r="R4" s="55" t="s">
        <v>180</v>
      </c>
      <c r="S4" s="56">
        <v>0</v>
      </c>
      <c r="T4" s="57" t="s">
        <v>164</v>
      </c>
      <c r="U4" s="58" t="s">
        <v>167</v>
      </c>
      <c r="V4" s="58" t="s">
        <v>164</v>
      </c>
      <c r="W4" s="58" t="s">
        <v>164</v>
      </c>
      <c r="X4" s="58" t="s">
        <v>167</v>
      </c>
      <c r="Y4" s="58" t="s">
        <v>164</v>
      </c>
      <c r="Z4" s="58" t="s">
        <v>164</v>
      </c>
      <c r="AA4" s="58" t="s">
        <v>167</v>
      </c>
      <c r="AB4" s="58" t="s">
        <v>167</v>
      </c>
      <c r="AC4" s="58" t="s">
        <v>167</v>
      </c>
      <c r="AD4" s="58" t="s">
        <v>164</v>
      </c>
      <c r="AE4" s="58" t="s">
        <v>164</v>
      </c>
      <c r="AF4" s="59" t="s">
        <v>164</v>
      </c>
      <c r="AG4" s="59" t="s">
        <v>164</v>
      </c>
      <c r="AH4" s="59" t="s">
        <v>164</v>
      </c>
      <c r="AI4" s="59" t="s">
        <v>167</v>
      </c>
      <c r="AJ4" s="59" t="s">
        <v>164</v>
      </c>
      <c r="AK4" s="59" t="s">
        <v>164</v>
      </c>
      <c r="AL4" s="59" t="s">
        <v>164</v>
      </c>
      <c r="AM4" s="59" t="s">
        <v>167</v>
      </c>
      <c r="AN4" s="59" t="s">
        <v>167</v>
      </c>
      <c r="AO4" s="59" t="s">
        <v>164</v>
      </c>
      <c r="AP4" s="59" t="s">
        <v>167</v>
      </c>
      <c r="AQ4" s="59" t="s">
        <v>164</v>
      </c>
      <c r="AR4" s="59" t="s">
        <v>164</v>
      </c>
      <c r="AS4" s="59" t="s">
        <v>164</v>
      </c>
      <c r="AT4" s="60">
        <v>0</v>
      </c>
      <c r="AU4" s="59" t="s">
        <v>174</v>
      </c>
      <c r="AV4" s="59" t="str">
        <f>IF(LEFT(A4,1)="[",LEFT(A4,5)&amp;AU4&amp;A4,"")</f>
        <v>[SLE]Historical[SLE] Sierra Leone Colony and Protectorate (1916-1961)</v>
      </c>
      <c r="AW4" s="59" t="str">
        <f t="shared" si="1"/>
        <v>3b[SLE] Other[SLE] Sierra Leone Colony and Protectorate (1916-1961)</v>
      </c>
      <c r="AX4" s="61"/>
      <c r="AY4" s="61"/>
      <c r="AZ4" s="62"/>
      <c r="BA4" s="62"/>
      <c r="BB4" s="62"/>
      <c r="BC4" s="63"/>
      <c r="BD4" s="64" t="s">
        <v>152</v>
      </c>
      <c r="BE4" s="47"/>
      <c r="BF4" s="64"/>
      <c r="BG4" s="64"/>
      <c r="BH4" s="64"/>
      <c r="BI4" s="64"/>
      <c r="BJ4" s="64"/>
      <c r="BK4" s="47"/>
      <c r="BL4" s="64" t="s">
        <v>152</v>
      </c>
      <c r="BM4" s="64" t="s">
        <v>154</v>
      </c>
      <c r="BN4" s="64" t="s">
        <v>159</v>
      </c>
      <c r="BO4" s="64" t="s">
        <v>157</v>
      </c>
      <c r="BP4" s="64" t="s">
        <v>153</v>
      </c>
      <c r="BQ4" s="64" t="s">
        <v>155</v>
      </c>
      <c r="BR4" s="64" t="s">
        <v>156</v>
      </c>
      <c r="BS4" s="64" t="s">
        <v>151</v>
      </c>
      <c r="BT4" s="64"/>
      <c r="BU4" s="65" t="s">
        <v>167</v>
      </c>
      <c r="BV4" s="66"/>
      <c r="BW4" s="66">
        <v>0</v>
      </c>
      <c r="BX4" s="47"/>
      <c r="CB4" s="6"/>
      <c r="CC4" s="6"/>
      <c r="CD4" s="67">
        <v>0</v>
      </c>
      <c r="CE4" s="67">
        <v>0</v>
      </c>
      <c r="CF4" s="67" t="e">
        <v>#REF!</v>
      </c>
      <c r="CG4" s="68" cm="1">
        <f t="array" ref="CG4">SUMPRODUCT(--(LEN(TRIM(BL4:BT4))&gt;0))</f>
        <v>8</v>
      </c>
      <c r="CH4" s="59" t="str">
        <f>IF(CG4=2,"y","n")</f>
        <v>n</v>
      </c>
      <c r="CI4" s="59" t="str">
        <f>IF(CG4=3,"y","n")</f>
        <v>n</v>
      </c>
      <c r="CJ4" s="59" t="str">
        <f>IF(CG4=4,"y","n")</f>
        <v>n</v>
      </c>
      <c r="CK4" s="59" t="str">
        <f>IF(CG4&gt;4,"y","n")</f>
        <v>y</v>
      </c>
      <c r="CL4" s="59" t="str">
        <f>IF(S4=0,"y","n")</f>
        <v>y</v>
      </c>
      <c r="CM4" s="59" t="str">
        <f>IF(S4=2,"y","n")</f>
        <v>n</v>
      </c>
      <c r="CN4" s="59" t="str">
        <f>IF(S4=3,"y","n")</f>
        <v>n</v>
      </c>
      <c r="CO4" s="59" t="str">
        <f>IF(S4&gt;=4,"y","n")</f>
        <v>n</v>
      </c>
      <c r="CP4" s="59" t="str">
        <f>IF(AT4=0,"y","n")</f>
        <v>y</v>
      </c>
      <c r="CQ4" s="59" t="str">
        <f>IF(AT4=1,"y","n")</f>
        <v>n</v>
      </c>
      <c r="CR4" s="59" t="str">
        <f>IF(AT4=2,"y","n")</f>
        <v>n</v>
      </c>
      <c r="CS4" s="59" t="str">
        <f>IF(AT4&gt;=3,"y","n")</f>
        <v>n</v>
      </c>
      <c r="CT4" s="69" t="str">
        <f>CHAR(34)&amp;A4&amp;CHAR(34)</f>
        <v>"[SLE] Sierra Leone Colony and Protectorate (1916-1961)"</v>
      </c>
      <c r="CU4" s="70" t="str">
        <f>CHAR(34)&amp;"rgn_"&amp;R4&amp;CHAR(34)</f>
        <v>"rgn_Africa"</v>
      </c>
      <c r="CV4" s="48" t="str">
        <f>CHAR(34)&amp;D4&amp;CHAR(34)</f>
        <v>"https://upload.wikimedia.org/wikipedia/commons/thumb/f/f9/Flag_of_Sierra_Leone_%281916%E2%80%931961%29.svg/640px-Flag_of_Sierra_Leone_%281916%E2%80%931961%29.svg.png"</v>
      </c>
      <c r="CW4" s="48" t="str">
        <f>IF(CH4="y",CHAR(34)&amp;CH$1&amp;CHAR(34)&amp;",","")</f>
        <v/>
      </c>
      <c r="CX4" s="48" t="str">
        <f>IF(CI4="y",CHAR(34)&amp;CI$1&amp;CHAR(34)&amp;",","")</f>
        <v/>
      </c>
      <c r="CY4" s="48" t="str">
        <f>IF(CJ4="y",CHAR(34)&amp;CJ$1&amp;CHAR(34)&amp;",","")</f>
        <v/>
      </c>
      <c r="CZ4" s="48" t="str">
        <f>IF(CK4="y",CHAR(34)&amp;CK$1&amp;CHAR(34)&amp;",","")</f>
        <v>"5+Colo",</v>
      </c>
      <c r="DA4" s="48" t="str">
        <f>IF(Q4&gt;1,CHAR(34)&amp;"words2"&amp;CHAR(34)&amp;",","")</f>
        <v>"words2",</v>
      </c>
      <c r="DB4" s="48" t="str">
        <f>IF(Q4&gt;2,CHAR(34)&amp;"words3"&amp;CHAR(34)&amp;",","")</f>
        <v>"words3",</v>
      </c>
      <c r="DD4" s="48" t="str">
        <f>IF(LEN(CHAR(34)&amp;"lets"&amp;LEN(SUBSTITUTE(SUBSTITUTE(IFERROR(TRIM(SUBSTITUTE(A4,MID(A4,FIND("[",A4),FIND("]",A4)-FIND("[",A4)+1),"")),A4)," ",""),"-",""))&amp;CHAR(34)&amp;",")=9,CHAR(34)&amp;"lets"&amp;LEN(SUBSTITUTE(SUBSTITUTE(IFERROR(TRIM(SUBSTITUTE(A4,MID(A4,FIND("[",A4),FIND("]",A4)-FIND("[",A4)+1),"")),A4)," ",""),"-",""))&amp;CHAR(34)&amp;",",CHAR(34)&amp;"lets0"&amp;LEN(SUBSTITUTE(SUBSTITUTE(IFERROR(TRIM(SUBSTITUTE(A4,MID(A4,FIND("[",A4),FIND("]",A4)-FIND("[",A4)+1),"")),A4)," ",""),"-",""))&amp;CHAR(34)&amp;",")</f>
        <v>"lets42",</v>
      </c>
      <c r="DE4" s="48" t="str">
        <f>CHAR(34)&amp;"start"&amp;IFERROR(LEFT(SUBSTITUTE(A4,"["&amp;MID(A4,FIND("[",A4)+1,FIND("]",A4)-FIND("[",A4)-1)&amp;"] ",""),1),LEFT(A4,1))&amp;CHAR(34)&amp;","</f>
        <v>"startS",</v>
      </c>
      <c r="DF4" s="48" t="str">
        <f>IFERROR(IF(SEARCH("tan",A4)&gt;0,CHAR(34)&amp;"withtn"&amp;CHAR(34)&amp;",",""),"")</f>
        <v/>
      </c>
      <c r="DG4" s="48" t="str">
        <f>IFERROR(IF(SEARCH("q",A4)&gt;0,CHAR(34)&amp;"with_q"&amp;CHAR(34)&amp;",",""),"")</f>
        <v/>
      </c>
      <c r="DH4" s="48" t="str">
        <f>IFERROR(IF(SEARCH("v",A4)&gt;0,CHAR(34)&amp;"with_v"&amp;CHAR(34)&amp;",",""),"")</f>
        <v/>
      </c>
      <c r="DI4" s="48" t="str">
        <f>IFERROR(IF(SEARCH("w",A4)&gt;0,CHAR(34)&amp;"with_w"&amp;CHAR(34)&amp;",",""),"")</f>
        <v/>
      </c>
      <c r="DJ4" s="48" t="str">
        <f>IFERROR(IF(SEARCH("y",A4)&gt;0,CHAR(34)&amp;"with_y"&amp;CHAR(34)&amp;",",""),"")</f>
        <v>"with_y",</v>
      </c>
      <c r="DK4" s="48" t="str">
        <f>IFERROR(IF(SEARCH("z",A4)&gt;0,CHAR(34)&amp;"with_z"&amp;CHAR(34)&amp;",",""),"")</f>
        <v/>
      </c>
      <c r="DL4" s="48" t="str">
        <f>IF(CG4=2, CHAR(34) &amp; _xlfn.TEXTJOIN("", TRUE, _xlfn._xlws.SORT(HP4:HX4)) &amp; CHAR(34) &amp; ",", "")</f>
        <v/>
      </c>
      <c r="DM4" s="48" t="str" cm="1">
        <f t="array" ref="DM4">IF(CG4=3,CHAR(34) &amp; _xlfn.TEXTJOIN("", TRUE, RIGHT(HP4:HX4, 2)) &amp; CHAR(34) &amp; ",", "")</f>
        <v/>
      </c>
      <c r="DN4" s="48" t="str">
        <f>IF(AND(ISNUMBER(SEARCH("18", O4)), ISERROR(SEARCH("1918", O4)), ISERROR(SEARCH("2018", O4))), CHAR(34) &amp; "year18" &amp; CHAR(34) &amp; ",", "")</f>
        <v/>
      </c>
      <c r="DO4" s="48" t="str">
        <f>IF(AND(ISNUMBER(SEARCH("19", O4)), ISERROR(SEARCH("1819", O4)),  ISERROR(SEARCH("1219", O4)),ISERROR(SEARCH("1119", O4)),ISERROR(SEARCH("1190", O4)),ISERROR(SEARCH("2019", O4))), CHAR(34) &amp; "year19" &amp; CHAR(34) &amp; ",", "")</f>
        <v>"year19",</v>
      </c>
      <c r="DP4" s="6" t="str">
        <f>IF(AND(ISNUMBER(SEARCH("20", O4)), ISERROR(SEARCH("1920", O4))), CHAR(34)&amp;"year00"&amp;CHAR(34)&amp;",", "")</f>
        <v/>
      </c>
      <c r="DQ4" s="6" t="str">
        <f>IF(CC4="y",CHAR(34)&amp;"soviet"&amp;CHAR(34)&amp;",","")</f>
        <v/>
      </c>
      <c r="DR4" s="6" t="str">
        <f>IF(BY4="y",CHAR(34)&amp;"dgband"&amp;CHAR(34)&amp;",","")</f>
        <v/>
      </c>
      <c r="DS4" s="6" t="str">
        <f>IF(W4="y",IF(AND(V4="n",BY4&lt;&gt;"y"),CHAR(34)&amp;"allver"&amp;CHAR(34)&amp;",",""),"")</f>
        <v/>
      </c>
      <c r="DT4" s="6" t="str">
        <f>IF(V4="y",IF(AND(W4="n",BY4&lt;&gt;"y"),CHAR(34)&amp;"allhor"&amp;CHAR(34)&amp;",",""),"")</f>
        <v/>
      </c>
      <c r="DU4" s="6" t="str">
        <f>IF(BY4="y",IF(AND(W4="n",V4="n"),CHAR(34)&amp;"alldia"&amp;CHAR(34)&amp;",",""),"")</f>
        <v/>
      </c>
      <c r="DW4" s="48" t="str">
        <f>IF(CL4="y",CHAR(34)&amp;CL$1&amp;CHAR(34)&amp;",","")</f>
        <v>"NoBand",</v>
      </c>
      <c r="DX4" s="48" t="str">
        <f>IF(CM4="y",CHAR(34)&amp;CM$1&amp;CHAR(34)&amp;",","")</f>
        <v/>
      </c>
      <c r="DY4" s="48" t="str">
        <f>IF(CN4="y",CHAR(34)&amp;CN$1&amp;CHAR(34)&amp;",","")</f>
        <v/>
      </c>
      <c r="DZ4" s="48" t="str">
        <f>IF(CO4="y",CHAR(34)&amp;CO$1&amp;CHAR(34)&amp;",","")</f>
        <v/>
      </c>
      <c r="EA4" s="48" t="str">
        <f>IF(T4="y",CHAR(34)&amp;T$1&amp;CHAR(34)&amp;",","")</f>
        <v/>
      </c>
      <c r="EB4" s="48" t="str">
        <f>IF(U4="y",CHAR(34)&amp;U$1&amp;CHAR(34)&amp;",","")</f>
        <v>"Crosse",</v>
      </c>
      <c r="EC4" s="48" t="str">
        <f>IF(V4="y",CHAR(34)&amp;V$1&amp;CHAR(34)&amp;",","")</f>
        <v/>
      </c>
      <c r="ED4" s="48" t="str">
        <f>IF(W4="y",CHAR(34)&amp;W$1&amp;CHAR(34)&amp;",","")</f>
        <v/>
      </c>
      <c r="EE4" s="48" t="str">
        <f>IF(X4="y",CHAR(34)&amp;X$1&amp;CHAR(34)&amp;",","")</f>
        <v>"Circle",</v>
      </c>
      <c r="EF4" s="48" t="str">
        <f>IF(AND(Y4&lt;&gt;"n",Y4&lt;&gt;""),CHAR(34)&amp;Y$1&amp;CHAR(34)&amp;",","")</f>
        <v/>
      </c>
      <c r="EG4" s="48" t="str">
        <f>IF(Z4="y",CHAR(34)&amp;Z$1&amp;CHAR(34)&amp;",","")</f>
        <v/>
      </c>
      <c r="EH4" s="48" t="str">
        <f>IF(AA4="y",CHAR(34)&amp;AA$1&amp;CHAR(34)&amp;",","")</f>
        <v>"Plants",</v>
      </c>
      <c r="EI4" s="48" t="str">
        <f>IF(AB4="y",CHAR(34)&amp;AB$1&amp;CHAR(34)&amp;",","")</f>
        <v>"Texted",</v>
      </c>
      <c r="EJ4" s="48" t="str">
        <f>IF(AC4="y",CHAR(34)&amp;AC$1&amp;CHAR(34)&amp;",","")</f>
        <v>"Weapon",</v>
      </c>
      <c r="EK4" s="48" t="str">
        <f>IF(AD4="y",CHAR(34)&amp;AD$1&amp;CHAR(34)&amp;",","")</f>
        <v/>
      </c>
      <c r="EL4" s="48" t="str">
        <f>IF(AE4="y",CHAR(34)&amp;AE$1&amp;CHAR(34)&amp;",","")</f>
        <v/>
      </c>
      <c r="EM4" s="48" t="str">
        <f>IF(AF4="y",CHAR(34)&amp;AF$1&amp;CHAR(34)&amp;",","")</f>
        <v/>
      </c>
      <c r="EN4" s="48" t="str">
        <f>IF(AG4="y",CHAR(34)&amp;AG$1&amp;CHAR(34)&amp;",","")</f>
        <v/>
      </c>
      <c r="EO4" s="48" t="str">
        <f>IF(AH4="y",CHAR(34)&amp;AH$1&amp;CHAR(34)&amp;",","")</f>
        <v/>
      </c>
      <c r="EP4" s="48" t="str">
        <f>IF(AI4="y",CHAR(34)&amp;AI$1&amp;CHAR(34)&amp;",","")</f>
        <v>"Canton",</v>
      </c>
      <c r="EQ4" s="48" t="str">
        <f>IF(AJ4="y",CHAR(34)&amp;AJ$1&amp;CHAR(34)&amp;",","")</f>
        <v/>
      </c>
      <c r="ER4" s="48" t="str">
        <f>IF(AK4="y",CHAR(34)&amp;AK$1&amp;CHAR(34)&amp;",","")</f>
        <v/>
      </c>
      <c r="ES4" s="48" t="str">
        <f>IF(AL4="y",CHAR(34)&amp;AL$1&amp;CHAR(34)&amp;",","")</f>
        <v/>
      </c>
      <c r="ET4" s="48" t="str">
        <f>IF(AM4="y",CHAR(34)&amp;AM$1&amp;CHAR(34)&amp;",","")</f>
        <v>"Geogrh",</v>
      </c>
      <c r="EU4" s="48" t="str">
        <f>IF(AN4="y",CHAR(34)&amp;AN$1&amp;CHAR(34)&amp;",","")</f>
        <v>"Humans",</v>
      </c>
      <c r="EV4" s="48" t="str">
        <f>IF(AO4="y",CHAR(34)&amp;AO$1&amp;CHAR(34)&amp;",","")</f>
        <v/>
      </c>
      <c r="EW4" s="48" t="str">
        <f>IF(AP4="y",CHAR(34)&amp;AP$1&amp;CHAR(34)&amp;",","")</f>
        <v>"Ships!",</v>
      </c>
      <c r="EX4" s="48" t="str">
        <f>IF(AQ4="y",CHAR(34)&amp;AQ$1&amp;CHAR(34)&amp;",","")</f>
        <v/>
      </c>
      <c r="EY4" s="48" t="str">
        <f>IF(AR4="y",CHAR(34)&amp;AR$1&amp;CHAR(34)&amp;",","")</f>
        <v/>
      </c>
      <c r="EZ4" s="48" t="str">
        <f>IF(AS4="y",CHAR(34)&amp;AS$1&amp;CHAR(34)&amp;",","")</f>
        <v/>
      </c>
      <c r="FA4" s="48" t="str">
        <f>IF(AT4&gt;0,CHAR(34)&amp;"sta"&amp;AZ4&amp;CHAR(34)&amp;",","")</f>
        <v/>
      </c>
      <c r="FB4" s="48" t="str">
        <f>IF(AND(AT4&gt;0,BA4&lt;&gt;""),CHAR(34)&amp;"sta"&amp;BA4&amp;CHAR(34)&amp;",","")</f>
        <v/>
      </c>
      <c r="FD4" s="48" t="str">
        <f>IF(BV4="n",CHAR(34)&amp;"tcWHYE"&amp;CHAR(34)&amp;",",IF(BV4="y",CHAR(34)&amp;FD$1&amp;CHAR(34)&amp;",",""))</f>
        <v/>
      </c>
      <c r="FE4" s="48" t="str">
        <f>IF(COUNTIF(BL4:BT4,"BLU")=0,CHAR(34)&amp;"NO_BLU"&amp;CHAR(34)&amp;",", "")</f>
        <v/>
      </c>
      <c r="FF4" s="48" t="str">
        <f>IF(COUNTIF(BL4:BT4,"WHI")=0,CHAR(34)&amp;"NO_WHI"&amp;CHAR(34)&amp;",", "")</f>
        <v/>
      </c>
      <c r="FG4" s="48" t="str">
        <f>IF(COUNTIF(BL4:BT4,"RED")=0,CHAR(34)&amp;"NO_RED"&amp;CHAR(34)&amp;",", "")</f>
        <v/>
      </c>
      <c r="FH4" s="48" t="str">
        <f>IF(COUNTIF(BL4:BS4,"GRE")=0,CHAR(34)&amp;"NO_GRE"&amp;CHAR(34)&amp;",", "")</f>
        <v/>
      </c>
      <c r="FI4" s="48" t="str">
        <f>IF(COUNTIF(BL4:BT4,"YEL")=0,CHAR(34)&amp;"NO_YEL"&amp;CHAR(34)&amp;",", "")</f>
        <v/>
      </c>
      <c r="FJ4" s="48" t="str">
        <f>IF(COUNTIF(BL4:BT4,"BLA")=0,CHAR(34)&amp;"NO_BLA"&amp;CHAR(34)&amp;",", "")</f>
        <v/>
      </c>
      <c r="FK4" s="48" t="str">
        <f>IF(AND(FH4&lt;&gt;"",FF4&lt;&gt;""),CHAR(34)&amp;"WHGRNO"&amp;CHAR(34)&amp;",","")</f>
        <v/>
      </c>
      <c r="FL4" s="48" t="str">
        <f>IF(AND(FI4&lt;&gt;"",FF4&lt;&gt;""),CHAR(34)&amp;"WHYENO"&amp;CHAR(34)&amp;",","")</f>
        <v/>
      </c>
      <c r="FM4" s="48" t="str">
        <f>IF(AND(FJ4&lt;&gt;"",FF4&lt;&gt;""),CHAR(34)&amp;"BAWHNO"&amp;CHAR(34)&amp;",","")</f>
        <v/>
      </c>
      <c r="FN4" s="48" t="str">
        <f>IF(AND(FE4&lt;&gt;"",FF4&lt;&gt;""),CHAR(34)&amp;"BLWHNO"&amp;CHAR(34)&amp;",","")</f>
        <v/>
      </c>
      <c r="FO4" s="48" t="str">
        <f>IF(AND(FE4&lt;&gt;"",FG4&lt;&gt;""),CHAR(34)&amp;"BLRENO"&amp;CHAR(34)&amp;",","")</f>
        <v/>
      </c>
      <c r="FP4" s="48" t="str">
        <f>IF(AND(FF4&lt;&gt;"",FF4&lt;&gt;""),CHAR(34)&amp;"WHRENO"&amp;CHAR(34)&amp;",","")</f>
        <v/>
      </c>
      <c r="FQ4" s="48" t="str">
        <f>IF(LEN(BF4)=3,CHAR(34)&amp;"001"&amp;BF4&amp;CHAR(34)&amp;",","")</f>
        <v/>
      </c>
      <c r="FR4" s="48" t="str">
        <f>IF(LEN(BG4)=3,CHAR(34)&amp;"002"&amp;BG4&amp;CHAR(34)&amp;",","")</f>
        <v/>
      </c>
      <c r="FS4" s="48" t="str">
        <f>IF(LEN(BH4)=3,CHAR(34)&amp;"003"&amp;BH4&amp;CHAR(34)&amp;",","")</f>
        <v/>
      </c>
      <c r="FT4" s="48" t="str">
        <f>CHAR(34)&amp;"myr"&amp;BD4&amp;CHAR(34)&amp;","</f>
        <v>"myrBLU",</v>
      </c>
      <c r="FU4" s="48" t="str">
        <f>IF(AY4="y",CHAR(34)&amp;"island"&amp;CHAR(34)&amp;",","")</f>
        <v/>
      </c>
      <c r="FV4" s="48" t="str">
        <f>IF(BZ4="y",CHAR(34)&amp;"landlo"&amp;CHAR(34)&amp;",","")</f>
        <v/>
      </c>
      <c r="FW4" s="48" t="str">
        <f>IF(CA4="y",CHAR(34)&amp;"eunion"&amp;CHAR(34)&amp;",","")</f>
        <v/>
      </c>
      <c r="FY4" s="48" t="str">
        <f>IFERROR(IF(SEARCH("Arabic",CB4)&gt;0,CHAR(34)&amp;"arabic"&amp;CHAR(34)&amp;",",""),"")</f>
        <v/>
      </c>
      <c r="FZ4" s="48" t="str">
        <f>IFERROR(IF(SEARCH("English",CB4)&gt;0,CHAR(34)&amp;"englis"&amp;CHAR(34)&amp;",",""),"")</f>
        <v/>
      </c>
      <c r="GA4" s="48" t="str">
        <f>IFERROR(IF(SEARCH("French",CB4)&gt;0,CHAR(34)&amp;"french"&amp;CHAR(34)&amp;",",""),"")</f>
        <v/>
      </c>
      <c r="GB4" s="48" t="str">
        <f>IFERROR(IF(SEARCH("Spanish",CB4)&gt;0,CHAR(34)&amp;"spanis"&amp;CHAR(34)&amp;",",""),"")</f>
        <v/>
      </c>
      <c r="GE4" s="48" t="str">
        <f>IFERROR(IF(SEARCH("Dutch",CB4)&gt;0,CHAR(34)&amp;"dutchs"&amp;CHAR(34)&amp;",",""),"")</f>
        <v/>
      </c>
      <c r="GF4" s="48" t="str">
        <f>IFERROR(IF(SEARCH("Historical",AU4)&gt;0,CHAR(34)&amp;"histor"&amp;CHAR(34)&amp;",",""),"")</f>
        <v>"histor",</v>
      </c>
      <c r="GG4" s="48" t="str">
        <f>IF(BU4="y",CHAR(34)&amp;"unjack"&amp;CHAR(34)&amp;",","")</f>
        <v>"unjack",</v>
      </c>
      <c r="GH4" s="48" t="str">
        <f>IF(CD4=1,CHAR(34)&amp;"southc"&amp;CHAR(34)&amp;",","")</f>
        <v/>
      </c>
      <c r="GI4" s="48" t="str">
        <f>IF(CE4=1,CHAR(34)&amp;"hasmap"&amp;CHAR(34)&amp;",","")</f>
        <v/>
      </c>
      <c r="GJ4" s="48" t="str">
        <f>IF(CP4="y",CHAR(34)&amp;CP$1&amp;CHAR(34)&amp;",","")</f>
        <v>"NoStar",</v>
      </c>
      <c r="GK4" s="48" t="str">
        <f>IF(GJ4="",CHAR(34)&amp;"HasSta"&amp;CHAR(34)&amp;",","")</f>
        <v/>
      </c>
      <c r="GL4" s="48" t="str">
        <f>IF(CQ4="y",CHAR(34)&amp;CQ$1&amp;CHAR(34)&amp;",","")</f>
        <v/>
      </c>
      <c r="GM4" s="48" t="str">
        <f>IF(CR4="y",CHAR(34)&amp;CR$1&amp;CHAR(34)&amp;",","")</f>
        <v/>
      </c>
      <c r="GN4" s="48" t="str">
        <f>IF(CS4="y",CHAR(34)&amp;CS$1&amp;CHAR(34)&amp;",","")</f>
        <v/>
      </c>
      <c r="GP4" s="48" t="str">
        <f>CHAR(34)&amp;AU4&amp;CHAR(34)</f>
        <v>"Historical"</v>
      </c>
      <c r="GS4" s="48" t="str">
        <f>SUBSTITUTE("["&amp;_xlfn.CONCAT(CW4:GN4)&amp;"]",",]","]")</f>
        <v>["5+Colo","words2","words3","lets42","startS","with_y","year19","NoBand","Crosse","Circle","Plants","Texted","Weapon","Canton","Geogrh","Humans","Ships!","myrBLU","histor","unjack","NoStar"]</v>
      </c>
      <c r="GT4" s="48" t="str">
        <f>IF(BL4&lt;&gt;"",CHAR(34)&amp;"cl_"&amp;BL4&amp;CHAR(34)&amp;",","")</f>
        <v>"cl_BLU",</v>
      </c>
      <c r="GU4" s="48" t="str">
        <f>IF(BM4&lt;&gt;"",CHAR(34)&amp;"cl_"&amp;BM4&amp;CHAR(34)&amp;",","")</f>
        <v>"cl_RED",</v>
      </c>
      <c r="GV4" s="48" t="str">
        <f>IF(BN4&lt;&gt;"",CHAR(34)&amp;"cl_"&amp;BN4&amp;CHAR(34)&amp;",","")</f>
        <v>"cl_WHI",</v>
      </c>
      <c r="GW4" s="48" t="str">
        <f>IF(BO4&lt;&gt;"",CHAR(34)&amp;"cl_"&amp;BO4&amp;CHAR(34)&amp;",","")</f>
        <v>"cl_BRO",</v>
      </c>
      <c r="GX4" s="48" t="str">
        <f>IF(BP4&lt;&gt;"",CHAR(34)&amp;"cl_"&amp;BP4&amp;CHAR(34)&amp;",","")</f>
        <v>"cl_GRE",</v>
      </c>
      <c r="GY4" s="48" t="str">
        <f>IF(BQ4&lt;&gt;"",CHAR(34)&amp;"cl_"&amp;BQ4&amp;CHAR(34)&amp;",","")</f>
        <v>"cl_YEL",</v>
      </c>
      <c r="GZ4" s="48" t="str">
        <f>IF(BR4&lt;&gt;"",CHAR(34)&amp;"cl_"&amp;BR4&amp;CHAR(34)&amp;",","")</f>
        <v>"cl_ORA",</v>
      </c>
      <c r="HA4" s="48" t="str">
        <f>IF(BS4&lt;&gt;"",CHAR(34)&amp;"cl_"&amp;BS4&amp;CHAR(34)&amp;",","")</f>
        <v>"cl_BLA",</v>
      </c>
      <c r="HB4" s="48" t="str">
        <f>IF(BT4&lt;&gt;"",CHAR(34)&amp;"cl_"&amp;BT4&amp;CHAR(34)&amp;",","")</f>
        <v/>
      </c>
      <c r="HC4" s="48" t="str">
        <f>SUBSTITUTE("["&amp;_xlfn.CONCAT(GT4:HB4)&amp;"]",",]","]")</f>
        <v>["cl_BLU","cl_RED","cl_WHI","cl_BRO","cl_GRE","cl_YEL","cl_ORA","cl_BLA"]</v>
      </c>
      <c r="HE4" s="71"/>
      <c r="HF4" s="72" t="str">
        <f>"{couname:"&amp;CT4&amp;(IF(HK4&lt;&gt;"",",subtype:"&amp;CHAR(34)&amp;HK4&amp;CHAR(34),""))&amp;",year:"&amp;HJ4&amp;",region:"&amp;CU4&amp;",Colors:"&amp;HC4&amp;",Items:"&amp;GS4&amp;",Flag:"&amp;CV4&amp;",HDFlag:"&amp;CHAR(34)&amp;E4&amp;CHAR(34)&amp;",type:"&amp;GP4&amp;", describe: "&amp;HH4&amp;", isnew:"&amp;CHAR(34)&amp;F4&amp;CHAR(34)&amp;", links: "&amp;HL4&amp;"},"</f>
        <v>{couname:"[SLE] Sierra Leone Colony and Protectorate (1916-1961)",year:"1916",region:"rgn_Africa",Colors:["cl_BLU","cl_RED","cl_WHI","cl_BRO","cl_GRE","cl_YEL","cl_ORA","cl_BLA"],Items:["5+Colo","words2","words3","lets42","startS","with_y","year19","NoBand","Crosse","Circle","Plants","Texted","Weapon","Canton","Geogrh","Humans","Ships!","myrBLU","histor","unjack","NoStar"],Flag:"https://upload.wikimedia.org/wikipedia/commons/thumb/f/f9/Flag_of_Sierra_Leone_%281916%E2%80%931961%29.svg/640px-Flag_of_Sierra_Leone_%281916%E2%80%931961%29.svg.png",HDFlag:"https://upload.wikimedia.org/wikipedia/commons/thumb/f/f9/Flag_of_Sierra_Leone_%281916%E2%80%931961%29.svg/2560px-Flag_of_Sierra_Leone_%281916%E2%80%931961%29.svg.png",type:"Historical", describe: "\nThe motto of the colony and protectorate was Auspice Britannia liber (Latin for 'Free under the protection of Britain'). ", isnew:".", links: "https://en.wikipedia.org/wiki/Sierra_Leone_Colony_and_Protectorate"},</v>
      </c>
      <c r="HG4" s="73" t="str">
        <f>"{couname:"&amp;CT4&amp;(IF(HK4&lt;&gt;"",",subtype:"&amp;CHAR(34)&amp;HK4&amp;CHAR(34),""))&amp;",year:"&amp;HJ4&amp;",region:"&amp;CU4&amp;",Colors:"&amp;HC4&amp;",Items:"&amp;GS4&amp;",Flag:"&amp;CV4&amp;",HDFlag:"&amp;CHAR(34)&amp;E4&amp;CHAR(34)&amp;",type:"&amp;GP4&amp;", describe: "&amp;HI4&amp;", links: "&amp;HL4&amp;"},"</f>
        <v>{couname:"[SLE] Sierra Leone Colony and Protectorate (1916-1961)",year:"1916",region:"rgn_Africa",Colors:["cl_BLU","cl_RED","cl_WHI","cl_BRO","cl_GRE","cl_YEL","cl_ORA","cl_BLA"],Items:["5+Colo","words2","words3","lets42","startS","with_y","year19","NoBand","Crosse","Circle","Plants","Texted","Weapon","Canton","Geogrh","Humans","Ships!","myrBLU","histor","unjack","NoStar"],Flag:"https://upload.wikimedia.org/wikipedia/commons/thumb/f/f9/Flag_of_Sierra_Leone_%281916%E2%80%931961%29.svg/640px-Flag_of_Sierra_Leone_%281916%E2%80%931961%29.svg.png",HDFlag:"https://upload.wikimedia.org/wikipedia/commons/thumb/f/f9/Flag_of_Sierra_Leone_%281916%E2%80%931961%29.svg/2560px-Flag_of_Sierra_Leone_%281916%E2%80%931961%29.svg.png",type:"Historical", describe: "\nThe motto of the colony and protectorate was Auspice Britannia liber (Latin for 'Free under the protection of Britain'). ", links: "https://en.wikipedia.org/wiki/Sierra_Leone_Colony_and_Protectorate"},</v>
      </c>
      <c r="HH4" s="48" t="str">
        <f>IF(P4&lt;&gt;"",CHAR(34)&amp;"\n"&amp;P4&amp;CHAR(34),CHAR(34)&amp;CHAR(34))</f>
        <v>"\nThe motto of the colony and protectorate was Auspice Britannia liber (Latin for 'Free under the protection of Britain'). "</v>
      </c>
      <c r="HI4" s="48" t="str">
        <f>IF(J4=0,CHAR(34)&amp;CHAR(34),HH4)</f>
        <v>"\nThe motto of the colony and protectorate was Auspice Britannia liber (Latin for 'Free under the protection of Britain'). "</v>
      </c>
      <c r="HJ4" s="48" t="str">
        <f>CHAR(34)&amp;O4&amp;CHAR(34)</f>
        <v>"1916"</v>
      </c>
      <c r="HL4" s="48" t="str">
        <f>CHAR(34)&amp;I4&amp;CHAR(34)</f>
        <v>"https://en.wikipedia.org/wiki/Sierra_Leone_Colony_and_Protectorate"</v>
      </c>
      <c r="HM4" s="72"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"&amp;HH4&amp;", "&amp;CHAR(34)&amp;"isnew"&amp;CHAR(34)&amp;": "&amp;CHAR(34)&amp;F4&amp;CHAR(34)&amp;", "&amp;CHAR(34)&amp;"links"&amp;CHAR(34)&amp;": "&amp;HL4&amp;"},"</f>
        <v>{"couname":"[SLE] Sierra Leone Colony and Protectorate (1916-1961)","subtype":"[SLE] Other","year":"1916","region":"rgn_Africa","Colors":["cl_BLU","cl_RED","cl_WHI","cl_BRO","cl_GRE","cl_YEL","cl_ORA","cl_BLA"],"Items":["5+Colo","words2","words3","lets42","startS","with_y","year19","NoBand","Crosse","Circle","Plants","Texted","Weapon","Canton","Geogrh","Humans","Ships!","myrBLU","histor","unjack","NoStar"],"Flag":"https://upload.wikimedia.org/wikipedia/commons/thumb/f/f9/Flag_of_Sierra_Leone_%281916%E2%80%931961%29.svg/640px-Flag_of_Sierra_Leone_%281916%E2%80%931961%29.svg.png","HDFlag":"https://upload.wikimedia.org/wikipedia/commons/thumb/f/f9/Flag_of_Sierra_Leone_%281916%E2%80%931961%29.svg/2560px-Flag_of_Sierra_Leone_%281916%E2%80%931961%29.svg.png","type":"Historical", "describe": "\nThe motto of the colony and protectorate was Auspice Britannia liber (Latin for 'Free under the protection of Britain'). ", "isnew": ".", "links": "https://en.wikipedia.org/wiki/Sierra_Leone_Colony_and_Protectorate"},</v>
      </c>
      <c r="HN4" s="74"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"&amp;HI4&amp;", "&amp;CHAR(34)&amp;"isnew"&amp;CHAR(34)&amp;": "&amp;CHAR(34)&amp;F4&amp;CHAR(34)&amp;", "&amp;CHAR(34)&amp;"links"&amp;CHAR(34)&amp;": "&amp;HL4&amp;"},"</f>
        <v>{"couname":"[SLE] Sierra Leone Colony and Protectorate (1916-1961)","subtype":"[SLE] Other","year":"1916","region":"rgn_Africa","Colors":["cl_BLU","cl_RED","cl_WHI","cl_BRO","cl_GRE","cl_YEL","cl_ORA","cl_BLA"],"Items":["5+Colo","words2","words3","lets42","startS","with_y","year19","NoBand","Crosse","Circle","Plants","Texted","Weapon","Canton","Geogrh","Humans","Ships!","myrBLU","histor","unjack","NoStar"],"Flag":"https://upload.wikimedia.org/wikipedia/commons/thumb/f/f9/Flag_of_Sierra_Leone_%281916%E2%80%931961%29.svg/640px-Flag_of_Sierra_Leone_%281916%E2%80%931961%29.svg.png","HDFlag":"https://upload.wikimedia.org/wikipedia/commons/thumb/f/f9/Flag_of_Sierra_Leone_%281916%E2%80%931961%29.svg/2560px-Flag_of_Sierra_Leone_%281916%E2%80%931961%29.svg.png","type":"Historical", "describe": "\nThe motto of the colony and protectorate was Auspice Britannia liber (Latin for 'Free under the protection of Britain'). ", "isnew": ".", "links": "https://en.wikipedia.org/wiki/Sierra_Leone_Colony_and_Protectorate"},</v>
      </c>
      <c r="HO4" s="75">
        <v>45596</v>
      </c>
      <c r="HP4" s="48" t="str" cm="1">
        <f t="array" ref="HP4">IF(_xlfn.TEXTJOIN(", ", TRUE, IF(ISNUMBER(SEARCH("BLA", BL4:BT4)), COLUMN(BL4:BT4) - COLUMN(BL4) + 1, ""))&lt;&gt;"","BLA","")</f>
        <v>BLA</v>
      </c>
      <c r="HQ4" s="48" t="str" cm="1">
        <f t="array" ref="HQ4">IF(_xlfn.TEXTJOIN(", ", TRUE, IF(ISNUMBER(SEARCH("BLU", BL4:BT4)), COLUMN(BL4:BT4) - COLUMN(BL4) + 1, ""))&lt;&gt;"","BLU","")</f>
        <v>BLU</v>
      </c>
      <c r="HR4" s="48" t="str" cm="1">
        <f t="array" ref="HR4">IF(_xlfn.TEXTJOIN(", ", TRUE, IF(ISNUMBER(SEARCH("GRE", BL4:BT4)), COLUMN(BL4:BT4) - COLUMN(BL4) + 1, ""))&lt;&gt;"","GRE","")</f>
        <v>GRE</v>
      </c>
      <c r="HS4" s="48" t="str" cm="1">
        <f t="array" ref="HS4">IF(_xlfn.TEXTJOIN(", ", TRUE, IF(ISNUMBER(SEARCH("RED", BL4:BT4)), COLUMN(BL4:BT4) - COLUMN(BL4) + 1, ""))&lt;&gt;"","RED","")</f>
        <v>RED</v>
      </c>
      <c r="HT4" s="48" t="str" cm="1">
        <f t="array" ref="HT4">IF(_xlfn.TEXTJOIN(", ", TRUE, IF(ISNUMBER(SEARCH("YEL", BL4:BT4)), COLUMN(BL4:BT4) - COLUMN(BL4) + 1, ""))&lt;&gt;"","YEL","")</f>
        <v>YEL</v>
      </c>
      <c r="HU4" s="48" t="str" cm="1">
        <f t="array" ref="HU4">IF(_xlfn.TEXTJOIN(", ", TRUE, IF(ISNUMBER(SEARCH("ORA", BL4:BT4)), COLUMN(BL4:BT4) - COLUMN(BL4) + 1, ""))&lt;&gt;"","ORA","")</f>
        <v>ORA</v>
      </c>
      <c r="HV4" s="48" t="str" cm="1">
        <f t="array" ref="HV4">IF(_xlfn.TEXTJOIN(", ", TRUE, IF(ISNUMBER(SEARCH("BRO", BL4:BT4)), COLUMN(BL4:BT4) - COLUMN(BL4) + 1, ""))&lt;&gt;"","BRO","")</f>
        <v>BRO</v>
      </c>
      <c r="HW4" s="48" t="str" cm="1">
        <f t="array" ref="HW4">IF(_xlfn.TEXTJOIN(", ", TRUE, IF(ISNUMBER(SEARCH("PUR", BL4:BT4)), COLUMN(BL4:BT4) - COLUMN(BL4) + 1, ""))&lt;&gt;"","PUR","")</f>
        <v/>
      </c>
      <c r="HX4" s="48" t="str" cm="1">
        <f t="array" ref="HX4">IF(_xlfn.TEXTJOIN(", ", TRUE, IF(ISNUMBER(SEARCH("WHI", BL4:BT4)), COLUMN(BL4:BT4) - COLUMN(BL4) + 1, ""))&lt;&gt;"","WHI","")</f>
        <v>WHI</v>
      </c>
      <c r="HY4" s="76"/>
      <c r="HZ4" s="76"/>
      <c r="IA4" s="6"/>
      <c r="IB4" s="6"/>
      <c r="IC4" s="77"/>
      <c r="ID4" s="77"/>
      <c r="IE4" s="77"/>
      <c r="IF4" s="77"/>
      <c r="IG4" s="77"/>
      <c r="IH4" s="77"/>
      <c r="II4" s="77"/>
      <c r="IJ4" s="77"/>
      <c r="IK4" s="77"/>
      <c r="IM4" s="45">
        <f>COUNTIF(IC4:IK4,"&gt;0")-CG4</f>
        <v>-8</v>
      </c>
      <c r="IN4" s="78" t="str">
        <f>"http://mkweb.bcgsc.ca/color-summarizer/?url="&amp;D4&amp;"&amp;precision=low&amp;num_clusters="&amp;CG4&amp;"&amp;text=1"</f>
        <v>http://mkweb.bcgsc.ca/color-summarizer/?url=https://upload.wikimedia.org/wikipedia/commons/thumb/f/f9/Flag_of_Sierra_Leone_%281916%E2%80%931961%29.svg/640px-Flag_of_Sierra_Leone_%281916%E2%80%931961%29.svg.png&amp;precision=low&amp;num_clusters=8&amp;text=1</v>
      </c>
      <c r="IO4" s="48" t="str">
        <f>IF(HP4&lt;&gt;"",CHAR(34)&amp;"black"&amp;CHAR(34),"")</f>
        <v>"black"</v>
      </c>
      <c r="IP4" s="48" t="str">
        <f>IF(HQ4&lt;&gt;"",CHAR(34)&amp;"blue"&amp;CHAR(34),"")</f>
        <v>"blue"</v>
      </c>
      <c r="IQ4" s="48" t="str">
        <f>IF(HR4&lt;&gt;"",CHAR(34)&amp;"green"&amp;CHAR(34),"")</f>
        <v>"green"</v>
      </c>
      <c r="IR4" s="48" t="str">
        <f>IF(HS4&lt;&gt;"",CHAR(34)&amp;"red"&amp;CHAR(34),"")</f>
        <v>"red"</v>
      </c>
      <c r="IS4" s="48" t="str">
        <f>IF(HT4&lt;&gt;"",CHAR(34)&amp;"yellow"&amp;CHAR(34),"")</f>
        <v>"yellow"</v>
      </c>
      <c r="IT4" s="48" t="str">
        <f>IF(HU4&lt;&gt;"",CHAR(34)&amp;"orange"&amp;CHAR(34),"")</f>
        <v>"orange"</v>
      </c>
      <c r="IU4" s="48" t="str">
        <f>IF(HV4&lt;&gt;"",CHAR(34)&amp;"brown"&amp;CHAR(34),"")</f>
        <v>"brown"</v>
      </c>
      <c r="IV4" s="48" t="str">
        <f>IF(HW4&lt;&gt;"",CHAR(34)&amp;"purple"&amp;CHAR(34),"")</f>
        <v/>
      </c>
      <c r="IW4" s="48" t="str">
        <f>IF(HX4&lt;&gt;"",CHAR(34)&amp;"white"&amp;CHAR(34),"")</f>
        <v>"white"</v>
      </c>
      <c r="IX4" s="48" t="str">
        <f>"{"&amp;CHAR(34)&amp;"url"&amp;CHAR(34)&amp;":"&amp;CHAR(34)&amp;IN4&amp;CHAR(34)&amp;","&amp;CHAR(34)&amp;"name"&amp;CHAR(34)&amp;":"&amp;CHAR(34)&amp;A4&amp;CHAR(34)&amp;"},"</f>
        <v>{"url":"http://mkweb.bcgsc.ca/color-summarizer/?url=https://upload.wikimedia.org/wikipedia/commons/thumb/f/f9/Flag_of_Sierra_Leone_%281916%E2%80%931961%29.svg/640px-Flag_of_Sierra_Leone_%281916%E2%80%931961%29.svg.png&amp;precision=low&amp;num_clusters=8&amp;text=1","name":"[SLE] Sierra Leone Colony and Protectorate (1916-1961)"},</v>
      </c>
      <c r="IY4" s="48">
        <v>1412</v>
      </c>
    </row>
    <row r="5" spans="1:259" ht="38.4" customHeight="1" x14ac:dyDescent="0.3">
      <c r="F5" s="82"/>
      <c r="G5" s="82"/>
      <c r="H5" s="82"/>
      <c r="I5" s="82"/>
      <c r="J5" s="82"/>
      <c r="K5" s="82"/>
    </row>
    <row r="6" spans="1:259" ht="38.4" customHeight="1" x14ac:dyDescent="0.3">
      <c r="F6" s="82"/>
      <c r="G6" s="82"/>
      <c r="H6" s="82"/>
      <c r="I6" s="82"/>
      <c r="J6" s="82"/>
      <c r="K6" s="82"/>
    </row>
  </sheetData>
  <autoFilter ref="A1:IY1" xr:uid="{A1051193-A95B-4CFB-A73C-F0184620C81F}">
    <sortState xmlns:xlrd2="http://schemas.microsoft.com/office/spreadsheetml/2017/richdata2" ref="A2:IY5">
      <sortCondition ref="AW1"/>
    </sortState>
  </autoFilter>
  <conditionalFormatting sqref="H1 CW1:GS1 IA1:IB1">
    <cfRule type="cellIs" dxfId="1514" priority="118" operator="greaterThan">
      <formula>0</formula>
    </cfRule>
  </conditionalFormatting>
  <conditionalFormatting sqref="H1 H7:H1048576">
    <cfRule type="cellIs" dxfId="1513" priority="84" stopIfTrue="1" operator="notEqual">
      <formula>""</formula>
    </cfRule>
  </conditionalFormatting>
  <conditionalFormatting sqref="T1:BK1">
    <cfRule type="cellIs" dxfId="1512" priority="121" operator="greaterThan">
      <formula>0</formula>
    </cfRule>
  </conditionalFormatting>
  <conditionalFormatting sqref="BV1:BW1 BV5:BW1048576">
    <cfRule type="cellIs" dxfId="1511" priority="120" operator="equal">
      <formula>"nc"</formula>
    </cfRule>
  </conditionalFormatting>
  <conditionalFormatting sqref="HF1:HG1">
    <cfRule type="cellIs" dxfId="1510" priority="122" operator="greaterThan">
      <formula>0</formula>
    </cfRule>
  </conditionalFormatting>
  <conditionalFormatting sqref="HK1">
    <cfRule type="cellIs" dxfId="1509" priority="119" operator="greaterThan">
      <formula>0</formula>
    </cfRule>
  </conditionalFormatting>
  <conditionalFormatting sqref="HP1:HX1">
    <cfRule type="cellIs" dxfId="1508" priority="96" operator="equal">
      <formula>"PIN"</formula>
    </cfRule>
    <cfRule type="cellIs" dxfId="1507" priority="97" operator="equal">
      <formula>"ORA"</formula>
    </cfRule>
    <cfRule type="cellIs" dxfId="1506" priority="98" operator="equal">
      <formula>"GRA"</formula>
    </cfRule>
    <cfRule type="cellIs" dxfId="1505" priority="99" operator="equal">
      <formula>"PUR"</formula>
    </cfRule>
    <cfRule type="cellIs" dxfId="1504" priority="100" operator="equal">
      <formula>"BRO"</formula>
    </cfRule>
    <cfRule type="cellIs" dxfId="1503" priority="101" operator="equal">
      <formula>"YEL"</formula>
    </cfRule>
    <cfRule type="cellIs" dxfId="1502" priority="102" operator="equal">
      <formula>"BLU"</formula>
    </cfRule>
    <cfRule type="cellIs" dxfId="1501" priority="103" operator="equal">
      <formula>"WHI"</formula>
    </cfRule>
    <cfRule type="cellIs" dxfId="1500" priority="104" operator="equal">
      <formula>"GRE"</formula>
    </cfRule>
    <cfRule type="cellIs" dxfId="1499" priority="105" operator="equal">
      <formula>"RED"</formula>
    </cfRule>
    <cfRule type="cellIs" dxfId="1498" priority="106" operator="equal">
      <formula>"BLA"</formula>
    </cfRule>
  </conditionalFormatting>
  <conditionalFormatting sqref="IC1:IK1">
    <cfRule type="cellIs" dxfId="1497" priority="107" operator="equal">
      <formula>"PIN"</formula>
    </cfRule>
    <cfRule type="cellIs" dxfId="1496" priority="108" operator="equal">
      <formula>"ORA"</formula>
    </cfRule>
    <cfRule type="cellIs" dxfId="1495" priority="109" operator="equal">
      <formula>"GRA"</formula>
    </cfRule>
    <cfRule type="cellIs" dxfId="1494" priority="110" operator="equal">
      <formula>"PUR"</formula>
    </cfRule>
    <cfRule type="cellIs" dxfId="1493" priority="111" operator="equal">
      <formula>"BRO"</formula>
    </cfRule>
    <cfRule type="cellIs" dxfId="1492" priority="112" operator="equal">
      <formula>"YEL"</formula>
    </cfRule>
    <cfRule type="cellIs" dxfId="1491" priority="113" operator="equal">
      <formula>"BLU"</formula>
    </cfRule>
    <cfRule type="cellIs" dxfId="1490" priority="114" operator="equal">
      <formula>"WHI"</formula>
    </cfRule>
    <cfRule type="cellIs" dxfId="1489" priority="115" operator="equal">
      <formula>"GRE"</formula>
    </cfRule>
    <cfRule type="cellIs" dxfId="1488" priority="116" operator="equal">
      <formula>"RED"</formula>
    </cfRule>
    <cfRule type="cellIs" dxfId="1487" priority="117" operator="equal">
      <formula>"BLA"</formula>
    </cfRule>
  </conditionalFormatting>
  <conditionalFormatting sqref="IO1:IW1">
    <cfRule type="cellIs" dxfId="1486" priority="85" operator="equal">
      <formula>"PIN"</formula>
    </cfRule>
    <cfRule type="cellIs" dxfId="1485" priority="86" operator="equal">
      <formula>"ORA"</formula>
    </cfRule>
    <cfRule type="cellIs" dxfId="1484" priority="87" operator="equal">
      <formula>"GRA"</formula>
    </cfRule>
    <cfRule type="cellIs" dxfId="1483" priority="88" operator="equal">
      <formula>"PUR"</formula>
    </cfRule>
    <cfRule type="cellIs" dxfId="1482" priority="89" operator="equal">
      <formula>"BRO"</formula>
    </cfRule>
    <cfRule type="cellIs" dxfId="1481" priority="90" operator="equal">
      <formula>"YEL"</formula>
    </cfRule>
    <cfRule type="cellIs" dxfId="1480" priority="91" operator="equal">
      <formula>"BLU"</formula>
    </cfRule>
    <cfRule type="cellIs" dxfId="1479" priority="92" operator="equal">
      <formula>"WHI"</formula>
    </cfRule>
    <cfRule type="cellIs" dxfId="1478" priority="93" operator="equal">
      <formula>"GRE"</formula>
    </cfRule>
    <cfRule type="cellIs" dxfId="1477" priority="94" operator="equal">
      <formula>"RED"</formula>
    </cfRule>
    <cfRule type="cellIs" dxfId="1476" priority="95" operator="equal">
      <formula>"BLA"</formula>
    </cfRule>
  </conditionalFormatting>
  <conditionalFormatting sqref="H3:H4">
    <cfRule type="cellIs" dxfId="1475" priority="76" stopIfTrue="1" operator="notEqual">
      <formula>""</formula>
    </cfRule>
  </conditionalFormatting>
  <conditionalFormatting sqref="R3:R4 CU3:CU4">
    <cfRule type="cellIs" dxfId="1474" priority="79" operator="greaterThan">
      <formula>0</formula>
    </cfRule>
  </conditionalFormatting>
  <conditionalFormatting sqref="T3:AS4 CH3:CS4">
    <cfRule type="cellIs" dxfId="1473" priority="73" stopIfTrue="1" operator="equal">
      <formula>"n"</formula>
    </cfRule>
    <cfRule type="cellIs" dxfId="1472" priority="74" stopIfTrue="1" operator="equal">
      <formula>"y"</formula>
    </cfRule>
    <cfRule type="cellIs" dxfId="1471" priority="75" operator="greaterThan">
      <formula>0</formula>
    </cfRule>
  </conditionalFormatting>
  <conditionalFormatting sqref="AZ3:BB4">
    <cfRule type="expression" dxfId="1470" priority="60">
      <formula>$AT3=0</formula>
    </cfRule>
  </conditionalFormatting>
  <conditionalFormatting sqref="CD3:CF4 BX3:CA4 AZ3:BU4">
    <cfRule type="cellIs" dxfId="1469" priority="61" operator="equal">
      <formula>"PIN"</formula>
    </cfRule>
    <cfRule type="cellIs" dxfId="1468" priority="62" operator="equal">
      <formula>"ORA"</formula>
    </cfRule>
    <cfRule type="cellIs" dxfId="1467" priority="63" operator="equal">
      <formula>"GRA"</formula>
    </cfRule>
    <cfRule type="cellIs" dxfId="1466" priority="64" operator="equal">
      <formula>"PUR"</formula>
    </cfRule>
    <cfRule type="cellIs" dxfId="1465" priority="65" operator="equal">
      <formula>"BRO"</formula>
    </cfRule>
    <cfRule type="cellIs" dxfId="1464" priority="66" operator="equal">
      <formula>"YEL"</formula>
    </cfRule>
    <cfRule type="cellIs" dxfId="1463" priority="67" operator="equal">
      <formula>"BLU"</formula>
    </cfRule>
    <cfRule type="cellIs" dxfId="1462" priority="68" operator="equal">
      <formula>"WHI"</formula>
    </cfRule>
    <cfRule type="cellIs" dxfId="1461" priority="69" operator="equal">
      <formula>"GRE"</formula>
    </cfRule>
    <cfRule type="cellIs" dxfId="1460" priority="70" operator="equal">
      <formula>"RED"</formula>
    </cfRule>
    <cfRule type="cellIs" dxfId="1459" priority="71" operator="equal">
      <formula>"BLA"</formula>
    </cfRule>
  </conditionalFormatting>
  <conditionalFormatting sqref="BV3:BV4">
    <cfRule type="cellIs" dxfId="1458" priority="78" operator="equal">
      <formula>"nc"</formula>
    </cfRule>
  </conditionalFormatting>
  <conditionalFormatting sqref="CD3:CF4 BX3:CA4">
    <cfRule type="cellIs" dxfId="1457" priority="77" operator="equal">
      <formula>"y"</formula>
    </cfRule>
  </conditionalFormatting>
  <conditionalFormatting sqref="CD3:CF4 BZ3:CA4">
    <cfRule type="cellIs" dxfId="1456" priority="72" operator="greaterThan">
      <formula>0</formula>
    </cfRule>
  </conditionalFormatting>
  <conditionalFormatting sqref="IC3:IK4">
    <cfRule type="expression" dxfId="1455" priority="59">
      <formula>$IL3&gt;0</formula>
    </cfRule>
  </conditionalFormatting>
  <conditionalFormatting sqref="IC3:IC4">
    <cfRule type="cellIs" dxfId="1454" priority="53" stopIfTrue="1" operator="greaterThan">
      <formula>0</formula>
    </cfRule>
  </conditionalFormatting>
  <conditionalFormatting sqref="ID3:ID4">
    <cfRule type="cellIs" dxfId="1453" priority="51" stopIfTrue="1" operator="greaterThan">
      <formula>0</formula>
    </cfRule>
  </conditionalFormatting>
  <conditionalFormatting sqref="II3:II4 IE3:IF4">
    <cfRule type="cellIs" dxfId="1452" priority="58" operator="greaterThan">
      <formula>0</formula>
    </cfRule>
  </conditionalFormatting>
  <conditionalFormatting sqref="II3:II4 IF3:IF4">
    <cfRule type="cellIs" dxfId="1451" priority="52" stopIfTrue="1" operator="greaterThan">
      <formula>0</formula>
    </cfRule>
  </conditionalFormatting>
  <conditionalFormatting sqref="IG3:IG4">
    <cfRule type="cellIs" dxfId="1450" priority="57" operator="greaterThan">
      <formula>0</formula>
    </cfRule>
  </conditionalFormatting>
  <conditionalFormatting sqref="IH3:II4">
    <cfRule type="cellIs" dxfId="1449" priority="56" operator="greaterThan">
      <formula>0</formula>
    </cfRule>
  </conditionalFormatting>
  <conditionalFormatting sqref="IJ3:IJ4">
    <cfRule type="cellIs" dxfId="1448" priority="55" operator="greaterThan">
      <formula>0</formula>
    </cfRule>
  </conditionalFormatting>
  <conditionalFormatting sqref="IK3:IK4">
    <cfRule type="cellIs" dxfId="1447" priority="54" operator="greaterThan">
      <formula>0</formula>
    </cfRule>
  </conditionalFormatting>
  <conditionalFormatting sqref="IF3:IF4">
    <cfRule type="cellIs" dxfId="1446" priority="50" stopIfTrue="1" operator="greaterThan">
      <formula>0</formula>
    </cfRule>
  </conditionalFormatting>
  <conditionalFormatting sqref="IM3:IM4">
    <cfRule type="cellIs" dxfId="1445" priority="49" operator="equal">
      <formula>0</formula>
    </cfRule>
  </conditionalFormatting>
  <conditionalFormatting sqref="BX3:CA4 CD3:CF4">
    <cfRule type="cellIs" dxfId="1444" priority="37" operator="equal">
      <formula>"y"</formula>
    </cfRule>
    <cfRule type="cellIs" dxfId="1443" priority="38" operator="equal">
      <formula>"PIN"</formula>
    </cfRule>
    <cfRule type="cellIs" dxfId="1442" priority="39" operator="equal">
      <formula>"ORA"</formula>
    </cfRule>
    <cfRule type="cellIs" dxfId="1441" priority="40" operator="equal">
      <formula>"GRA"</formula>
    </cfRule>
    <cfRule type="cellIs" dxfId="1440" priority="41" operator="equal">
      <formula>"PUR"</formula>
    </cfRule>
    <cfRule type="cellIs" dxfId="1439" priority="42" operator="equal">
      <formula>"BRO"</formula>
    </cfRule>
    <cfRule type="cellIs" dxfId="1438" priority="43" operator="equal">
      <formula>"YEL"</formula>
    </cfRule>
    <cfRule type="cellIs" dxfId="1437" priority="44" operator="equal">
      <formula>"BLU"</formula>
    </cfRule>
    <cfRule type="cellIs" dxfId="1436" priority="45" operator="equal">
      <formula>"WHI"</formula>
    </cfRule>
    <cfRule type="cellIs" dxfId="1435" priority="46" operator="equal">
      <formula>"GRE"</formula>
    </cfRule>
    <cfRule type="cellIs" dxfId="1434" priority="47" operator="equal">
      <formula>"RED"</formula>
    </cfRule>
    <cfRule type="cellIs" dxfId="1433" priority="48" operator="equal">
      <formula>"BLA"</formula>
    </cfRule>
  </conditionalFormatting>
  <conditionalFormatting sqref="AT3:AT4">
    <cfRule type="colorScale" priority="80">
      <colorScale>
        <cfvo type="min"/>
        <cfvo type="max"/>
        <color rgb="FFFCFCFF"/>
        <color theme="8" tint="0.39997558519241921"/>
      </colorScale>
    </cfRule>
  </conditionalFormatting>
  <conditionalFormatting sqref="S3:S4">
    <cfRule type="colorScale" priority="81">
      <colorScale>
        <cfvo type="min"/>
        <cfvo type="max"/>
        <color rgb="FFFCFCFF"/>
        <color rgb="FF754BFB"/>
      </colorScale>
    </cfRule>
  </conditionalFormatting>
  <conditionalFormatting sqref="J3:J4">
    <cfRule type="colorScale" priority="82">
      <colorScale>
        <cfvo type="min"/>
        <cfvo type="percentile" val="50"/>
        <cfvo type="max"/>
        <color rgb="FFF8696B"/>
        <color rgb="FFFFEB84"/>
        <color rgb="FF63BE7B"/>
      </colorScale>
    </cfRule>
  </conditionalFormatting>
  <conditionalFormatting sqref="CG3:CG4">
    <cfRule type="colorScale" priority="83">
      <colorScale>
        <cfvo type="min"/>
        <cfvo type="max"/>
        <color rgb="FFFCFCFF"/>
        <color rgb="FF63BE7B"/>
      </colorScale>
    </cfRule>
  </conditionalFormatting>
  <conditionalFormatting sqref="H2">
    <cfRule type="cellIs" dxfId="1432" priority="30" stopIfTrue="1" operator="notEqual">
      <formula>""</formula>
    </cfRule>
  </conditionalFormatting>
  <conditionalFormatting sqref="R2 CU2">
    <cfRule type="cellIs" dxfId="1431" priority="32" operator="greaterThan">
      <formula>0</formula>
    </cfRule>
  </conditionalFormatting>
  <conditionalFormatting sqref="T2:AS2 CH2:CS2">
    <cfRule type="cellIs" dxfId="1430" priority="27" stopIfTrue="1" operator="equal">
      <formula>"n"</formula>
    </cfRule>
    <cfRule type="cellIs" dxfId="1429" priority="28" stopIfTrue="1" operator="equal">
      <formula>"y"</formula>
    </cfRule>
    <cfRule type="cellIs" dxfId="1428" priority="29" operator="greaterThan">
      <formula>0</formula>
    </cfRule>
  </conditionalFormatting>
  <conditionalFormatting sqref="AZ2:BB2">
    <cfRule type="expression" dxfId="1427" priority="14">
      <formula>$AT2=0</formula>
    </cfRule>
  </conditionalFormatting>
  <conditionalFormatting sqref="AZ2:BU2">
    <cfRule type="cellIs" dxfId="1426" priority="15" operator="equal">
      <formula>"PIN"</formula>
    </cfRule>
    <cfRule type="cellIs" dxfId="1425" priority="16" operator="equal">
      <formula>"ORA"</formula>
    </cfRule>
    <cfRule type="cellIs" dxfId="1424" priority="17" operator="equal">
      <formula>"GRA"</formula>
    </cfRule>
    <cfRule type="cellIs" dxfId="1423" priority="18" operator="equal">
      <formula>"PUR"</formula>
    </cfRule>
    <cfRule type="cellIs" dxfId="1422" priority="19" operator="equal">
      <formula>"BRO"</formula>
    </cfRule>
    <cfRule type="cellIs" dxfId="1421" priority="20" operator="equal">
      <formula>"YEL"</formula>
    </cfRule>
    <cfRule type="cellIs" dxfId="1420" priority="21" operator="equal">
      <formula>"BLU"</formula>
    </cfRule>
    <cfRule type="cellIs" dxfId="1419" priority="22" operator="equal">
      <formula>"WHI"</formula>
    </cfRule>
    <cfRule type="cellIs" dxfId="1418" priority="23" operator="equal">
      <formula>"GRE"</formula>
    </cfRule>
    <cfRule type="cellIs" dxfId="1417" priority="24" operator="equal">
      <formula>"RED"</formula>
    </cfRule>
    <cfRule type="cellIs" dxfId="1416" priority="25" operator="equal">
      <formula>"BLA"</formula>
    </cfRule>
  </conditionalFormatting>
  <conditionalFormatting sqref="BV2">
    <cfRule type="cellIs" dxfId="1415" priority="31" operator="equal">
      <formula>"nc"</formula>
    </cfRule>
  </conditionalFormatting>
  <conditionalFormatting sqref="CD2:CF2 BZ2:CA2">
    <cfRule type="cellIs" dxfId="1414" priority="26" operator="greaterThan">
      <formula>0</formula>
    </cfRule>
  </conditionalFormatting>
  <conditionalFormatting sqref="IC2:IK2">
    <cfRule type="expression" dxfId="1413" priority="13">
      <formula>$IL2&gt;0</formula>
    </cfRule>
  </conditionalFormatting>
  <conditionalFormatting sqref="BX2:CA2 CD2:CF2">
    <cfRule type="cellIs" dxfId="1412" priority="1" operator="equal">
      <formula>"y"</formula>
    </cfRule>
    <cfRule type="cellIs" dxfId="1411" priority="2" operator="equal">
      <formula>"PIN"</formula>
    </cfRule>
    <cfRule type="cellIs" dxfId="1410" priority="3" operator="equal">
      <formula>"ORA"</formula>
    </cfRule>
    <cfRule type="cellIs" dxfId="1409" priority="4" operator="equal">
      <formula>"GRA"</formula>
    </cfRule>
    <cfRule type="cellIs" dxfId="1408" priority="5" operator="equal">
      <formula>"PUR"</formula>
    </cfRule>
    <cfRule type="cellIs" dxfId="1407" priority="6" operator="equal">
      <formula>"BRO"</formula>
    </cfRule>
    <cfRule type="cellIs" dxfId="1406" priority="7" operator="equal">
      <formula>"YEL"</formula>
    </cfRule>
    <cfRule type="cellIs" dxfId="1405" priority="8" operator="equal">
      <formula>"BLU"</formula>
    </cfRule>
    <cfRule type="cellIs" dxfId="1404" priority="9" operator="equal">
      <formula>"WHI"</formula>
    </cfRule>
    <cfRule type="cellIs" dxfId="1403" priority="10" operator="equal">
      <formula>"GRE"</formula>
    </cfRule>
    <cfRule type="cellIs" dxfId="1402" priority="11" operator="equal">
      <formula>"RED"</formula>
    </cfRule>
    <cfRule type="cellIs" dxfId="1401" priority="12" operator="equal">
      <formula>"BLA"</formula>
    </cfRule>
  </conditionalFormatting>
  <conditionalFormatting sqref="J2">
    <cfRule type="colorScale" priority="33">
      <colorScale>
        <cfvo type="min"/>
        <cfvo type="percentile" val="50"/>
        <cfvo type="max"/>
        <color rgb="FFF8696B"/>
        <color rgb="FFFFEB84"/>
        <color rgb="FF63BE7B"/>
      </colorScale>
    </cfRule>
  </conditionalFormatting>
  <conditionalFormatting sqref="S2">
    <cfRule type="colorScale" priority="34">
      <colorScale>
        <cfvo type="min"/>
        <cfvo type="max"/>
        <color rgb="FFFCFCFF"/>
        <color rgb="FF754BFB"/>
      </colorScale>
    </cfRule>
  </conditionalFormatting>
  <conditionalFormatting sqref="AT2">
    <cfRule type="colorScale" priority="35">
      <colorScale>
        <cfvo type="min"/>
        <cfvo type="max"/>
        <color rgb="FFFCFCFF"/>
        <color theme="8" tint="0.39997558519241921"/>
      </colorScale>
    </cfRule>
  </conditionalFormatting>
  <conditionalFormatting sqref="CG2">
    <cfRule type="colorScale" priority="36">
      <colorScale>
        <cfvo type="min"/>
        <cfvo type="max"/>
        <color rgb="FFFCFCFF"/>
        <color rgb="FF63BE7B"/>
      </colorScale>
    </cfRule>
  </conditionalFormatting>
  <hyperlinks>
    <hyperlink ref="A2" r:id="rId1" display="https://fbref.com/en/country/SLE/Sierra-Leone-Football" xr:uid="{1617A001-471F-4F1F-9B14-ED4B3B4EDF3A}"/>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6625" r:id="rId5"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26626" r:id="rId6"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26627" r:id="rId7"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5E793-4DE2-4879-BC25-E9BA73D7659E}">
  <sheetPr codeName="Sheet70"/>
  <dimension ref="A1:IY10"/>
  <sheetViews>
    <sheetView zoomScale="70" zoomScaleNormal="70" workbookViewId="0">
      <pane xSplit="5" ySplit="1" topLeftCell="F2" activePane="bottomRight" state="frozen"/>
      <selection pane="topRight" activeCell="F1" sqref="F1"/>
      <selection pane="bottomLeft" activeCell="A2" sqref="A2"/>
      <selection pane="bottomRight" activeCell="M3" sqref="M3"/>
    </sheetView>
  </sheetViews>
  <sheetFormatPr defaultRowHeight="38.4" customHeight="1" x14ac:dyDescent="0.3"/>
  <cols>
    <col min="1" max="1" width="52.44140625" style="81" bestFit="1" customWidth="1"/>
    <col min="2" max="2" width="10.109375" style="81" customWidth="1"/>
    <col min="3" max="3" width="7.44140625" style="82" customWidth="1"/>
    <col min="4" max="4" width="4.77734375" style="83" customWidth="1"/>
    <col min="5" max="5" width="4.5546875" style="83" customWidth="1"/>
    <col min="6" max="6" width="5.77734375" style="83" customWidth="1"/>
    <col min="7" max="7" width="7.44140625" style="81" customWidth="1"/>
    <col min="8" max="8" width="11.44140625" style="81" customWidth="1"/>
    <col min="9" max="9" width="10" style="81" customWidth="1"/>
    <col min="10" max="10" width="4.21875" style="81" customWidth="1"/>
    <col min="11" max="11" width="5.6640625" style="83" customWidth="1"/>
    <col min="12" max="12" width="2.88671875" style="83" customWidth="1"/>
    <col min="13" max="13" width="6.44140625" style="83" customWidth="1"/>
    <col min="14" max="14" width="4.5546875" style="83" customWidth="1"/>
    <col min="15" max="15" width="10.5546875" style="84" customWidth="1"/>
    <col min="16" max="16" width="6.88671875" style="83" customWidth="1"/>
    <col min="17" max="17" width="4.77734375" style="83" customWidth="1"/>
    <col min="18" max="18" width="13.109375" style="82" customWidth="1"/>
    <col min="19" max="19" width="6.77734375" style="82" customWidth="1"/>
    <col min="20" max="46" width="8.44140625" style="81" customWidth="1"/>
    <col min="47" max="47" width="24.5546875" style="81" customWidth="1"/>
    <col min="48" max="51" width="16.6640625" style="81" customWidth="1"/>
    <col min="52" max="52" width="6.5546875" style="81" customWidth="1"/>
    <col min="53" max="54" width="5.88671875" style="81" customWidth="1"/>
    <col min="55" max="55" width="1.33203125" style="81" customWidth="1"/>
    <col min="56" max="56" width="7.44140625" style="81" customWidth="1"/>
    <col min="57" max="57" width="2.33203125" style="81" customWidth="1"/>
    <col min="58" max="62" width="6.109375" style="81" customWidth="1"/>
    <col min="63" max="63" width="2.33203125" style="81" customWidth="1"/>
    <col min="64" max="64" width="7" style="81" bestFit="1" customWidth="1"/>
    <col min="65" max="65" width="6.44140625" style="81" bestFit="1" customWidth="1"/>
    <col min="66" max="66" width="7.109375" style="81" bestFit="1" customWidth="1"/>
    <col min="67" max="71" width="6.44140625" style="81" bestFit="1" customWidth="1"/>
    <col min="72" max="73" width="6.44140625" style="81" customWidth="1"/>
    <col min="74" max="75" width="13.44140625" style="81" customWidth="1"/>
    <col min="76" max="84" width="14.6640625" style="81" customWidth="1"/>
    <col min="85" max="85" width="6.44140625" style="81" customWidth="1"/>
    <col min="86" max="87" width="11.6640625" style="81" bestFit="1" customWidth="1"/>
    <col min="88" max="88" width="11.6640625" style="81" customWidth="1"/>
    <col min="89" max="89" width="12.77734375" style="81" bestFit="1" customWidth="1"/>
    <col min="90" max="90" width="16.44140625" style="82" bestFit="1" customWidth="1"/>
    <col min="91" max="92" width="14.88671875" style="82" bestFit="1" customWidth="1"/>
    <col min="93" max="93" width="16" style="82" bestFit="1" customWidth="1"/>
    <col min="94" max="97" width="7.77734375" style="81" customWidth="1"/>
    <col min="98" max="98" width="33.21875" style="81" customWidth="1"/>
    <col min="99" max="99" width="18" style="81" customWidth="1"/>
    <col min="100" max="100" width="75.6640625" style="81" customWidth="1"/>
    <col min="101" max="125" width="33" style="81" customWidth="1"/>
    <col min="126" max="126" width="8.88671875" style="81"/>
    <col min="127" max="128" width="9.44140625" style="81" bestFit="1" customWidth="1"/>
    <col min="129" max="129" width="10.77734375" style="81" bestFit="1" customWidth="1"/>
    <col min="130" max="134" width="10.77734375" style="81" customWidth="1"/>
    <col min="135" max="135" width="10.109375" style="81" bestFit="1" customWidth="1"/>
    <col min="136" max="136" width="7.77734375" style="81" bestFit="1" customWidth="1"/>
    <col min="137" max="137" width="7.77734375" style="81" customWidth="1"/>
    <col min="138" max="138" width="9" style="81" bestFit="1" customWidth="1"/>
    <col min="139" max="139" width="11.33203125" style="81" bestFit="1" customWidth="1"/>
    <col min="140" max="140" width="9.109375" style="81" bestFit="1" customWidth="1"/>
    <col min="141" max="141" width="9" style="81" bestFit="1" customWidth="1"/>
    <col min="142" max="142" width="12" style="81" bestFit="1" customWidth="1"/>
    <col min="143" max="166" width="12" style="81" customWidth="1"/>
    <col min="167" max="167" width="17.21875" style="81" customWidth="1"/>
    <col min="168" max="191" width="12" style="81" customWidth="1"/>
    <col min="192" max="192" width="8.5546875" style="81" bestFit="1" customWidth="1"/>
    <col min="193" max="193" width="8.5546875" style="81" customWidth="1"/>
    <col min="194" max="194" width="7.109375" style="81" bestFit="1" customWidth="1"/>
    <col min="195" max="195" width="7.5546875" style="81" bestFit="1" customWidth="1"/>
    <col min="196" max="196" width="8.5546875" style="81" bestFit="1" customWidth="1"/>
    <col min="197" max="200" width="8.5546875" style="81" customWidth="1"/>
    <col min="201" max="201" width="188.88671875" style="81" customWidth="1"/>
    <col min="202" max="202" width="9.5546875" style="81" bestFit="1" customWidth="1"/>
    <col min="203" max="203" width="10.44140625" style="81" bestFit="1" customWidth="1"/>
    <col min="204" max="204" width="11.109375" style="81" bestFit="1" customWidth="1"/>
    <col min="205" max="205" width="10.44140625" style="81" bestFit="1" customWidth="1"/>
    <col min="206" max="210" width="10.44140625" style="81" customWidth="1"/>
    <col min="211" max="211" width="45.44140625" style="81" customWidth="1"/>
    <col min="212" max="212" width="47.5546875" style="81" bestFit="1" customWidth="1"/>
    <col min="213" max="213" width="9.33203125" style="85" customWidth="1"/>
    <col min="214" max="214" width="119.5546875" style="81" customWidth="1"/>
    <col min="215" max="215" width="69.6640625" style="81" customWidth="1"/>
    <col min="216" max="218" width="8.88671875" style="81"/>
    <col min="219" max="219" width="37.109375" style="81" customWidth="1"/>
    <col min="220" max="220" width="16.33203125" style="81" customWidth="1"/>
    <col min="221" max="222" width="8.88671875" style="81"/>
    <col min="223" max="223" width="10.109375" style="81" bestFit="1" customWidth="1"/>
    <col min="224" max="232" width="10.88671875" style="81" customWidth="1"/>
    <col min="233" max="234" width="30.77734375" style="81" customWidth="1"/>
    <col min="235" max="235" width="5.109375" style="81" customWidth="1"/>
    <col min="236" max="236" width="3" style="81" customWidth="1"/>
    <col min="237" max="245" width="6.77734375" style="86" customWidth="1"/>
    <col min="246" max="247" width="8.88671875" style="81"/>
    <col min="248" max="248" width="61.5546875" style="81" customWidth="1"/>
    <col min="249" max="253" width="8.88671875" style="81"/>
    <col min="254" max="254" width="9" style="81" customWidth="1"/>
    <col min="255" max="16384" width="8.88671875" style="8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1086</v>
      </c>
      <c r="B2" s="40" t="e" vm="111">
        <v>#VALUE!</v>
      </c>
      <c r="C2" s="41">
        <v>1</v>
      </c>
      <c r="D2" s="42" t="s">
        <v>1087</v>
      </c>
      <c r="E2" s="43" t="s">
        <v>1088</v>
      </c>
      <c r="F2" s="44" t="s">
        <v>163</v>
      </c>
      <c r="G2" s="45">
        <f>COUNTIF($A$1:$A$8336,A2)</f>
        <v>1</v>
      </c>
      <c r="H2" s="46"/>
      <c r="I2" s="47" t="s">
        <v>1089</v>
      </c>
      <c r="J2" s="48" t="str">
        <f>""</f>
        <v/>
      </c>
      <c r="K2" s="49">
        <v>48000000</v>
      </c>
      <c r="L2" s="50">
        <v>836000</v>
      </c>
      <c r="M2" s="50" t="s">
        <v>1093</v>
      </c>
      <c r="N2" s="51" t="s">
        <v>180</v>
      </c>
      <c r="O2" s="52" t="s">
        <v>1090</v>
      </c>
      <c r="P2" s="53" t="s">
        <v>1091</v>
      </c>
      <c r="Q2" s="54">
        <v>1</v>
      </c>
      <c r="R2" s="55" t="s">
        <v>180</v>
      </c>
      <c r="S2" s="56">
        <v>3</v>
      </c>
      <c r="T2" s="57" t="s">
        <v>167</v>
      </c>
      <c r="U2" s="58" t="s">
        <v>164</v>
      </c>
      <c r="V2" s="58" t="s">
        <v>167</v>
      </c>
      <c r="W2" s="58" t="s">
        <v>164</v>
      </c>
      <c r="X2" s="58" t="s">
        <v>164</v>
      </c>
      <c r="Y2" s="58" t="s">
        <v>164</v>
      </c>
      <c r="Z2" s="58" t="s">
        <v>164</v>
      </c>
      <c r="AA2" s="58" t="s">
        <v>164</v>
      </c>
      <c r="AB2" s="58" t="s">
        <v>164</v>
      </c>
      <c r="AC2" s="58" t="s">
        <v>164</v>
      </c>
      <c r="AD2" s="58" t="s">
        <v>164</v>
      </c>
      <c r="AE2" s="58" t="s">
        <v>164</v>
      </c>
      <c r="AF2" s="59" t="s">
        <v>167</v>
      </c>
      <c r="AG2" s="59" t="s">
        <v>164</v>
      </c>
      <c r="AH2" s="59" t="s">
        <v>164</v>
      </c>
      <c r="AI2" s="59" t="s">
        <v>164</v>
      </c>
      <c r="AJ2" s="59" t="s">
        <v>164</v>
      </c>
      <c r="AK2" s="59" t="s">
        <v>164</v>
      </c>
      <c r="AL2" s="59" t="s">
        <v>164</v>
      </c>
      <c r="AM2" s="59" t="s">
        <v>164</v>
      </c>
      <c r="AN2" s="59" t="s">
        <v>164</v>
      </c>
      <c r="AO2" s="59" t="s">
        <v>164</v>
      </c>
      <c r="AP2" s="59" t="s">
        <v>164</v>
      </c>
      <c r="AQ2" s="59" t="s">
        <v>164</v>
      </c>
      <c r="AR2" s="59" t="s">
        <v>164</v>
      </c>
      <c r="AS2" s="59" t="s">
        <v>164</v>
      </c>
      <c r="AT2" s="60">
        <v>0</v>
      </c>
      <c r="AU2" s="59"/>
      <c r="AV2" s="59" t="str">
        <f>IF(LEFT(A2,1)="[",LEFT(A2,5)&amp;AU2&amp;A2,"")</f>
        <v/>
      </c>
      <c r="AW2" s="59" t="str">
        <f t="shared" ref="AW2" si="0">C2&amp;H2&amp;A2</f>
        <v>1Sudan</v>
      </c>
      <c r="AX2" s="61" t="str">
        <f>_xlfn.TEXTJOIN(";",TRUE,AU2:AW2)</f>
        <v>1Sudan</v>
      </c>
      <c r="AY2" s="61"/>
      <c r="AZ2" s="62"/>
      <c r="BA2" s="62"/>
      <c r="BB2" s="62"/>
      <c r="BC2" s="63"/>
      <c r="BD2" s="64" t="s">
        <v>169</v>
      </c>
      <c r="BE2" s="47"/>
      <c r="BF2" s="64" t="s">
        <v>154</v>
      </c>
      <c r="BG2" s="64" t="s">
        <v>159</v>
      </c>
      <c r="BH2" s="64" t="s">
        <v>151</v>
      </c>
      <c r="BI2" s="64"/>
      <c r="BJ2" s="64"/>
      <c r="BK2" s="47"/>
      <c r="BL2" s="64" t="s">
        <v>154</v>
      </c>
      <c r="BM2" s="64" t="s">
        <v>151</v>
      </c>
      <c r="BN2" s="64" t="s">
        <v>159</v>
      </c>
      <c r="BO2" s="64" t="s">
        <v>153</v>
      </c>
      <c r="BP2" s="64"/>
      <c r="BQ2" s="64"/>
      <c r="BR2" s="64"/>
      <c r="BS2" s="64"/>
      <c r="BT2" s="64"/>
      <c r="BU2" s="65"/>
      <c r="BV2" s="66" t="s">
        <v>165</v>
      </c>
      <c r="BW2" s="66" t="s">
        <v>166</v>
      </c>
      <c r="BX2" s="47"/>
      <c r="BY2" s="48" t="s">
        <v>164</v>
      </c>
      <c r="CB2" s="6" t="s">
        <v>1092</v>
      </c>
      <c r="CC2" s="6"/>
      <c r="CD2" s="67">
        <v>0</v>
      </c>
      <c r="CE2" s="67">
        <v>0</v>
      </c>
      <c r="CF2" s="67" t="e">
        <v>#REF!</v>
      </c>
      <c r="CG2" s="68" cm="1">
        <f t="array" ref="CG2">SUMPRODUCT(--(LEN(TRIM(BL2:BT2))&gt;0))</f>
        <v>4</v>
      </c>
      <c r="CH2" s="59" t="str">
        <f>IF(CG2=2,"y","n")</f>
        <v>n</v>
      </c>
      <c r="CI2" s="59" t="str">
        <f>IF(CG2=3,"y","n")</f>
        <v>n</v>
      </c>
      <c r="CJ2" s="59" t="str">
        <f>IF(CG2=4,"y","n")</f>
        <v>y</v>
      </c>
      <c r="CK2" s="59" t="str">
        <f>IF(CG2&gt;4,"y","n")</f>
        <v>n</v>
      </c>
      <c r="CL2" s="59" t="str">
        <f>IF(S2=0,"y","n")</f>
        <v>n</v>
      </c>
      <c r="CM2" s="59" t="str">
        <f>IF(S2=2,"y","n")</f>
        <v>n</v>
      </c>
      <c r="CN2" s="59" t="str">
        <f>IF(S2=3,"y","n")</f>
        <v>y</v>
      </c>
      <c r="CO2" s="59" t="str">
        <f>IF(S2&gt;=4,"y","n")</f>
        <v>n</v>
      </c>
      <c r="CP2" s="59" t="str">
        <f>IF(AT2=0,"y","n")</f>
        <v>y</v>
      </c>
      <c r="CQ2" s="59" t="str">
        <f>IF(AT2=1,"y","n")</f>
        <v>n</v>
      </c>
      <c r="CR2" s="59" t="str">
        <f>IF(AT2=2,"y","n")</f>
        <v>n</v>
      </c>
      <c r="CS2" s="59" t="str">
        <f>IF(AT2&gt;=3,"y","n")</f>
        <v>n</v>
      </c>
      <c r="CT2" s="69" t="str">
        <f>CHAR(34)&amp;A2&amp;CHAR(34)</f>
        <v>"Sudan"</v>
      </c>
      <c r="CU2" s="70" t="str">
        <f>CHAR(34)&amp;"rgn_"&amp;R2&amp;CHAR(34)</f>
        <v>"rgn_Africa"</v>
      </c>
      <c r="CV2" s="48" t="str">
        <f>CHAR(34)&amp;D2&amp;CHAR(34)</f>
        <v>"https://i.ibb.co/sW5DNd4/Sudan-Flag.png"</v>
      </c>
      <c r="CW2" s="48" t="str">
        <f>IF(CH2="y",CHAR(34)&amp;CH$1&amp;CHAR(34)&amp;",","")</f>
        <v/>
      </c>
      <c r="CX2" s="48" t="str">
        <f>IF(CI2="y",CHAR(34)&amp;CI$1&amp;CHAR(34)&amp;",","")</f>
        <v/>
      </c>
      <c r="CY2" s="48" t="str">
        <f>IF(CJ2="y",CHAR(34)&amp;CJ$1&amp;CHAR(34)&amp;",","")</f>
        <v>"4Color",</v>
      </c>
      <c r="CZ2" s="48" t="str">
        <f>IF(CK2="y",CHAR(34)&amp;CK$1&amp;CHAR(34)&amp;",","")</f>
        <v/>
      </c>
      <c r="DA2" s="48" t="str">
        <f>IF(Q2&gt;1,CHAR(34)&amp;"words2"&amp;CHAR(34)&amp;",","")</f>
        <v/>
      </c>
      <c r="DB2" s="48" t="str">
        <f>IF(Q2&gt;2,CHAR(34)&amp;"words3"&amp;CHAR(34)&amp;",","")</f>
        <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"lets05",</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"startS",</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
      </c>
      <c r="DS2" s="6" t="str">
        <f>IF(W2="y",IF(AND(V2="n",BY2&lt;&gt;"y"),CHAR(34)&amp;"allver"&amp;CHAR(34)&amp;",",""),"")</f>
        <v/>
      </c>
      <c r="DT2" s="6" t="str">
        <f>IF(V2="y",IF(AND(W2="n",BY2&lt;&gt;"y"),CHAR(34)&amp;"allhor"&amp;CHAR(34)&amp;",",""),"")</f>
        <v>"allhor",</v>
      </c>
      <c r="DU2" s="6" t="str">
        <f>IF(BY2="y",IF(AND(W2="n",V2="n"),CHAR(34)&amp;"alldia"&amp;CHAR(34)&amp;",",""),"")</f>
        <v/>
      </c>
      <c r="DV2" s="48" t="str">
        <f>IF(IA2&lt;&gt;"",(IF(IA2="y",CHAR(34)&amp;"largec"&amp;CHAR(34)&amp;",",CHAR(34)&amp;"smallc"&amp;CHAR(34)&amp;",")),"")</f>
        <v/>
      </c>
      <c r="DW2" s="48" t="str">
        <f>IF(CL2="y",CHAR(34)&amp;CL$1&amp;CHAR(34)&amp;",","")</f>
        <v/>
      </c>
      <c r="DX2" s="48" t="str">
        <f>IF(CM2="y",CHAR(34)&amp;CM$1&amp;CHAR(34)&amp;",","")</f>
        <v/>
      </c>
      <c r="DY2" s="48" t="str">
        <f>IF(CN2="y",CHAR(34)&amp;CN$1&amp;CHAR(34)&amp;",","")</f>
        <v>"3Bands",</v>
      </c>
      <c r="DZ2" s="48" t="str">
        <f>IF(CO2="y",CHAR(34)&amp;CO$1&amp;CHAR(34)&amp;",","")</f>
        <v/>
      </c>
      <c r="EA2" s="48" t="str">
        <f>IF(T2="y",CHAR(34)&amp;T$1&amp;CHAR(34)&amp;",","")</f>
        <v>"Diagon",</v>
      </c>
      <c r="EB2" s="48" t="str">
        <f>IF(U2="y",CHAR(34)&amp;U$1&amp;CHAR(34)&amp;",","")</f>
        <v/>
      </c>
      <c r="EC2" s="48" t="str">
        <f>IF(V2="y",CHAR(34)&amp;V$1&amp;CHAR(34)&amp;",","")</f>
        <v>"Horizo",</v>
      </c>
      <c r="ED2" s="48" t="str">
        <f>IF(W2="y",CHAR(34)&amp;W$1&amp;CHAR(34)&amp;",","")</f>
        <v/>
      </c>
      <c r="EE2" s="48" t="str">
        <f>IF(X2="y",CHAR(34)&amp;X$1&amp;CHAR(34)&amp;",","")</f>
        <v/>
      </c>
      <c r="EF2" s="48" t="str">
        <f>IF(AND(Y2&lt;&gt;"n",Y2&lt;&gt;""),CHAR(34)&amp;Y$1&amp;CHAR(34)&amp;",","")</f>
        <v/>
      </c>
      <c r="EG2" s="48" t="str">
        <f>IF(Z2="y",CHAR(34)&amp;Z$1&amp;CHAR(34)&amp;",","")</f>
        <v/>
      </c>
      <c r="EH2" s="48" t="str">
        <f>IF(AA2="y",CHAR(34)&amp;AA$1&amp;CHAR(34)&amp;",","")</f>
        <v/>
      </c>
      <c r="EI2" s="48" t="str">
        <f>IF(AB2="y",CHAR(34)&amp;AB$1&amp;CHAR(34)&amp;",","")</f>
        <v/>
      </c>
      <c r="EJ2" s="48" t="str">
        <f>IF(AC2="y",CHAR(34)&amp;AC$1&amp;CHAR(34)&amp;",","")</f>
        <v/>
      </c>
      <c r="EK2" s="48" t="str">
        <f>IF(AD2="y",CHAR(34)&amp;AD$1&amp;CHAR(34)&amp;",","")</f>
        <v/>
      </c>
      <c r="EL2" s="48" t="str">
        <f>IF(AE2="y",CHAR(34)&amp;AE$1&amp;CHAR(34)&amp;",","")</f>
        <v/>
      </c>
      <c r="EM2" s="48" t="str">
        <f>IF(AF2="y",CHAR(34)&amp;AF$1&amp;CHAR(34)&amp;",","")</f>
        <v>"Trside",</v>
      </c>
      <c r="EN2" s="48" t="str">
        <f>IF(AG2="y",CHAR(34)&amp;AG$1&amp;CHAR(34)&amp;",","")</f>
        <v/>
      </c>
      <c r="EO2" s="48" t="str">
        <f>IF(AH2="y",CHAR(34)&amp;AH$1&amp;CHAR(34)&amp;",","")</f>
        <v/>
      </c>
      <c r="EP2" s="48" t="str">
        <f>IF(AI2="y",CHAR(34)&amp;AI$1&amp;CHAR(34)&amp;",","")</f>
        <v/>
      </c>
      <c r="EQ2" s="48" t="str">
        <f>IF(AJ2="y",CHAR(34)&amp;AJ$1&amp;CHAR(34)&amp;",","")</f>
        <v/>
      </c>
      <c r="ER2" s="48" t="str">
        <f>IF(AK2="y",CHAR(34)&amp;AK$1&amp;CHAR(34)&amp;",","")</f>
        <v/>
      </c>
      <c r="ES2" s="48" t="str">
        <f>IF(AL2="y",CHAR(34)&amp;AL$1&amp;CHAR(34)&amp;",","")</f>
        <v/>
      </c>
      <c r="ET2" s="48" t="str">
        <f>IF(AM2="y",CHAR(34)&amp;AM$1&amp;CHAR(34)&amp;",","")</f>
        <v/>
      </c>
      <c r="EU2" s="48" t="str">
        <f>IF(AN2="y",CHAR(34)&amp;AN$1&amp;CHAR(34)&amp;",","")</f>
        <v/>
      </c>
      <c r="EV2" s="48" t="str">
        <f>IF(AO2="y",CHAR(34)&amp;AO$1&amp;CHAR(34)&amp;",","")</f>
        <v/>
      </c>
      <c r="EW2" s="48" t="str">
        <f>IF(AP2="y",CHAR(34)&amp;AP$1&amp;CHAR(34)&amp;",","")</f>
        <v/>
      </c>
      <c r="EX2" s="48" t="str">
        <f>IF(AQ2="y",CHAR(34)&amp;AQ$1&amp;CHAR(34)&amp;",","")</f>
        <v/>
      </c>
      <c r="EY2" s="48" t="str">
        <f>IF(AR2="y",CHAR(34)&amp;AR$1&amp;CHAR(34)&amp;",","")</f>
        <v/>
      </c>
      <c r="EZ2" s="48" t="str">
        <f>IF(AS2="y",CHAR(34)&amp;AS$1&amp;CHAR(34)&amp;",","")</f>
        <v/>
      </c>
      <c r="FA2" s="48" t="str">
        <f>IF(AT2&gt;0,CHAR(34)&amp;"sta"&amp;AZ2&amp;CHAR(34)&amp;",","")</f>
        <v/>
      </c>
      <c r="FB2" s="48" t="str">
        <f>IF(AND(AT2&gt;0,BA2&lt;&gt;""),CHAR(34)&amp;"sta"&amp;BA2&amp;CHAR(34)&amp;",","")</f>
        <v/>
      </c>
      <c r="FC2" s="48" t="str">
        <f>IF(AND(AT2&gt;0,BB2&lt;&gt;""),CHAR(34)&amp;"sta"&amp;BB2&amp;CHAR(34)&amp;",","")</f>
        <v/>
      </c>
      <c r="FD2" s="48" t="str">
        <f>IF(BV2="n",CHAR(34)&amp;"tcWHYE"&amp;CHAR(34)&amp;",",IF(BV2="y",CHAR(34)&amp;FD$1&amp;CHAR(34)&amp;",",""))</f>
        <v/>
      </c>
      <c r="FE2" s="48" t="str">
        <f>IF(COUNTIF(BL2:BT2,"BLU")=0,CHAR(34)&amp;"NO_BLU"&amp;CHAR(34)&amp;",", "")</f>
        <v>"NO_BLU",</v>
      </c>
      <c r="FF2" s="48" t="str">
        <f>IF(COUNTIF(BL2:BT2,"WHI")=0,CHAR(34)&amp;"NO_WHI"&amp;CHAR(34)&amp;",", "")</f>
        <v/>
      </c>
      <c r="FG2" s="48" t="str">
        <f>IF(COUNTIF(BL2:BT2,"RED")=0,CHAR(34)&amp;"NO_RED"&amp;CHAR(34)&amp;",", "")</f>
        <v/>
      </c>
      <c r="FH2" s="48" t="str">
        <f>IF(COUNTIF(BL2:BS2,"GRE")=0,CHAR(34)&amp;"NO_GRE"&amp;CHAR(34)&amp;",", "")</f>
        <v/>
      </c>
      <c r="FI2" s="48" t="str">
        <f>IF(COUNTIF(BL2:BT2,"YEL")=0,CHAR(34)&amp;"NO_YEL"&amp;CHAR(34)&amp;",", "")</f>
        <v>"NO_YEL",</v>
      </c>
      <c r="FJ2" s="48" t="str">
        <f>IF(COUNTIF(BL2:BT2,"BLA")=0,CHAR(34)&amp;"NO_BLA"&amp;CHAR(34)&amp;",", "")</f>
        <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
      </c>
      <c r="FP2" s="48" t="str">
        <f>IF(AND(FF2&lt;&gt;"",FF2&lt;&gt;""),CHAR(34)&amp;"WHRENO"&amp;CHAR(34)&amp;",","")</f>
        <v/>
      </c>
      <c r="FQ2" s="48" t="str">
        <f>IF(LEN(BF2)=3,CHAR(34)&amp;"001"&amp;BF2&amp;CHAR(34)&amp;",","")</f>
        <v>"001RED",</v>
      </c>
      <c r="FR2" s="48" t="str">
        <f>IF(LEN(BG2)=3,CHAR(34)&amp;"002"&amp;BG2&amp;CHAR(34)&amp;",","")</f>
        <v>"002WHI",</v>
      </c>
      <c r="FS2" s="48" t="str">
        <f>IF(LEN(BH2)=3,CHAR(34)&amp;"003"&amp;BH2&amp;CHAR(34)&amp;",","")</f>
        <v>"003BLA",</v>
      </c>
      <c r="FT2" s="48" t="str">
        <f>CHAR(34)&amp;"myr"&amp;BD2&amp;CHAR(34)&amp;","</f>
        <v>"myrEQ",</v>
      </c>
      <c r="FU2" s="48" t="str">
        <f>IF(AY2="y",CHAR(34)&amp;"island"&amp;CHAR(34)&amp;",","")</f>
        <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"arabic",</v>
      </c>
      <c r="FZ2" s="48" t="str">
        <f>IFERROR(IF(SEARCH("English",CB2)&gt;0,CHAR(34)&amp;"englis"&amp;CHAR(34)&amp;",",""),"")</f>
        <v>"englis",</v>
      </c>
      <c r="GA2" s="48" t="str">
        <f>IFERROR(IF(SEARCH("French",CB2)&gt;0,CHAR(34)&amp;"french"&amp;CHAR(34)&amp;",",""),"")</f>
        <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"NoStar",</v>
      </c>
      <c r="GK2" s="48" t="str">
        <f>IF(GJ2="",CHAR(34)&amp;"HasSta"&amp;CHAR(34)&amp;",","")</f>
        <v/>
      </c>
      <c r="GL2" s="48" t="str">
        <f>IF(CQ2="y",CHAR(34)&amp;CQ$1&amp;CHAR(34)&amp;",","")</f>
        <v/>
      </c>
      <c r="GM2" s="48" t="str">
        <f>IF(CR2="y",CHAR(34)&amp;CR$1&amp;CHAR(34)&amp;",","")</f>
        <v/>
      </c>
      <c r="GN2" s="48" t="str">
        <f>IF(CS2="y",CHAR(34)&amp;CS$1&amp;CHAR(34)&amp;",","")</f>
        <v/>
      </c>
      <c r="GP2" s="48" t="str">
        <f>CHAR(34)&amp;AU2&amp;CHAR(34)</f>
        <v>""</v>
      </c>
      <c r="GS2" s="48" t="str">
        <f>SUBSTITUTE("["&amp;_xlfn.CONCAT(CW2:GN2)&amp;"]",",]","]")</f>
        <v>["4Color","lets05","startS","year19","allhor","3Bands","Diagon","Horizo","Trside","NO_BLU","NO_YEL","001RED","002WHI","003BLA","myrEQ","arabic","englis","NoStar"]</v>
      </c>
      <c r="GT2" s="48" t="str">
        <f>IF(BL2&lt;&gt;"",CHAR(34)&amp;"cl_"&amp;BL2&amp;CHAR(34)&amp;",","")</f>
        <v>"cl_RED",</v>
      </c>
      <c r="GU2" s="48" t="str">
        <f>IF(BM2&lt;&gt;"",CHAR(34)&amp;"cl_"&amp;BM2&amp;CHAR(34)&amp;",","")</f>
        <v>"cl_BLA",</v>
      </c>
      <c r="GV2" s="48" t="str">
        <f>IF(BN2&lt;&gt;"",CHAR(34)&amp;"cl_"&amp;BN2&amp;CHAR(34)&amp;",","")</f>
        <v>"cl_WHI",</v>
      </c>
      <c r="GW2" s="48" t="str">
        <f>IF(BO2&lt;&gt;"",CHAR(34)&amp;"cl_"&amp;BO2&amp;CHAR(34)&amp;",","")</f>
        <v>"cl_GRE",</v>
      </c>
      <c r="GX2" s="48" t="str">
        <f>IF(BP2&lt;&gt;"",CHAR(34)&amp;"cl_"&amp;BP2&amp;CHAR(34)&amp;",","")</f>
        <v/>
      </c>
      <c r="GY2" s="48" t="str">
        <f>IF(BQ2&lt;&gt;"",CHAR(34)&amp;"cl_"&amp;BQ2&amp;CHAR(34)&amp;",","")</f>
        <v/>
      </c>
      <c r="GZ2" s="48" t="str">
        <f>IF(BR2&lt;&gt;"",CHAR(34)&amp;"cl_"&amp;BR2&amp;CHAR(34)&amp;",","")</f>
        <v/>
      </c>
      <c r="HA2" s="48" t="str">
        <f>IF(BS2&lt;&gt;"",CHAR(34)&amp;"cl_"&amp;BS2&amp;CHAR(34)&amp;",","")</f>
        <v/>
      </c>
      <c r="HB2" s="48" t="str">
        <f>IF(BT2&lt;&gt;"",CHAR(34)&amp;"cl_"&amp;BT2&amp;CHAR(34)&amp;",","")</f>
        <v/>
      </c>
      <c r="HC2" s="48" t="str">
        <f>SUBSTITUTE("["&amp;_xlfn.CONCAT(GT2:HB2)&amp;"]",",]","]")</f>
        <v>["cl_RED","cl_BLA","cl_WHI","cl_GRE"]</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{couname:"Sudan",year:"1970 ",region:"rgn_Africa",Colors:["cl_RED","cl_BLA","cl_WHI","cl_GRE"],Items:["4Color","lets05","startS","year19","allhor","3Bands","Diagon","Horizo","Trside","NO_BLU","NO_YEL","001RED","002WHI","003BLA","myrEQ","arabic","englis","NoStar"],Flag:"https://i.ibb.co/sW5DNd4/Sudan-Flag.png",HDFlag:"https://upload.wikimedia.org/wikipedia/commons/thumb/0/01/Flag_of_Sudan.svg/2560px-Flag_of_Sudan.svg.png",type:"", describe: "\nRed, white, black and green are called the pan-Arab colours and have been historically linked to the Arab people and Islamic religion for centuries. The colours stand for Arab unity and independence. The red stripe represents Sudan's struggle for independence and many other struggles, and the sacrifices of the country's martyrs. The white represents the people, light and optimism. It also represents the White Flag League which was a nationalist group that rose up against colonial rule in 1924. The black represents Sudan; in Arabic, 'Sudan,' means 'land of the black people.' It also represents the black flag of nationalists who fought colonial rule during the Mahdist Revolution, late in 19th century. Green represents Islam, agriculture and the prosperity of the land.", isnew:".", links: "https://en.wikipedia.org/wiki/Flag_of_Sudan"},</v>
      </c>
      <c r="HG2" s="73" t="str">
        <f>"{couname:"&amp;CT2&amp;(IF(HK2&lt;&gt;"",",subtype:"&amp;CHAR(34)&amp;HK2&amp;CHAR(34),""))&amp;",year:"&amp;HJ2&amp;",region:"&amp;CU2&amp;",Colors:"&amp;HC2&amp;",Items:"&amp;GS2&amp;",Flag:"&amp;CV2&amp;",HDFlag:"&amp;CHAR(34)&amp;E2&amp;CHAR(34)&amp;",type:"&amp;GP2&amp;", describe: "&amp;HI2&amp;", links: "&amp;HL2&amp;"},"</f>
        <v>{couname:"Sudan",year:"1970 ",region:"rgn_Africa",Colors:["cl_RED","cl_BLA","cl_WHI","cl_GRE"],Items:["4Color","lets05","startS","year19","allhor","3Bands","Diagon","Horizo","Trside","NO_BLU","NO_YEL","001RED","002WHI","003BLA","myrEQ","arabic","englis","NoStar"],Flag:"https://i.ibb.co/sW5DNd4/Sudan-Flag.png",HDFlag:"https://upload.wikimedia.org/wikipedia/commons/thumb/0/01/Flag_of_Sudan.svg/2560px-Flag_of_Sudan.svg.png",type:"", describe: "\nRed, white, black and green are called the pan-Arab colours and have been historically linked to the Arab people and Islamic religion for centuries. The colours stand for Arab unity and independence. The red stripe represents Sudan's struggle for independence and many other struggles, and the sacrifices of the country's martyrs. The white represents the people, light and optimism. It also represents the White Flag League which was a nationalist group that rose up against colonial rule in 1924. The black represents Sudan; in Arabic, 'Sudan,' means 'land of the black people.' It also represents the black flag of nationalists who fought colonial rule during the Mahdist Revolution, late in 19th century. Green represents Islam, agriculture and the prosperity of the land.", links: "https://en.wikipedia.org/wiki/Flag_of_Sudan"},</v>
      </c>
      <c r="HH2" s="48" t="str">
        <f>IF(P2&lt;&gt;"",CHAR(34)&amp;"\n"&amp;P2&amp;CHAR(34),CHAR(34)&amp;CHAR(34))</f>
        <v>"\nRed, white, black and green are called the pan-Arab colours and have been historically linked to the Arab people and Islamic religion for centuries. The colours stand for Arab unity and independence. The red stripe represents Sudan's struggle for independence and many other struggles, and the sacrifices of the country's martyrs. The white represents the people, light and optimism. It also represents the White Flag League which was a nationalist group that rose up against colonial rule in 1924. The black represents Sudan; in Arabic, 'Sudan,' means 'land of the black people.' It also represents the black flag of nationalists who fought colonial rule during the Mahdist Revolution, late in 19th century. Green represents Islam, agriculture and the prosperity of the land."</v>
      </c>
      <c r="HI2" s="48" t="str">
        <f>IF(J2=0,CHAR(34)&amp;CHAR(34),HH2)</f>
        <v>"\nRed, white, black and green are called the pan-Arab colours and have been historically linked to the Arab people and Islamic religion for centuries. The colours stand for Arab unity and independence. The red stripe represents Sudan's struggle for independence and many other struggles, and the sacrifices of the country's martyrs. The white represents the people, light and optimism. It also represents the White Flag League which was a nationalist group that rose up against colonial rule in 1924. The black represents Sudan; in Arabic, 'Sudan,' means 'land of the black people.' It also represents the black flag of nationalists who fought colonial rule during the Mahdist Revolution, late in 19th century. Green represents Islam, agriculture and the prosperity of the land."</v>
      </c>
      <c r="HJ2" s="48" t="str">
        <f>CHAR(34)&amp;O2&amp;CHAR(34)</f>
        <v>"1970 "</v>
      </c>
      <c r="HL2" s="48" t="str">
        <f>CHAR(34)&amp;I2&amp;CHAR(34)</f>
        <v>"https://en.wikipedia.org/wiki/Flag_of_Sudan"</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{"couname":"Sudan","year":"1970 ","region":"rgn_Africa","Colors":["cl_RED","cl_BLA","cl_WHI","cl_GRE"],"Items":["4Color","lets05","startS","year19","allhor","3Bands","Diagon","Horizo","Trside","NO_BLU","NO_YEL","001RED","002WHI","003BLA","myrEQ","arabic","englis","NoStar"],"Flag":"https://i.ibb.co/sW5DNd4/Sudan-Flag.png","HDFlag":"https://upload.wikimedia.org/wikipedia/commons/thumb/0/01/Flag_of_Sudan.svg/2560px-Flag_of_Sudan.svg.png","type":"", "describe": "\nRed, white, black and green are called the pan-Arab colours and have been historically linked to the Arab people and Islamic religion for centuries. The colours stand for Arab unity and independence. The red stripe represents Sudan's struggle for independence and many other struggles, and the sacrifices of the country's martyrs. The white represents the people, light and optimism. It also represents the White Flag League which was a nationalist group that rose up against colonial rule in 1924. The black represents Sudan; in Arabic, 'Sudan,' means 'land of the black people.' It also represents the black flag of nationalists who fought colonial rule during the Mahdist Revolution, late in 19th century. Green represents Islam, agriculture and the prosperity of the land.", "isnew": ".", "links": "https://en.wikipedia.org/wiki/Flag_of_Sudan"},</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{"couname":"Sudan","year":"1970 ","region":"rgn_Africa","Colors":["cl_RED","cl_BLA","cl_WHI","cl_GRE"],"Items":["4Color","lets05","startS","year19","allhor","3Bands","Diagon","Horizo","Trside","NO_BLU","NO_YEL","001RED","002WHI","003BLA","myrEQ","arabic","englis","NoStar"],"Flag":"https://i.ibb.co/sW5DNd4/Sudan-Flag.png","HDFlag":"https://upload.wikimedia.org/wikipedia/commons/thumb/0/01/Flag_of_Sudan.svg/2560px-Flag_of_Sudan.svg.png","type":"", "describe": "\nRed, white, black and green are called the pan-Arab colours and have been historically linked to the Arab people and Islamic religion for centuries. The colours stand for Arab unity and independence. The red stripe represents Sudan's struggle for independence and many other struggles, and the sacrifices of the country's martyrs. The white represents the people, light and optimism. It also represents the White Flag League which was a nationalist group that rose up against colonial rule in 1924. The black represents Sudan; in Arabic, 'Sudan,' means 'land of the black people.' It also represents the black flag of nationalists who fought colonial rule during the Mahdist Revolution, late in 19th century. Green represents Islam, agriculture and the prosperity of the land.", "isnew": ".", "links": "https://en.wikipedia.org/wiki/Flag_of_Sudan"},</v>
      </c>
      <c r="HO2" s="75"/>
      <c r="HP2" s="48" t="str" cm="1">
        <f t="array" ref="HP2">IF(_xlfn.TEXTJOIN(", ", TRUE, IF(ISNUMBER(SEARCH("BLA", BL2:BT2)), COLUMN(BL2:BT2) - COLUMN(BL2) + 1, ""))&lt;&gt;"","BLA","")</f>
        <v>BLA</v>
      </c>
      <c r="HQ2" s="48" t="str" cm="1">
        <f t="array" ref="HQ2">IF(_xlfn.TEXTJOIN(", ", TRUE, IF(ISNUMBER(SEARCH("BLU", BL2:BT2)), COLUMN(BL2:BT2) - COLUMN(BL2) + 1, ""))&lt;&gt;"","BLU","")</f>
        <v/>
      </c>
      <c r="HR2" s="48" t="str" cm="1">
        <f t="array" ref="HR2">IF(_xlfn.TEXTJOIN(", ", TRUE, IF(ISNUMBER(SEARCH("GRE", BL2:BT2)), COLUMN(BL2:BT2) - COLUMN(BL2) + 1, ""))&lt;&gt;"","GRE","")</f>
        <v>GRE</v>
      </c>
      <c r="HS2" s="48" t="str" cm="1">
        <f t="array" ref="HS2">IF(_xlfn.TEXTJOIN(", ", TRUE, IF(ISNUMBER(SEARCH("RED", BL2:BT2)), COLUMN(BL2:BT2) - COLUMN(BL2) + 1, ""))&lt;&gt;"","RED","")</f>
        <v>RED</v>
      </c>
      <c r="HT2" s="48" t="str" cm="1">
        <f t="array" ref="HT2">IF(_xlfn.TEXTJOIN(", ", TRUE, IF(ISNUMBER(SEARCH("YEL", BL2:BT2)), COLUMN(BL2:BT2) - COLUMN(BL2) + 1, ""))&lt;&gt;"","YEL","")</f>
        <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c r="IB2" s="6"/>
      <c r="IC2" s="77"/>
      <c r="ID2" s="77"/>
      <c r="IE2" s="77"/>
      <c r="IF2" s="77"/>
      <c r="IG2" s="77"/>
      <c r="IH2" s="77"/>
      <c r="II2" s="77"/>
      <c r="IJ2" s="77"/>
      <c r="IK2" s="77"/>
      <c r="IL2" s="48">
        <f>SUM(IC2:IK2)</f>
        <v>0</v>
      </c>
      <c r="IM2" s="45">
        <f>COUNTIF(IC2:IK2,"&gt;0")-CG2</f>
        <v>-4</v>
      </c>
      <c r="IN2" s="78" t="str">
        <f>"http://mkweb.bcgsc.ca/color-summarizer/?url="&amp;D2&amp;"&amp;precision=low&amp;num_clusters="&amp;CG2&amp;"&amp;text=1"</f>
        <v>http://mkweb.bcgsc.ca/color-summarizer/?url=https://i.ibb.co/sW5DNd4/Sudan-Flag.png&amp;precision=low&amp;num_clusters=4&amp;text=1</v>
      </c>
      <c r="IO2" s="48" t="str">
        <f>IF(HP2&lt;&gt;"",CHAR(34)&amp;"black"&amp;CHAR(34),"")</f>
        <v>"black"</v>
      </c>
      <c r="IP2" s="48" t="str">
        <f>IF(HQ2&lt;&gt;"",CHAR(34)&amp;"blue"&amp;CHAR(34),"")</f>
        <v/>
      </c>
      <c r="IQ2" s="48" t="str">
        <f>IF(HR2&lt;&gt;"",CHAR(34)&amp;"green"&amp;CHAR(34),"")</f>
        <v>"green"</v>
      </c>
      <c r="IR2" s="48" t="str">
        <f>IF(HS2&lt;&gt;"",CHAR(34)&amp;"red"&amp;CHAR(34),"")</f>
        <v>"red"</v>
      </c>
      <c r="IS2" s="48" t="str">
        <f>IF(HT2&lt;&gt;"",CHAR(34)&amp;"yellow"&amp;CHAR(34),"")</f>
        <v/>
      </c>
      <c r="IT2" s="48" t="str">
        <f>IF(HU2&lt;&gt;"",CHAR(34)&amp;"orange"&amp;CHAR(34),"")</f>
        <v/>
      </c>
      <c r="IU2" s="48" t="str">
        <f>IF(HV2&lt;&gt;"",CHAR(34)&amp;"brown"&amp;CHAR(34),"")</f>
        <v/>
      </c>
      <c r="IV2" s="48" t="str">
        <f>IF(HW2&lt;&gt;"",CHAR(34)&amp;"purple"&amp;CHAR(34),"")</f>
        <v/>
      </c>
      <c r="IW2" s="48" t="str">
        <f>IF(HX2&lt;&gt;"",CHAR(34)&amp;"white"&amp;CHAR(34),"")</f>
        <v>"white"</v>
      </c>
      <c r="IX2" s="48" t="str">
        <f>"{"&amp;CHAR(34)&amp;"url"&amp;CHAR(34)&amp;":"&amp;CHAR(34)&amp;IN2&amp;CHAR(34)&amp;","&amp;CHAR(34)&amp;"name"&amp;CHAR(34)&amp;":"&amp;CHAR(34)&amp;A2&amp;CHAR(34)&amp;"},"</f>
        <v>{"url":"http://mkweb.bcgsc.ca/color-summarizer/?url=https://i.ibb.co/sW5DNd4/Sudan-Flag.png&amp;precision=low&amp;num_clusters=4&amp;text=1","name":"Sudan"},</v>
      </c>
      <c r="IY2" s="48">
        <v>209</v>
      </c>
    </row>
    <row r="3" spans="1:259" s="48" customFormat="1" ht="38.4" customHeight="1" thickBot="1" x14ac:dyDescent="0.35">
      <c r="A3" s="79" t="s">
        <v>1081</v>
      </c>
      <c r="B3" s="40" t="e" vm="112">
        <v>#VALUE!</v>
      </c>
      <c r="C3" s="41">
        <v>2</v>
      </c>
      <c r="D3" s="42" t="s">
        <v>1082</v>
      </c>
      <c r="E3" s="43" t="s">
        <v>1083</v>
      </c>
      <c r="F3" s="44" t="s">
        <v>404</v>
      </c>
      <c r="G3" s="45">
        <f>COUNTIF($A$1:$A$8328,A3)</f>
        <v>1</v>
      </c>
      <c r="H3" s="46"/>
      <c r="I3" s="47" t="s">
        <v>1084</v>
      </c>
      <c r="J3" s="48" t="str">
        <f>""</f>
        <v/>
      </c>
      <c r="K3" s="49"/>
      <c r="L3" s="50"/>
      <c r="M3" s="50"/>
      <c r="N3" s="51" t="s">
        <v>180</v>
      </c>
      <c r="O3" s="52" t="s">
        <v>170</v>
      </c>
      <c r="P3" s="53" t="s">
        <v>1085</v>
      </c>
      <c r="Q3" s="54">
        <v>2</v>
      </c>
      <c r="R3" s="55" t="s">
        <v>180</v>
      </c>
      <c r="S3" s="56">
        <v>0</v>
      </c>
      <c r="T3" s="57" t="s">
        <v>164</v>
      </c>
      <c r="U3" s="58" t="s">
        <v>164</v>
      </c>
      <c r="V3" s="58" t="s">
        <v>164</v>
      </c>
      <c r="W3" s="58" t="s">
        <v>164</v>
      </c>
      <c r="X3" s="58" t="s">
        <v>167</v>
      </c>
      <c r="Y3" s="58" t="s">
        <v>164</v>
      </c>
      <c r="Z3" s="58" t="s">
        <v>164</v>
      </c>
      <c r="AA3" s="58" t="s">
        <v>164</v>
      </c>
      <c r="AB3" s="58" t="s">
        <v>164</v>
      </c>
      <c r="AC3" s="58" t="s">
        <v>164</v>
      </c>
      <c r="AD3" s="58" t="s">
        <v>167</v>
      </c>
      <c r="AE3" s="58" t="s">
        <v>164</v>
      </c>
      <c r="AF3" s="59" t="s">
        <v>164</v>
      </c>
      <c r="AG3" s="59" t="s">
        <v>164</v>
      </c>
      <c r="AH3" s="59" t="s">
        <v>167</v>
      </c>
      <c r="AI3" s="59" t="s">
        <v>164</v>
      </c>
      <c r="AJ3" s="59" t="s">
        <v>164</v>
      </c>
      <c r="AK3" s="59" t="s">
        <v>164</v>
      </c>
      <c r="AL3" s="59" t="s">
        <v>164</v>
      </c>
      <c r="AM3" s="59" t="s">
        <v>167</v>
      </c>
      <c r="AN3" s="59" t="s">
        <v>164</v>
      </c>
      <c r="AO3" s="59" t="s">
        <v>164</v>
      </c>
      <c r="AP3" s="59" t="s">
        <v>164</v>
      </c>
      <c r="AQ3" s="59" t="s">
        <v>164</v>
      </c>
      <c r="AR3" s="59" t="s">
        <v>164</v>
      </c>
      <c r="AS3" s="59" t="s">
        <v>164</v>
      </c>
      <c r="AT3" s="60">
        <v>0</v>
      </c>
      <c r="AU3" s="59" t="s">
        <v>521</v>
      </c>
      <c r="AV3" s="59" t="str">
        <f>IF(LEFT(A3,1)="[",LEFT(A3,5)&amp;AU3&amp;A3,"")</f>
        <v>[SDN]State[SDN] Kassala State</v>
      </c>
      <c r="AW3" s="59" t="str">
        <f t="shared" ref="AW3" si="1">C3&amp;H3&amp;A3</f>
        <v>2[SDN] Kassala State</v>
      </c>
      <c r="AX3" s="61"/>
      <c r="AY3" s="61"/>
      <c r="AZ3" s="62"/>
      <c r="BA3" s="62"/>
      <c r="BB3" s="62"/>
      <c r="BC3" s="63"/>
      <c r="BD3" s="64" t="s">
        <v>159</v>
      </c>
      <c r="BE3" s="47"/>
      <c r="BF3" s="64"/>
      <c r="BG3" s="64"/>
      <c r="BH3" s="64"/>
      <c r="BI3" s="64"/>
      <c r="BJ3" s="64"/>
      <c r="BK3" s="47"/>
      <c r="BL3" s="64" t="s">
        <v>159</v>
      </c>
      <c r="BM3" s="64" t="s">
        <v>155</v>
      </c>
      <c r="BN3" s="64" t="s">
        <v>153</v>
      </c>
      <c r="BO3" s="64" t="s">
        <v>152</v>
      </c>
      <c r="BP3" s="64" t="s">
        <v>151</v>
      </c>
      <c r="BQ3" s="64"/>
      <c r="BR3" s="64"/>
      <c r="BS3" s="64"/>
      <c r="BT3" s="64"/>
      <c r="BU3" s="65"/>
      <c r="BV3" s="66"/>
      <c r="BW3" s="66">
        <v>0</v>
      </c>
      <c r="BX3" s="47"/>
      <c r="CB3" s="6"/>
      <c r="CC3" s="6"/>
      <c r="CD3" s="67">
        <v>0</v>
      </c>
      <c r="CE3" s="67">
        <v>0</v>
      </c>
      <c r="CF3" s="67" t="e">
        <v>#REF!</v>
      </c>
      <c r="CG3" s="68" cm="1">
        <f t="array" ref="CG3">SUMPRODUCT(--(LEN(TRIM(BL3:BT3))&gt;0))</f>
        <v>5</v>
      </c>
      <c r="CH3" s="59" t="str">
        <f>IF(CG3=2,"y","n")</f>
        <v>n</v>
      </c>
      <c r="CI3" s="59" t="str">
        <f>IF(CG3=3,"y","n")</f>
        <v>n</v>
      </c>
      <c r="CJ3" s="59" t="str">
        <f>IF(CG3=4,"y","n")</f>
        <v>n</v>
      </c>
      <c r="CK3" s="59" t="str">
        <f>IF(CG3&gt;4,"y","n")</f>
        <v>y</v>
      </c>
      <c r="CL3" s="59" t="str">
        <f>IF(S3=0,"y","n")</f>
        <v>y</v>
      </c>
      <c r="CM3" s="59" t="str">
        <f>IF(S3=2,"y","n")</f>
        <v>n</v>
      </c>
      <c r="CN3" s="59" t="str">
        <f>IF(S3=3,"y","n")</f>
        <v>n</v>
      </c>
      <c r="CO3" s="59" t="str">
        <f>IF(S3&gt;=4,"y","n")</f>
        <v>n</v>
      </c>
      <c r="CP3" s="59" t="str">
        <f>IF(AT3=0,"y","n")</f>
        <v>y</v>
      </c>
      <c r="CQ3" s="59" t="str">
        <f>IF(AT3=1,"y","n")</f>
        <v>n</v>
      </c>
      <c r="CR3" s="59" t="str">
        <f>IF(AT3=2,"y","n")</f>
        <v>n</v>
      </c>
      <c r="CS3" s="59" t="str">
        <f>IF(AT3&gt;=3,"y","n")</f>
        <v>n</v>
      </c>
      <c r="CT3" s="69" t="str">
        <f>CHAR(34)&amp;A3&amp;CHAR(34)</f>
        <v>"[SDN] Kassala State"</v>
      </c>
      <c r="CU3" s="70" t="str">
        <f>CHAR(34)&amp;"rgn_"&amp;R3&amp;CHAR(34)</f>
        <v>"rgn_Africa"</v>
      </c>
      <c r="CV3" s="48" t="str">
        <f>CHAR(34)&amp;D3&amp;CHAR(34)</f>
        <v>"https://upload.wikimedia.org/wikipedia/commons/thumb/1/12/Flag_of_Kassala_Wilayyah.svg/640px-Flag_of_Kassala_Wilayyah.svg.png"</v>
      </c>
      <c r="CW3" s="48" t="str">
        <f>IF(CH3="y",CHAR(34)&amp;CH$1&amp;CHAR(34)&amp;",","")</f>
        <v/>
      </c>
      <c r="CX3" s="48" t="str">
        <f>IF(CI3="y",CHAR(34)&amp;CI$1&amp;CHAR(34)&amp;",","")</f>
        <v/>
      </c>
      <c r="CY3" s="48" t="str">
        <f>IF(CJ3="y",CHAR(34)&amp;CJ$1&amp;CHAR(34)&amp;",","")</f>
        <v/>
      </c>
      <c r="CZ3" s="48" t="str">
        <f>IF(CK3="y",CHAR(34)&amp;CK$1&amp;CHAR(34)&amp;",","")</f>
        <v>"5+Colo",</v>
      </c>
      <c r="DA3" s="48" t="str">
        <f>IF(Q3&gt;1,CHAR(34)&amp;"words2"&amp;CHAR(34)&amp;",","")</f>
        <v>"words2",</v>
      </c>
      <c r="DB3" s="48" t="str">
        <f>IF(Q3&gt;2,CHAR(34)&amp;"words3"&amp;CHAR(34)&amp;",","")</f>
        <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"lets12",</v>
      </c>
      <c r="DE3" s="48" t="str">
        <f>CHAR(34)&amp;"start"&amp;IFERROR(LEFT(SUBSTITUTE(A3,"["&amp;MID(A3,FIND("[",A3)+1,FIND("]",A3)-FIND("[",A3)-1)&amp;"] ",""),1),LEFT(A3,1))&amp;CHAR(34)&amp;","</f>
        <v>"startK",</v>
      </c>
      <c r="DF3" s="48" t="str">
        <f>IFERROR(IF(SEARCH("tan",A3)&gt;0,CHAR(34)&amp;"withtn"&amp;CHAR(34)&amp;",",""),"")</f>
        <v/>
      </c>
      <c r="DG3" s="48" t="str">
        <f>IFERROR(IF(SEARCH("q",A3)&gt;0,CHAR(34)&amp;"with_q"&amp;CHAR(34)&amp;",",""),"")</f>
        <v/>
      </c>
      <c r="DH3" s="48" t="str">
        <f>IFERROR(IF(SEARCH("v",A3)&gt;0,CHAR(34)&amp;"with_v"&amp;CHAR(34)&amp;",",""),"")</f>
        <v/>
      </c>
      <c r="DI3" s="48" t="str">
        <f>IFERROR(IF(SEARCH("w",A3)&gt;0,CHAR(34)&amp;"with_w"&amp;CHAR(34)&amp;",",""),"")</f>
        <v/>
      </c>
      <c r="DJ3" s="48" t="str">
        <f>IFERROR(IF(SEARCH("y",A3)&gt;0,CHAR(34)&amp;"with_y"&amp;CHAR(34)&amp;",",""),"")</f>
        <v/>
      </c>
      <c r="DK3" s="48" t="str">
        <f>IFERROR(IF(SEARCH("z",A3)&gt;0,CHAR(34)&amp;"with_z"&amp;CHAR(34)&amp;",",""),"")</f>
        <v/>
      </c>
      <c r="DL3" s="48" t="str">
        <f>IF(CG3=2, CHAR(34) &amp; _xlfn.TEXTJOIN("", TRUE, _xlfn._xlws.SORT(HP3:HX3)) &amp; CHAR(34) &amp; ",", "")</f>
        <v/>
      </c>
      <c r="DM3" s="48" t="str" cm="1">
        <f t="array" ref="DM3">IF(CG3=3,CHAR(34) &amp; _xlfn.TEXTJOIN("", TRUE, RIGHT(HP3:HX3, 2)) &amp; CHAR(34) &amp; ",", "")</f>
        <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
      </c>
      <c r="DP3" s="6" t="str">
        <f>IF(AND(ISNUMBER(SEARCH("20", O3)), ISERROR(SEARCH("1920", O3))), CHAR(34)&amp;"year00"&amp;CHAR(34)&amp;",", "")</f>
        <v/>
      </c>
      <c r="DQ3" s="6" t="str">
        <f>IF(CC3="y",CHAR(34)&amp;"soviet"&amp;CHAR(34)&amp;",","")</f>
        <v/>
      </c>
      <c r="DR3" s="6" t="str">
        <f>IF(BY3="y",CHAR(34)&amp;"dgband"&amp;CHAR(34)&amp;",","")</f>
        <v/>
      </c>
      <c r="DS3" s="6" t="str">
        <f>IF(W3="y",IF(AND(V3="n",BY3&lt;&gt;"y"),CHAR(34)&amp;"allver"&amp;CHAR(34)&amp;",",""),"")</f>
        <v/>
      </c>
      <c r="DT3" s="6" t="str">
        <f>IF(V3="y",IF(AND(W3="n",BY3&lt;&gt;"y"),CHAR(34)&amp;"allhor"&amp;CHAR(34)&amp;",",""),"")</f>
        <v/>
      </c>
      <c r="DU3" s="6" t="str">
        <f>IF(BY3="y",IF(AND(W3="n",V3="n"),CHAR(34)&amp;"alldia"&amp;CHAR(34)&amp;",",""),"")</f>
        <v/>
      </c>
      <c r="DW3" s="48" t="str">
        <f>IF(CL3="y",CHAR(34)&amp;CL$1&amp;CHAR(34)&amp;",","")</f>
        <v>"NoBand",</v>
      </c>
      <c r="DX3" s="48" t="str">
        <f>IF(CM3="y",CHAR(34)&amp;CM$1&amp;CHAR(34)&amp;",","")</f>
        <v/>
      </c>
      <c r="DY3" s="48" t="str">
        <f>IF(CN3="y",CHAR(34)&amp;CN$1&amp;CHAR(34)&amp;",","")</f>
        <v/>
      </c>
      <c r="DZ3" s="48" t="str">
        <f>IF(CO3="y",CHAR(34)&amp;CO$1&amp;CHAR(34)&amp;",","")</f>
        <v/>
      </c>
      <c r="EA3" s="48" t="str">
        <f>IF(T3="y",CHAR(34)&amp;T$1&amp;CHAR(34)&amp;",","")</f>
        <v/>
      </c>
      <c r="EB3" s="48" t="str">
        <f>IF(U3="y",CHAR(34)&amp;U$1&amp;CHAR(34)&amp;",","")</f>
        <v/>
      </c>
      <c r="EC3" s="48" t="str">
        <f>IF(V3="y",CHAR(34)&amp;V$1&amp;CHAR(34)&amp;",","")</f>
        <v/>
      </c>
      <c r="ED3" s="48" t="str">
        <f>IF(W3="y",CHAR(34)&amp;W$1&amp;CHAR(34)&amp;",","")</f>
        <v/>
      </c>
      <c r="EE3" s="48" t="str">
        <f>IF(X3="y",CHAR(34)&amp;X$1&amp;CHAR(34)&amp;",","")</f>
        <v>"Circle",</v>
      </c>
      <c r="EF3" s="48" t="str">
        <f>IF(AND(Y3&lt;&gt;"n",Y3&lt;&gt;""),CHAR(34)&amp;Y$1&amp;CHAR(34)&amp;",","")</f>
        <v/>
      </c>
      <c r="EG3" s="48" t="str">
        <f>IF(Z3="y",CHAR(34)&amp;Z$1&amp;CHAR(34)&amp;",","")</f>
        <v/>
      </c>
      <c r="EH3" s="48" t="str">
        <f>IF(AA3="y",CHAR(34)&amp;AA$1&amp;CHAR(34)&amp;",","")</f>
        <v/>
      </c>
      <c r="EI3" s="48" t="str">
        <f>IF(AB3="y",CHAR(34)&amp;AB$1&amp;CHAR(34)&amp;",","")</f>
        <v/>
      </c>
      <c r="EJ3" s="48" t="str">
        <f>IF(AC3="y",CHAR(34)&amp;AC$1&amp;CHAR(34)&amp;",","")</f>
        <v/>
      </c>
      <c r="EK3" s="48" t="str">
        <f>IF(AD3="y",CHAR(34)&amp;AD$1&amp;CHAR(34)&amp;",","")</f>
        <v>"HasSun",</v>
      </c>
      <c r="EL3" s="48" t="str">
        <f>IF(AE3="y",CHAR(34)&amp;AE$1&amp;CHAR(34)&amp;",","")</f>
        <v/>
      </c>
      <c r="EM3" s="48" t="str">
        <f>IF(AF3="y",CHAR(34)&amp;AF$1&amp;CHAR(34)&amp;",","")</f>
        <v/>
      </c>
      <c r="EN3" s="48" t="str">
        <f>IF(AG3="y",CHAR(34)&amp;AG$1&amp;CHAR(34)&amp;",","")</f>
        <v/>
      </c>
      <c r="EO3" s="48" t="str">
        <f>IF(AH3="y",CHAR(34)&amp;AH$1&amp;CHAR(34)&amp;",","")</f>
        <v>"Center",</v>
      </c>
      <c r="EP3" s="48" t="str">
        <f>IF(AI3="y",CHAR(34)&amp;AI$1&amp;CHAR(34)&amp;",","")</f>
        <v/>
      </c>
      <c r="EQ3" s="48" t="str">
        <f>IF(AJ3="y",CHAR(34)&amp;AJ$1&amp;CHAR(34)&amp;",","")</f>
        <v/>
      </c>
      <c r="ER3" s="48" t="str">
        <f>IF(AK3="y",CHAR(34)&amp;AK$1&amp;CHAR(34)&amp;",","")</f>
        <v/>
      </c>
      <c r="ES3" s="48" t="str">
        <f>IF(AL3="y",CHAR(34)&amp;AL$1&amp;CHAR(34)&amp;",","")</f>
        <v/>
      </c>
      <c r="ET3" s="48" t="str">
        <f>IF(AM3="y",CHAR(34)&amp;AM$1&amp;CHAR(34)&amp;",","")</f>
        <v>"Geogrh",</v>
      </c>
      <c r="EU3" s="48" t="str">
        <f>IF(AN3="y",CHAR(34)&amp;AN$1&amp;CHAR(34)&amp;",","")</f>
        <v/>
      </c>
      <c r="EV3" s="48" t="str">
        <f>IF(AO3="y",CHAR(34)&amp;AO$1&amp;CHAR(34)&amp;",","")</f>
        <v/>
      </c>
      <c r="EW3" s="48" t="str">
        <f>IF(AP3="y",CHAR(34)&amp;AP$1&amp;CHAR(34)&amp;",","")</f>
        <v/>
      </c>
      <c r="EX3" s="48" t="str">
        <f>IF(AQ3="y",CHAR(34)&amp;AQ$1&amp;CHAR(34)&amp;",","")</f>
        <v/>
      </c>
      <c r="EY3" s="48" t="str">
        <f>IF(AR3="y",CHAR(34)&amp;AR$1&amp;CHAR(34)&amp;",","")</f>
        <v/>
      </c>
      <c r="EZ3" s="48" t="str">
        <f>IF(AS3="y",CHAR(34)&amp;AS$1&amp;CHAR(34)&amp;",","")</f>
        <v/>
      </c>
      <c r="FA3" s="48" t="str">
        <f>IF(AT3&gt;0,CHAR(34)&amp;"sta"&amp;AZ3&amp;CHAR(34)&amp;",","")</f>
        <v/>
      </c>
      <c r="FB3" s="48" t="str">
        <f>IF(AND(AT3&gt;0,BA3&lt;&gt;""),CHAR(34)&amp;"sta"&amp;BA3&amp;CHAR(34)&amp;",","")</f>
        <v/>
      </c>
      <c r="FD3" s="48" t="str">
        <f>IF(BV3="n",CHAR(34)&amp;"tcWHYE"&amp;CHAR(34)&amp;",",IF(BV3="y",CHAR(34)&amp;FD$1&amp;CHAR(34)&amp;",",""))</f>
        <v/>
      </c>
      <c r="FE3" s="48" t="str">
        <f>IF(COUNTIF(BL3:BT3,"BLU")=0,CHAR(34)&amp;"NO_BLU"&amp;CHAR(34)&amp;",", "")</f>
        <v/>
      </c>
      <c r="FF3" s="48" t="str">
        <f>IF(COUNTIF(BL3:BT3,"WHI")=0,CHAR(34)&amp;"NO_WHI"&amp;CHAR(34)&amp;",", "")</f>
        <v/>
      </c>
      <c r="FG3" s="48" t="str">
        <f>IF(COUNTIF(BL3:BT3,"RED")=0,CHAR(34)&amp;"NO_RED"&amp;CHAR(34)&amp;",", "")</f>
        <v>"NO_RED",</v>
      </c>
      <c r="FH3" s="48" t="str">
        <f>IF(COUNTIF(BL3:BS3,"GRE")=0,CHAR(34)&amp;"NO_GRE"&amp;CHAR(34)&amp;",", "")</f>
        <v/>
      </c>
      <c r="FI3" s="48" t="str">
        <f>IF(COUNTIF(BL3:BT3,"YEL")=0,CHAR(34)&amp;"NO_YEL"&amp;CHAR(34)&amp;",", "")</f>
        <v/>
      </c>
      <c r="FJ3" s="48" t="str">
        <f>IF(COUNTIF(BL3:BT3,"BLA")=0,CHAR(34)&amp;"NO_BLA"&amp;CHAR(34)&amp;",", "")</f>
        <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
      </c>
      <c r="FQ3" s="48" t="str">
        <f>IF(LEN(BF3)=3,CHAR(34)&amp;"001"&amp;BF3&amp;CHAR(34)&amp;",","")</f>
        <v/>
      </c>
      <c r="FR3" s="48" t="str">
        <f>IF(LEN(BG3)=3,CHAR(34)&amp;"002"&amp;BG3&amp;CHAR(34)&amp;",","")</f>
        <v/>
      </c>
      <c r="FS3" s="48" t="str">
        <f>IF(LEN(BH3)=3,CHAR(34)&amp;"003"&amp;BH3&amp;CHAR(34)&amp;",","")</f>
        <v/>
      </c>
      <c r="FT3" s="48" t="str">
        <f>CHAR(34)&amp;"myr"&amp;BD3&amp;CHAR(34)&amp;","</f>
        <v>"myrWHI",</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
      </c>
      <c r="GG3" s="48" t="str">
        <f>IF(BU3="y",CHAR(34)&amp;"unjack"&amp;CHAR(34)&amp;",","")</f>
        <v/>
      </c>
      <c r="GH3" s="48" t="str">
        <f>IF(CD3=1,CHAR(34)&amp;"southc"&amp;CHAR(34)&amp;",","")</f>
        <v/>
      </c>
      <c r="GI3" s="48" t="str">
        <f>IF(CE3=1,CHAR(34)&amp;"hasmap"&amp;CHAR(34)&amp;",","")</f>
        <v/>
      </c>
      <c r="GJ3" s="48" t="str">
        <f>IF(CP3="y",CHAR(34)&amp;CP$1&amp;CHAR(34)&amp;",","")</f>
        <v>"NoStar",</v>
      </c>
      <c r="GK3" s="48" t="str">
        <f>IF(GJ3="",CHAR(34)&amp;"HasSta"&amp;CHAR(34)&amp;",","")</f>
        <v/>
      </c>
      <c r="GL3" s="48" t="str">
        <f>IF(CQ3="y",CHAR(34)&amp;CQ$1&amp;CHAR(34)&amp;",","")</f>
        <v/>
      </c>
      <c r="GM3" s="48" t="str">
        <f>IF(CR3="y",CHAR(34)&amp;CR$1&amp;CHAR(34)&amp;",","")</f>
        <v/>
      </c>
      <c r="GN3" s="48" t="str">
        <f>IF(CS3="y",CHAR(34)&amp;CS$1&amp;CHAR(34)&amp;",","")</f>
        <v/>
      </c>
      <c r="GP3" s="48" t="str">
        <f>CHAR(34)&amp;AU3&amp;CHAR(34)</f>
        <v>"State"</v>
      </c>
      <c r="GS3" s="48" t="str">
        <f>SUBSTITUTE("["&amp;_xlfn.CONCAT(CW3:GN3)&amp;"]",",]","]")</f>
        <v>["5+Colo","words2","lets12","startK","NoBand","Circle","HasSun","Center","Geogrh","NO_RED","myrWHI","NoStar"]</v>
      </c>
      <c r="GT3" s="48" t="str">
        <f>IF(BL3&lt;&gt;"",CHAR(34)&amp;"cl_"&amp;BL3&amp;CHAR(34)&amp;",","")</f>
        <v>"cl_WHI",</v>
      </c>
      <c r="GU3" s="48" t="str">
        <f>IF(BM3&lt;&gt;"",CHAR(34)&amp;"cl_"&amp;BM3&amp;CHAR(34)&amp;",","")</f>
        <v>"cl_YEL",</v>
      </c>
      <c r="GV3" s="48" t="str">
        <f>IF(BN3&lt;&gt;"",CHAR(34)&amp;"cl_"&amp;BN3&amp;CHAR(34)&amp;",","")</f>
        <v>"cl_GRE",</v>
      </c>
      <c r="GW3" s="48" t="str">
        <f>IF(BO3&lt;&gt;"",CHAR(34)&amp;"cl_"&amp;BO3&amp;CHAR(34)&amp;",","")</f>
        <v>"cl_BLU",</v>
      </c>
      <c r="GX3" s="48" t="str">
        <f>IF(BP3&lt;&gt;"",CHAR(34)&amp;"cl_"&amp;BP3&amp;CHAR(34)&amp;",","")</f>
        <v>"cl_BLA",</v>
      </c>
      <c r="GY3" s="48" t="str">
        <f>IF(BQ3&lt;&gt;"",CHAR(34)&amp;"cl_"&amp;BQ3&amp;CHAR(34)&amp;",","")</f>
        <v/>
      </c>
      <c r="GZ3" s="48" t="str">
        <f>IF(BR3&lt;&gt;"",CHAR(34)&amp;"cl_"&amp;BR3&amp;CHAR(34)&amp;",","")</f>
        <v/>
      </c>
      <c r="HA3" s="48" t="str">
        <f>IF(BS3&lt;&gt;"",CHAR(34)&amp;"cl_"&amp;BS3&amp;CHAR(34)&amp;",","")</f>
        <v/>
      </c>
      <c r="HB3" s="48" t="str">
        <f>IF(BT3&lt;&gt;"",CHAR(34)&amp;"cl_"&amp;BT3&amp;CHAR(34)&amp;",","")</f>
        <v/>
      </c>
      <c r="HC3" s="48" t="str">
        <f>SUBSTITUTE("["&amp;_xlfn.CONCAT(GT3:HB3)&amp;"]",",]","]")</f>
        <v>["cl_WHI","cl_YEL","cl_GRE","cl_BLU","cl_BLA"]</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{couname:"[SDN] Kassala State",year:"???",region:"rgn_Africa",Colors:["cl_WHI","cl_YEL","cl_GRE","cl_BLU","cl_BLA"],Items:["5+Colo","words2","lets12","startK","NoBand","Circle","HasSun","Center","Geogrh","NO_RED","myrWHI","NoStar"],Flag:"https://upload.wikimedia.org/wikipedia/commons/thumb/1/12/Flag_of_Kassala_Wilayyah.svg/640px-Flag_of_Kassala_Wilayyah.svg.png",HDFlag:"https://upload.wikimedia.org/wikipedia/commons/thumb/1/12/Flag_of_Kassala_Wilayyah.svg/2560px-Flag_of_Kassala_Wilayyah.svg.png",type:"State", describe: "\nThe sub-national flags usually consist of the state's emblem displayed on a white or coloured background", isnew:"www", links: "https://en.wikipedia.org/wiki/Kassala_State"},</v>
      </c>
      <c r="HG3" s="73" t="str">
        <f>"{couname:"&amp;CT3&amp;(IF(HK3&lt;&gt;"",",subtype:"&amp;CHAR(34)&amp;HK3&amp;CHAR(34),""))&amp;",year:"&amp;HJ3&amp;",region:"&amp;CU3&amp;",Colors:"&amp;HC3&amp;",Items:"&amp;GS3&amp;",Flag:"&amp;CV3&amp;",HDFlag:"&amp;CHAR(34)&amp;E3&amp;CHAR(34)&amp;",type:"&amp;GP3&amp;", describe: "&amp;HI3&amp;", links: "&amp;HL3&amp;"},"</f>
        <v>{couname:"[SDN] Kassala State",year:"???",region:"rgn_Africa",Colors:["cl_WHI","cl_YEL","cl_GRE","cl_BLU","cl_BLA"],Items:["5+Colo","words2","lets12","startK","NoBand","Circle","HasSun","Center","Geogrh","NO_RED","myrWHI","NoStar"],Flag:"https://upload.wikimedia.org/wikipedia/commons/thumb/1/12/Flag_of_Kassala_Wilayyah.svg/640px-Flag_of_Kassala_Wilayyah.svg.png",HDFlag:"https://upload.wikimedia.org/wikipedia/commons/thumb/1/12/Flag_of_Kassala_Wilayyah.svg/2560px-Flag_of_Kassala_Wilayyah.svg.png",type:"State", describe: "\nThe sub-national flags usually consist of the state's emblem displayed on a white or coloured background", links: "https://en.wikipedia.org/wiki/Kassala_State"},</v>
      </c>
      <c r="HH3" s="48" t="str">
        <f>IF(P3&lt;&gt;"",CHAR(34)&amp;"\n"&amp;P3&amp;CHAR(34),CHAR(34)&amp;CHAR(34))</f>
        <v>"\nThe sub-national flags usually consist of the state's emblem displayed on a white or coloured background"</v>
      </c>
      <c r="HI3" s="48" t="str">
        <f>IF(J3=0,CHAR(34)&amp;CHAR(34),HH3)</f>
        <v>"\nThe sub-national flags usually consist of the state's emblem displayed on a white or coloured background"</v>
      </c>
      <c r="HJ3" s="48" t="str">
        <f>CHAR(34)&amp;O3&amp;CHAR(34)</f>
        <v>"???"</v>
      </c>
      <c r="HL3" s="48" t="str">
        <f>CHAR(34)&amp;I3&amp;CHAR(34)</f>
        <v>"https://en.wikipedia.org/wiki/Kassala_State"</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{"couname":"[SDN] Kassala State","year":"???","region":"rgn_Africa","Colors":["cl_WHI","cl_YEL","cl_GRE","cl_BLU","cl_BLA"],"Items":["5+Colo","words2","lets12","startK","NoBand","Circle","HasSun","Center","Geogrh","NO_RED","myrWHI","NoStar"],"Flag":"https://upload.wikimedia.org/wikipedia/commons/thumb/1/12/Flag_of_Kassala_Wilayyah.svg/640px-Flag_of_Kassala_Wilayyah.svg.png","HDFlag":"https://upload.wikimedia.org/wikipedia/commons/thumb/1/12/Flag_of_Kassala_Wilayyah.svg/2560px-Flag_of_Kassala_Wilayyah.svg.png","type":"State", "describe": "\nThe sub-national flags usually consist of the state's emblem displayed on a white or coloured background", "isnew": "www", "links": "https://en.wikipedia.org/wiki/Kassala_State"},</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{"couname":"[SDN] Kassala State","year":"???","region":"rgn_Africa","Colors":["cl_WHI","cl_YEL","cl_GRE","cl_BLU","cl_BLA"],"Items":["5+Colo","words2","lets12","startK","NoBand","Circle","HasSun","Center","Geogrh","NO_RED","myrWHI","NoStar"],"Flag":"https://upload.wikimedia.org/wikipedia/commons/thumb/1/12/Flag_of_Kassala_Wilayyah.svg/640px-Flag_of_Kassala_Wilayyah.svg.png","HDFlag":"https://upload.wikimedia.org/wikipedia/commons/thumb/1/12/Flag_of_Kassala_Wilayyah.svg/2560px-Flag_of_Kassala_Wilayyah.svg.png","type":"State", "describe": "\nThe sub-national flags usually consist of the state's emblem displayed on a white or coloured background", "isnew": "www", "links": "https://en.wikipedia.org/wiki/Kassala_State"},</v>
      </c>
      <c r="HO3" s="75">
        <v>45653</v>
      </c>
      <c r="HP3" s="48" t="str" cm="1">
        <f t="array" ref="HP3">IF(_xlfn.TEXTJOIN(", ", TRUE, IF(ISNUMBER(SEARCH("BLA", BL3:BT3)), COLUMN(BL3:BT3) - COLUMN(BL3) + 1, ""))&lt;&gt;"","BLA","")</f>
        <v>BLA</v>
      </c>
      <c r="HQ3" s="48" t="str" cm="1">
        <f t="array" ref="HQ3">IF(_xlfn.TEXTJOIN(", ", TRUE, IF(ISNUMBER(SEARCH("BLU", BL3:BT3)), COLUMN(BL3:BT3) - COLUMN(BL3) + 1, ""))&lt;&gt;"","BLU","")</f>
        <v>BLU</v>
      </c>
      <c r="HR3" s="48" t="str" cm="1">
        <f t="array" ref="HR3">IF(_xlfn.TEXTJOIN(", ", TRUE, IF(ISNUMBER(SEARCH("GRE", BL3:BT3)), COLUMN(BL3:BT3) - COLUMN(BL3) + 1, ""))&lt;&gt;"","GRE","")</f>
        <v>GRE</v>
      </c>
      <c r="HS3" s="48" t="str" cm="1">
        <f t="array" ref="HS3">IF(_xlfn.TEXTJOIN(", ", TRUE, IF(ISNUMBER(SEARCH("RED", BL3:BT3)), COLUMN(BL3:BT3) - COLUMN(BL3) + 1, ""))&lt;&gt;"","RED","")</f>
        <v/>
      </c>
      <c r="HT3" s="48" t="str" cm="1">
        <f t="array" ref="HT3">IF(_xlfn.TEXTJOIN(", ", TRUE, IF(ISNUMBER(SEARCH("YEL", BL3:BT3)), COLUMN(BL3:BT3) - COLUMN(BL3) + 1, ""))&lt;&gt;"","YEL","")</f>
        <v>YEL</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M3" s="45">
        <f>COUNTIF(IC3:IK3,"&gt;0")-CG3</f>
        <v>-5</v>
      </c>
      <c r="IN3" s="78" t="str">
        <f>"http://mkweb.bcgsc.ca/color-summarizer/?url="&amp;D3&amp;"&amp;precision=low&amp;num_clusters="&amp;CG3&amp;"&amp;text=1"</f>
        <v>http://mkweb.bcgsc.ca/color-summarizer/?url=https://upload.wikimedia.org/wikipedia/commons/thumb/1/12/Flag_of_Kassala_Wilayyah.svg/640px-Flag_of_Kassala_Wilayyah.svg.png&amp;precision=low&amp;num_clusters=5&amp;text=1</v>
      </c>
      <c r="IO3" s="48" t="str">
        <f>IF(HP3&lt;&gt;"",CHAR(34)&amp;"black"&amp;CHAR(34),"")</f>
        <v>"black"</v>
      </c>
      <c r="IP3" s="48" t="str">
        <f>IF(HQ3&lt;&gt;"",CHAR(34)&amp;"blue"&amp;CHAR(34),"")</f>
        <v>"blue"</v>
      </c>
      <c r="IQ3" s="48" t="str">
        <f>IF(HR3&lt;&gt;"",CHAR(34)&amp;"green"&amp;CHAR(34),"")</f>
        <v>"green"</v>
      </c>
      <c r="IR3" s="48" t="str">
        <f>IF(HS3&lt;&gt;"",CHAR(34)&amp;"red"&amp;CHAR(34),"")</f>
        <v/>
      </c>
      <c r="IS3" s="48" t="str">
        <f>IF(HT3&lt;&gt;"",CHAR(34)&amp;"yellow"&amp;CHAR(34),"")</f>
        <v>"yellow"</v>
      </c>
      <c r="IT3" s="48" t="str">
        <f>IF(HU3&lt;&gt;"",CHAR(34)&amp;"orange"&amp;CHAR(34),"")</f>
        <v/>
      </c>
      <c r="IU3" s="48" t="str">
        <f>IF(HV3&lt;&gt;"",CHAR(34)&amp;"brown"&amp;CHAR(34),"")</f>
        <v/>
      </c>
      <c r="IV3" s="48" t="str">
        <f>IF(HW3&lt;&gt;"",CHAR(34)&amp;"purple"&amp;CHAR(34),"")</f>
        <v/>
      </c>
      <c r="IW3" s="48" t="str">
        <f>IF(HX3&lt;&gt;"",CHAR(34)&amp;"white"&amp;CHAR(34),"")</f>
        <v>"white"</v>
      </c>
      <c r="IX3" s="48" t="str">
        <f>"{"&amp;CHAR(34)&amp;"url"&amp;CHAR(34)&amp;":"&amp;CHAR(34)&amp;IN3&amp;CHAR(34)&amp;","&amp;CHAR(34)&amp;"name"&amp;CHAR(34)&amp;":"&amp;CHAR(34)&amp;A3&amp;CHAR(34)&amp;"},"</f>
        <v>{"url":"http://mkweb.bcgsc.ca/color-summarizer/?url=https://upload.wikimedia.org/wikipedia/commons/thumb/1/12/Flag_of_Kassala_Wilayyah.svg/640px-Flag_of_Kassala_Wilayyah.svg.png&amp;precision=low&amp;num_clusters=5&amp;text=1","name":"[SDN] Kassala State"},</v>
      </c>
      <c r="IY3" s="48">
        <v>1503</v>
      </c>
    </row>
    <row r="4" spans="1:259" ht="38.4" customHeight="1" x14ac:dyDescent="0.3">
      <c r="F4" s="82"/>
      <c r="G4" s="82"/>
      <c r="H4" s="82"/>
      <c r="I4" s="82"/>
      <c r="J4" s="82"/>
      <c r="K4" s="82"/>
    </row>
    <row r="5" spans="1:259" ht="38.4" customHeight="1" x14ac:dyDescent="0.3">
      <c r="F5" s="82"/>
      <c r="K5" s="81"/>
      <c r="L5" s="81"/>
      <c r="M5" s="81"/>
      <c r="N5" s="81"/>
      <c r="O5" s="81"/>
    </row>
    <row r="6" spans="1:259" ht="38.4" customHeight="1" x14ac:dyDescent="0.3">
      <c r="F6" s="82"/>
      <c r="K6" s="81"/>
      <c r="L6" s="81"/>
      <c r="M6" s="81"/>
      <c r="N6" s="81"/>
      <c r="O6" s="81"/>
    </row>
    <row r="7" spans="1:259" ht="38.4" customHeight="1" x14ac:dyDescent="0.3">
      <c r="K7" s="81"/>
      <c r="L7" s="81"/>
      <c r="M7" s="81"/>
      <c r="N7" s="81"/>
      <c r="O7" s="81"/>
    </row>
    <row r="8" spans="1:259" ht="38.4" customHeight="1" x14ac:dyDescent="0.3">
      <c r="K8" s="81"/>
      <c r="L8" s="81"/>
      <c r="M8" s="81"/>
      <c r="N8" s="81"/>
      <c r="O8" s="81"/>
    </row>
    <row r="9" spans="1:259" ht="38.4" customHeight="1" x14ac:dyDescent="0.3">
      <c r="K9" s="81"/>
      <c r="L9" s="81"/>
      <c r="M9" s="81"/>
      <c r="N9" s="81"/>
      <c r="O9" s="81"/>
    </row>
    <row r="10" spans="1:259" ht="38.4" customHeight="1" x14ac:dyDescent="0.3">
      <c r="K10" s="81"/>
      <c r="L10" s="81"/>
      <c r="M10" s="81"/>
      <c r="N10" s="81"/>
      <c r="O10" s="81"/>
    </row>
  </sheetData>
  <autoFilter ref="A1:IY1" xr:uid="{A1051193-A95B-4CFB-A73C-F0184620C81F}">
    <sortState xmlns:xlrd2="http://schemas.microsoft.com/office/spreadsheetml/2017/richdata2" ref="A2:IY5">
      <sortCondition ref="AW1"/>
    </sortState>
  </autoFilter>
  <conditionalFormatting sqref="H1 CW1:GS1 IA1:IB1">
    <cfRule type="cellIs" dxfId="1400" priority="118" operator="greaterThan">
      <formula>0</formula>
    </cfRule>
  </conditionalFormatting>
  <conditionalFormatting sqref="H1 H7:H1048576 G5:O10">
    <cfRule type="cellIs" dxfId="1399" priority="84" stopIfTrue="1" operator="notEqual">
      <formula>""</formula>
    </cfRule>
  </conditionalFormatting>
  <conditionalFormatting sqref="T1:BK1">
    <cfRule type="cellIs" dxfId="1398" priority="121" operator="greaterThan">
      <formula>0</formula>
    </cfRule>
  </conditionalFormatting>
  <conditionalFormatting sqref="BV1:BW1 BV4:BW1048576">
    <cfRule type="cellIs" dxfId="1397" priority="120" operator="equal">
      <formula>"nc"</formula>
    </cfRule>
  </conditionalFormatting>
  <conditionalFormatting sqref="HF1:HG1">
    <cfRule type="cellIs" dxfId="1396" priority="122" operator="greaterThan">
      <formula>0</formula>
    </cfRule>
  </conditionalFormatting>
  <conditionalFormatting sqref="HK1">
    <cfRule type="cellIs" dxfId="1395" priority="119" operator="greaterThan">
      <formula>0</formula>
    </cfRule>
  </conditionalFormatting>
  <conditionalFormatting sqref="HP1:HX1">
    <cfRule type="cellIs" dxfId="1394" priority="96" operator="equal">
      <formula>"PIN"</formula>
    </cfRule>
    <cfRule type="cellIs" dxfId="1393" priority="97" operator="equal">
      <formula>"ORA"</formula>
    </cfRule>
    <cfRule type="cellIs" dxfId="1392" priority="98" operator="equal">
      <formula>"GRA"</formula>
    </cfRule>
    <cfRule type="cellIs" dxfId="1391" priority="99" operator="equal">
      <formula>"PUR"</formula>
    </cfRule>
    <cfRule type="cellIs" dxfId="1390" priority="100" operator="equal">
      <formula>"BRO"</formula>
    </cfRule>
    <cfRule type="cellIs" dxfId="1389" priority="101" operator="equal">
      <formula>"YEL"</formula>
    </cfRule>
    <cfRule type="cellIs" dxfId="1388" priority="102" operator="equal">
      <formula>"BLU"</formula>
    </cfRule>
    <cfRule type="cellIs" dxfId="1387" priority="103" operator="equal">
      <formula>"WHI"</formula>
    </cfRule>
    <cfRule type="cellIs" dxfId="1386" priority="104" operator="equal">
      <formula>"GRE"</formula>
    </cfRule>
    <cfRule type="cellIs" dxfId="1385" priority="105" operator="equal">
      <formula>"RED"</formula>
    </cfRule>
    <cfRule type="cellIs" dxfId="1384" priority="106" operator="equal">
      <formula>"BLA"</formula>
    </cfRule>
  </conditionalFormatting>
  <conditionalFormatting sqref="IC1:IK1">
    <cfRule type="cellIs" dxfId="1383" priority="107" operator="equal">
      <formula>"PIN"</formula>
    </cfRule>
    <cfRule type="cellIs" dxfId="1382" priority="108" operator="equal">
      <formula>"ORA"</formula>
    </cfRule>
    <cfRule type="cellIs" dxfId="1381" priority="109" operator="equal">
      <formula>"GRA"</formula>
    </cfRule>
    <cfRule type="cellIs" dxfId="1380" priority="110" operator="equal">
      <formula>"PUR"</formula>
    </cfRule>
    <cfRule type="cellIs" dxfId="1379" priority="111" operator="equal">
      <formula>"BRO"</formula>
    </cfRule>
    <cfRule type="cellIs" dxfId="1378" priority="112" operator="equal">
      <formula>"YEL"</formula>
    </cfRule>
    <cfRule type="cellIs" dxfId="1377" priority="113" operator="equal">
      <formula>"BLU"</formula>
    </cfRule>
    <cfRule type="cellIs" dxfId="1376" priority="114" operator="equal">
      <formula>"WHI"</formula>
    </cfRule>
    <cfRule type="cellIs" dxfId="1375" priority="115" operator="equal">
      <formula>"GRE"</formula>
    </cfRule>
    <cfRule type="cellIs" dxfId="1374" priority="116" operator="equal">
      <formula>"RED"</formula>
    </cfRule>
    <cfRule type="cellIs" dxfId="1373" priority="117" operator="equal">
      <formula>"BLA"</formula>
    </cfRule>
  </conditionalFormatting>
  <conditionalFormatting sqref="IO1:IW1">
    <cfRule type="cellIs" dxfId="1372" priority="85" operator="equal">
      <formula>"PIN"</formula>
    </cfRule>
    <cfRule type="cellIs" dxfId="1371" priority="86" operator="equal">
      <formula>"ORA"</formula>
    </cfRule>
    <cfRule type="cellIs" dxfId="1370" priority="87" operator="equal">
      <formula>"GRA"</formula>
    </cfRule>
    <cfRule type="cellIs" dxfId="1369" priority="88" operator="equal">
      <formula>"PUR"</formula>
    </cfRule>
    <cfRule type="cellIs" dxfId="1368" priority="89" operator="equal">
      <formula>"BRO"</formula>
    </cfRule>
    <cfRule type="cellIs" dxfId="1367" priority="90" operator="equal">
      <formula>"YEL"</formula>
    </cfRule>
    <cfRule type="cellIs" dxfId="1366" priority="91" operator="equal">
      <formula>"BLU"</formula>
    </cfRule>
    <cfRule type="cellIs" dxfId="1365" priority="92" operator="equal">
      <formula>"WHI"</formula>
    </cfRule>
    <cfRule type="cellIs" dxfId="1364" priority="93" operator="equal">
      <formula>"GRE"</formula>
    </cfRule>
    <cfRule type="cellIs" dxfId="1363" priority="94" operator="equal">
      <formula>"RED"</formula>
    </cfRule>
    <cfRule type="cellIs" dxfId="1362" priority="95" operator="equal">
      <formula>"BLA"</formula>
    </cfRule>
  </conditionalFormatting>
  <conditionalFormatting sqref="H3">
    <cfRule type="cellIs" dxfId="1361" priority="76" stopIfTrue="1" operator="notEqual">
      <formula>""</formula>
    </cfRule>
  </conditionalFormatting>
  <conditionalFormatting sqref="R3 CU3">
    <cfRule type="cellIs" dxfId="1360" priority="79" operator="greaterThan">
      <formula>0</formula>
    </cfRule>
  </conditionalFormatting>
  <conditionalFormatting sqref="T3:AS3 CH3:CS3">
    <cfRule type="cellIs" dxfId="1359" priority="73" stopIfTrue="1" operator="equal">
      <formula>"n"</formula>
    </cfRule>
    <cfRule type="cellIs" dxfId="1358" priority="74" stopIfTrue="1" operator="equal">
      <formula>"y"</formula>
    </cfRule>
    <cfRule type="cellIs" dxfId="1357" priority="75" operator="greaterThan">
      <formula>0</formula>
    </cfRule>
  </conditionalFormatting>
  <conditionalFormatting sqref="AZ3:BB3">
    <cfRule type="expression" dxfId="1356" priority="60">
      <formula>$AT3=0</formula>
    </cfRule>
  </conditionalFormatting>
  <conditionalFormatting sqref="CD3:CF3 BX3:CA3 AZ3:BU3">
    <cfRule type="cellIs" dxfId="1355" priority="61" operator="equal">
      <formula>"PIN"</formula>
    </cfRule>
    <cfRule type="cellIs" dxfId="1354" priority="62" operator="equal">
      <formula>"ORA"</formula>
    </cfRule>
    <cfRule type="cellIs" dxfId="1353" priority="63" operator="equal">
      <formula>"GRA"</formula>
    </cfRule>
    <cfRule type="cellIs" dxfId="1352" priority="64" operator="equal">
      <formula>"PUR"</formula>
    </cfRule>
    <cfRule type="cellIs" dxfId="1351" priority="65" operator="equal">
      <formula>"BRO"</formula>
    </cfRule>
    <cfRule type="cellIs" dxfId="1350" priority="66" operator="equal">
      <formula>"YEL"</formula>
    </cfRule>
    <cfRule type="cellIs" dxfId="1349" priority="67" operator="equal">
      <formula>"BLU"</formula>
    </cfRule>
    <cfRule type="cellIs" dxfId="1348" priority="68" operator="equal">
      <formula>"WHI"</formula>
    </cfRule>
    <cfRule type="cellIs" dxfId="1347" priority="69" operator="equal">
      <formula>"GRE"</formula>
    </cfRule>
    <cfRule type="cellIs" dxfId="1346" priority="70" operator="equal">
      <formula>"RED"</formula>
    </cfRule>
    <cfRule type="cellIs" dxfId="1345" priority="71" operator="equal">
      <formula>"BLA"</formula>
    </cfRule>
  </conditionalFormatting>
  <conditionalFormatting sqref="BV3">
    <cfRule type="cellIs" dxfId="1344" priority="78" operator="equal">
      <formula>"nc"</formula>
    </cfRule>
  </conditionalFormatting>
  <conditionalFormatting sqref="CD3:CF3 BX3:CA3">
    <cfRule type="cellIs" dxfId="1343" priority="77" operator="equal">
      <formula>"y"</formula>
    </cfRule>
  </conditionalFormatting>
  <conditionalFormatting sqref="CD3:CF3 BZ3:CA3">
    <cfRule type="cellIs" dxfId="1342" priority="72" operator="greaterThan">
      <formula>0</formula>
    </cfRule>
  </conditionalFormatting>
  <conditionalFormatting sqref="IC3:IK3">
    <cfRule type="expression" dxfId="1341" priority="59">
      <formula>$IL3&gt;0</formula>
    </cfRule>
  </conditionalFormatting>
  <conditionalFormatting sqref="IC3">
    <cfRule type="cellIs" dxfId="1340" priority="53" stopIfTrue="1" operator="greaterThan">
      <formula>0</formula>
    </cfRule>
  </conditionalFormatting>
  <conditionalFormatting sqref="ID3">
    <cfRule type="cellIs" dxfId="1339" priority="51" stopIfTrue="1" operator="greaterThan">
      <formula>0</formula>
    </cfRule>
  </conditionalFormatting>
  <conditionalFormatting sqref="II3 IE3:IF3">
    <cfRule type="cellIs" dxfId="1338" priority="58" operator="greaterThan">
      <formula>0</formula>
    </cfRule>
  </conditionalFormatting>
  <conditionalFormatting sqref="II3 IF3">
    <cfRule type="cellIs" dxfId="1337" priority="52" stopIfTrue="1" operator="greaterThan">
      <formula>0</formula>
    </cfRule>
  </conditionalFormatting>
  <conditionalFormatting sqref="IG3">
    <cfRule type="cellIs" dxfId="1336" priority="57" operator="greaterThan">
      <formula>0</formula>
    </cfRule>
  </conditionalFormatting>
  <conditionalFormatting sqref="IH3:II3">
    <cfRule type="cellIs" dxfId="1335" priority="56" operator="greaterThan">
      <formula>0</formula>
    </cfRule>
  </conditionalFormatting>
  <conditionalFormatting sqref="IJ3">
    <cfRule type="cellIs" dxfId="1334" priority="55" operator="greaterThan">
      <formula>0</formula>
    </cfRule>
  </conditionalFormatting>
  <conditionalFormatting sqref="IK3">
    <cfRule type="cellIs" dxfId="1333" priority="54" operator="greaterThan">
      <formula>0</formula>
    </cfRule>
  </conditionalFormatting>
  <conditionalFormatting sqref="IF3">
    <cfRule type="cellIs" dxfId="1332" priority="50" stopIfTrue="1" operator="greaterThan">
      <formula>0</formula>
    </cfRule>
  </conditionalFormatting>
  <conditionalFormatting sqref="IM3">
    <cfRule type="cellIs" dxfId="1331" priority="49" operator="equal">
      <formula>0</formula>
    </cfRule>
  </conditionalFormatting>
  <conditionalFormatting sqref="BX3:CA3 CD3:CF3">
    <cfRule type="cellIs" dxfId="1330" priority="37" operator="equal">
      <formula>"y"</formula>
    </cfRule>
    <cfRule type="cellIs" dxfId="1329" priority="38" operator="equal">
      <formula>"PIN"</formula>
    </cfRule>
    <cfRule type="cellIs" dxfId="1328" priority="39" operator="equal">
      <formula>"ORA"</formula>
    </cfRule>
    <cfRule type="cellIs" dxfId="1327" priority="40" operator="equal">
      <formula>"GRA"</formula>
    </cfRule>
    <cfRule type="cellIs" dxfId="1326" priority="41" operator="equal">
      <formula>"PUR"</formula>
    </cfRule>
    <cfRule type="cellIs" dxfId="1325" priority="42" operator="equal">
      <formula>"BRO"</formula>
    </cfRule>
    <cfRule type="cellIs" dxfId="1324" priority="43" operator="equal">
      <formula>"YEL"</formula>
    </cfRule>
    <cfRule type="cellIs" dxfId="1323" priority="44" operator="equal">
      <formula>"BLU"</formula>
    </cfRule>
    <cfRule type="cellIs" dxfId="1322" priority="45" operator="equal">
      <formula>"WHI"</formula>
    </cfRule>
    <cfRule type="cellIs" dxfId="1321" priority="46" operator="equal">
      <formula>"GRE"</formula>
    </cfRule>
    <cfRule type="cellIs" dxfId="1320" priority="47" operator="equal">
      <formula>"RED"</formula>
    </cfRule>
    <cfRule type="cellIs" dxfId="1319" priority="48" operator="equal">
      <formula>"BLA"</formula>
    </cfRule>
  </conditionalFormatting>
  <conditionalFormatting sqref="AT3">
    <cfRule type="colorScale" priority="80">
      <colorScale>
        <cfvo type="min"/>
        <cfvo type="max"/>
        <color rgb="FFFCFCFF"/>
        <color theme="8" tint="0.39997558519241921"/>
      </colorScale>
    </cfRule>
  </conditionalFormatting>
  <conditionalFormatting sqref="S3">
    <cfRule type="colorScale" priority="81">
      <colorScale>
        <cfvo type="min"/>
        <cfvo type="max"/>
        <color rgb="FFFCFCFF"/>
        <color rgb="FF754BFB"/>
      </colorScale>
    </cfRule>
  </conditionalFormatting>
  <conditionalFormatting sqref="J3">
    <cfRule type="colorScale" priority="82">
      <colorScale>
        <cfvo type="min"/>
        <cfvo type="percentile" val="50"/>
        <cfvo type="max"/>
        <color rgb="FFF8696B"/>
        <color rgb="FFFFEB84"/>
        <color rgb="FF63BE7B"/>
      </colorScale>
    </cfRule>
  </conditionalFormatting>
  <conditionalFormatting sqref="CG3">
    <cfRule type="colorScale" priority="83">
      <colorScale>
        <cfvo type="min"/>
        <cfvo type="max"/>
        <color rgb="FFFCFCFF"/>
        <color rgb="FF63BE7B"/>
      </colorScale>
    </cfRule>
  </conditionalFormatting>
  <conditionalFormatting sqref="H2">
    <cfRule type="cellIs" dxfId="1318" priority="30" stopIfTrue="1" operator="notEqual">
      <formula>""</formula>
    </cfRule>
  </conditionalFormatting>
  <conditionalFormatting sqref="R2 CU2">
    <cfRule type="cellIs" dxfId="1317" priority="32" operator="greaterThan">
      <formula>0</formula>
    </cfRule>
  </conditionalFormatting>
  <conditionalFormatting sqref="T2:AS2 CH2:CS2">
    <cfRule type="cellIs" dxfId="1316" priority="27" stopIfTrue="1" operator="equal">
      <formula>"n"</formula>
    </cfRule>
    <cfRule type="cellIs" dxfId="1315" priority="28" stopIfTrue="1" operator="equal">
      <formula>"y"</formula>
    </cfRule>
    <cfRule type="cellIs" dxfId="1314" priority="29" operator="greaterThan">
      <formula>0</formula>
    </cfRule>
  </conditionalFormatting>
  <conditionalFormatting sqref="AZ2:BB2">
    <cfRule type="expression" dxfId="1313" priority="14">
      <formula>$AT2=0</formula>
    </cfRule>
  </conditionalFormatting>
  <conditionalFormatting sqref="AZ2:BU2">
    <cfRule type="cellIs" dxfId="1312" priority="15" operator="equal">
      <formula>"PIN"</formula>
    </cfRule>
    <cfRule type="cellIs" dxfId="1311" priority="16" operator="equal">
      <formula>"ORA"</formula>
    </cfRule>
    <cfRule type="cellIs" dxfId="1310" priority="17" operator="equal">
      <formula>"GRA"</formula>
    </cfRule>
    <cfRule type="cellIs" dxfId="1309" priority="18" operator="equal">
      <formula>"PUR"</formula>
    </cfRule>
    <cfRule type="cellIs" dxfId="1308" priority="19" operator="equal">
      <formula>"BRO"</formula>
    </cfRule>
    <cfRule type="cellIs" dxfId="1307" priority="20" operator="equal">
      <formula>"YEL"</formula>
    </cfRule>
    <cfRule type="cellIs" dxfId="1306" priority="21" operator="equal">
      <formula>"BLU"</formula>
    </cfRule>
    <cfRule type="cellIs" dxfId="1305" priority="22" operator="equal">
      <formula>"WHI"</formula>
    </cfRule>
    <cfRule type="cellIs" dxfId="1304" priority="23" operator="equal">
      <formula>"GRE"</formula>
    </cfRule>
    <cfRule type="cellIs" dxfId="1303" priority="24" operator="equal">
      <formula>"RED"</formula>
    </cfRule>
    <cfRule type="cellIs" dxfId="1302" priority="25" operator="equal">
      <formula>"BLA"</formula>
    </cfRule>
  </conditionalFormatting>
  <conditionalFormatting sqref="BV2">
    <cfRule type="cellIs" dxfId="1301" priority="31" operator="equal">
      <formula>"nc"</formula>
    </cfRule>
  </conditionalFormatting>
  <conditionalFormatting sqref="CD2:CF2 BZ2:CA2">
    <cfRule type="cellIs" dxfId="1300" priority="26" operator="greaterThan">
      <formula>0</formula>
    </cfRule>
  </conditionalFormatting>
  <conditionalFormatting sqref="IC2:IK2">
    <cfRule type="expression" dxfId="1299" priority="13">
      <formula>$IL2&gt;0</formula>
    </cfRule>
  </conditionalFormatting>
  <conditionalFormatting sqref="BX2:CA2 CD2:CF2">
    <cfRule type="cellIs" dxfId="1298" priority="1" operator="equal">
      <formula>"y"</formula>
    </cfRule>
    <cfRule type="cellIs" dxfId="1297" priority="2" operator="equal">
      <formula>"PIN"</formula>
    </cfRule>
    <cfRule type="cellIs" dxfId="1296" priority="3" operator="equal">
      <formula>"ORA"</formula>
    </cfRule>
    <cfRule type="cellIs" dxfId="1295" priority="4" operator="equal">
      <formula>"GRA"</formula>
    </cfRule>
    <cfRule type="cellIs" dxfId="1294" priority="5" operator="equal">
      <formula>"PUR"</formula>
    </cfRule>
    <cfRule type="cellIs" dxfId="1293" priority="6" operator="equal">
      <formula>"BRO"</formula>
    </cfRule>
    <cfRule type="cellIs" dxfId="1292" priority="7" operator="equal">
      <formula>"YEL"</formula>
    </cfRule>
    <cfRule type="cellIs" dxfId="1291" priority="8" operator="equal">
      <formula>"BLU"</formula>
    </cfRule>
    <cfRule type="cellIs" dxfId="1290" priority="9" operator="equal">
      <formula>"WHI"</formula>
    </cfRule>
    <cfRule type="cellIs" dxfId="1289" priority="10" operator="equal">
      <formula>"GRE"</formula>
    </cfRule>
    <cfRule type="cellIs" dxfId="1288" priority="11" operator="equal">
      <formula>"RED"</formula>
    </cfRule>
    <cfRule type="cellIs" dxfId="1287" priority="12" operator="equal">
      <formula>"BLA"</formula>
    </cfRule>
  </conditionalFormatting>
  <conditionalFormatting sqref="J2">
    <cfRule type="colorScale" priority="33">
      <colorScale>
        <cfvo type="min"/>
        <cfvo type="percentile" val="50"/>
        <cfvo type="max"/>
        <color rgb="FFF8696B"/>
        <color rgb="FFFFEB84"/>
        <color rgb="FF63BE7B"/>
      </colorScale>
    </cfRule>
  </conditionalFormatting>
  <conditionalFormatting sqref="S2">
    <cfRule type="colorScale" priority="34">
      <colorScale>
        <cfvo type="min"/>
        <cfvo type="max"/>
        <color rgb="FFFCFCFF"/>
        <color rgb="FF754BFB"/>
      </colorScale>
    </cfRule>
  </conditionalFormatting>
  <conditionalFormatting sqref="AT2">
    <cfRule type="colorScale" priority="35">
      <colorScale>
        <cfvo type="min"/>
        <cfvo type="max"/>
        <color rgb="FFFCFCFF"/>
        <color theme="8" tint="0.39997558519241921"/>
      </colorScale>
    </cfRule>
  </conditionalFormatting>
  <conditionalFormatting sqref="CG2">
    <cfRule type="colorScale" priority="36">
      <colorScale>
        <cfvo type="min"/>
        <cfvo type="max"/>
        <color rgb="FFFCFCFF"/>
        <color rgb="FF63BE7B"/>
      </colorScale>
    </cfRule>
  </conditionalFormatting>
  <hyperlinks>
    <hyperlink ref="I3" r:id="rId1" xr:uid="{986F83FB-7077-4B61-A580-3AAB17E13BFF}"/>
    <hyperlink ref="A2" r:id="rId2" display="https://fbref.com/en/country/SDN/Sudan-Football" xr:uid="{B984FB82-BEF6-42F4-8C40-CE0E48C1AE13}"/>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58369" r:id="rId6"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58370" r:id="rId7"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58371" r:id="rId8"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167BC6-EE81-4579-82A3-83A62F7207F2}">
  <sheetPr codeName="Sheet30"/>
  <dimension ref="A1:IY9"/>
  <sheetViews>
    <sheetView zoomScale="70" zoomScaleNormal="70" workbookViewId="0">
      <pane xSplit="5" ySplit="1" topLeftCell="F2" activePane="bottomRight" state="frozen"/>
      <selection pane="topRight" activeCell="F1" sqref="F1"/>
      <selection pane="bottomLeft" activeCell="A2" sqref="A2"/>
      <selection pane="bottomRight" activeCell="M3" sqref="M3"/>
    </sheetView>
  </sheetViews>
  <sheetFormatPr defaultRowHeight="38.4" customHeight="1" x14ac:dyDescent="0.3"/>
  <cols>
    <col min="1" max="1" width="52.44140625" style="81" bestFit="1" customWidth="1"/>
    <col min="2" max="2" width="10.109375" style="81" customWidth="1"/>
    <col min="3" max="3" width="7.44140625" style="82" customWidth="1"/>
    <col min="4" max="4" width="4.77734375" style="83" customWidth="1"/>
    <col min="5" max="5" width="4.5546875" style="83" customWidth="1"/>
    <col min="6" max="6" width="5.77734375" style="83" customWidth="1"/>
    <col min="7" max="7" width="7.44140625" style="81" customWidth="1"/>
    <col min="8" max="8" width="11.44140625" style="81" customWidth="1"/>
    <col min="9" max="9" width="10" style="81" customWidth="1"/>
    <col min="10" max="10" width="4.21875" style="81" customWidth="1"/>
    <col min="11" max="11" width="5.6640625" style="83" customWidth="1"/>
    <col min="12" max="12" width="2.88671875" style="83" customWidth="1"/>
    <col min="13" max="13" width="6.44140625" style="83" customWidth="1"/>
    <col min="14" max="14" width="4.5546875" style="83" customWidth="1"/>
    <col min="15" max="15" width="10.5546875" style="84" customWidth="1"/>
    <col min="16" max="16" width="6.88671875" style="83" customWidth="1"/>
    <col min="17" max="17" width="4.77734375" style="83" customWidth="1"/>
    <col min="18" max="18" width="13.109375" style="82" customWidth="1"/>
    <col min="19" max="19" width="6.77734375" style="82" customWidth="1"/>
    <col min="20" max="46" width="8.44140625" style="81" customWidth="1"/>
    <col min="47" max="47" width="24.5546875" style="81" customWidth="1"/>
    <col min="48" max="51" width="16.6640625" style="81" customWidth="1"/>
    <col min="52" max="52" width="6.5546875" style="81" customWidth="1"/>
    <col min="53" max="54" width="5.88671875" style="81" customWidth="1"/>
    <col min="55" max="55" width="1.33203125" style="81" customWidth="1"/>
    <col min="56" max="56" width="7.44140625" style="81" customWidth="1"/>
    <col min="57" max="57" width="2.33203125" style="81" customWidth="1"/>
    <col min="58" max="62" width="6.109375" style="81" customWidth="1"/>
    <col min="63" max="63" width="2.33203125" style="81" customWidth="1"/>
    <col min="64" max="64" width="7" style="81" bestFit="1" customWidth="1"/>
    <col min="65" max="65" width="6.44140625" style="81" bestFit="1" customWidth="1"/>
    <col min="66" max="66" width="7.109375" style="81" bestFit="1" customWidth="1"/>
    <col min="67" max="71" width="6.44140625" style="81" bestFit="1" customWidth="1"/>
    <col min="72" max="73" width="6.44140625" style="81" customWidth="1"/>
    <col min="74" max="75" width="13.44140625" style="81" customWidth="1"/>
    <col min="76" max="84" width="14.6640625" style="81" customWidth="1"/>
    <col min="85" max="85" width="6.44140625" style="81" customWidth="1"/>
    <col min="86" max="87" width="11.6640625" style="81" bestFit="1" customWidth="1"/>
    <col min="88" max="88" width="11.6640625" style="81" customWidth="1"/>
    <col min="89" max="89" width="12.77734375" style="81" bestFit="1" customWidth="1"/>
    <col min="90" max="90" width="16.44140625" style="82" bestFit="1" customWidth="1"/>
    <col min="91" max="92" width="14.88671875" style="82" bestFit="1" customWidth="1"/>
    <col min="93" max="93" width="16" style="82" bestFit="1" customWidth="1"/>
    <col min="94" max="97" width="7.77734375" style="81" customWidth="1"/>
    <col min="98" max="98" width="33.21875" style="81" customWidth="1"/>
    <col min="99" max="99" width="18" style="81" customWidth="1"/>
    <col min="100" max="100" width="75.6640625" style="81" customWidth="1"/>
    <col min="101" max="125" width="33" style="81" customWidth="1"/>
    <col min="126" max="126" width="8.88671875" style="81"/>
    <col min="127" max="128" width="9.44140625" style="81" bestFit="1" customWidth="1"/>
    <col min="129" max="129" width="10.77734375" style="81" bestFit="1" customWidth="1"/>
    <col min="130" max="134" width="10.77734375" style="81" customWidth="1"/>
    <col min="135" max="135" width="10.109375" style="81" bestFit="1" customWidth="1"/>
    <col min="136" max="136" width="7.77734375" style="81" bestFit="1" customWidth="1"/>
    <col min="137" max="137" width="7.77734375" style="81" customWidth="1"/>
    <col min="138" max="138" width="9" style="81" bestFit="1" customWidth="1"/>
    <col min="139" max="139" width="11.33203125" style="81" bestFit="1" customWidth="1"/>
    <col min="140" max="140" width="9.109375" style="81" bestFit="1" customWidth="1"/>
    <col min="141" max="141" width="9" style="81" bestFit="1" customWidth="1"/>
    <col min="142" max="142" width="12" style="81" bestFit="1" customWidth="1"/>
    <col min="143" max="166" width="12" style="81" customWidth="1"/>
    <col min="167" max="167" width="17.21875" style="81" customWidth="1"/>
    <col min="168" max="191" width="12" style="81" customWidth="1"/>
    <col min="192" max="192" width="8.5546875" style="81" bestFit="1" customWidth="1"/>
    <col min="193" max="193" width="8.5546875" style="81" customWidth="1"/>
    <col min="194" max="194" width="7.109375" style="81" bestFit="1" customWidth="1"/>
    <col min="195" max="195" width="7.5546875" style="81" bestFit="1" customWidth="1"/>
    <col min="196" max="196" width="8.5546875" style="81" bestFit="1" customWidth="1"/>
    <col min="197" max="200" width="8.5546875" style="81" customWidth="1"/>
    <col min="201" max="201" width="188.88671875" style="81" customWidth="1"/>
    <col min="202" max="202" width="9.5546875" style="81" bestFit="1" customWidth="1"/>
    <col min="203" max="203" width="10.44140625" style="81" bestFit="1" customWidth="1"/>
    <col min="204" max="204" width="11.109375" style="81" bestFit="1" customWidth="1"/>
    <col min="205" max="205" width="10.44140625" style="81" bestFit="1" customWidth="1"/>
    <col min="206" max="210" width="10.44140625" style="81" customWidth="1"/>
    <col min="211" max="211" width="45.44140625" style="81" customWidth="1"/>
    <col min="212" max="212" width="47.5546875" style="81" bestFit="1" customWidth="1"/>
    <col min="213" max="213" width="9.33203125" style="85" customWidth="1"/>
    <col min="214" max="214" width="119.5546875" style="81" customWidth="1"/>
    <col min="215" max="215" width="69.6640625" style="81" customWidth="1"/>
    <col min="216" max="218" width="8.88671875" style="81"/>
    <col min="219" max="219" width="37.109375" style="81" customWidth="1"/>
    <col min="220" max="220" width="16.33203125" style="81" customWidth="1"/>
    <col min="221" max="222" width="8.88671875" style="81"/>
    <col min="223" max="223" width="10.109375" style="81" bestFit="1" customWidth="1"/>
    <col min="224" max="232" width="10.88671875" style="81" customWidth="1"/>
    <col min="233" max="234" width="30.77734375" style="81" customWidth="1"/>
    <col min="235" max="235" width="5.109375" style="81" customWidth="1"/>
    <col min="236" max="236" width="3" style="81" customWidth="1"/>
    <col min="237" max="245" width="6.77734375" style="86" customWidth="1"/>
    <col min="246" max="247" width="8.88671875" style="81"/>
    <col min="248" max="248" width="61.5546875" style="81" customWidth="1"/>
    <col min="249" max="253" width="8.88671875" style="81"/>
    <col min="254" max="254" width="9" style="81" customWidth="1"/>
    <col min="255" max="16384" width="8.88671875" style="8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1099</v>
      </c>
      <c r="B2" s="40" t="e" vm="113">
        <v>#VALUE!</v>
      </c>
      <c r="C2" s="41">
        <v>1</v>
      </c>
      <c r="D2" s="42" t="s">
        <v>1100</v>
      </c>
      <c r="E2" s="43" t="s">
        <v>1101</v>
      </c>
      <c r="F2" s="44" t="s">
        <v>163</v>
      </c>
      <c r="G2" s="45">
        <f t="shared" ref="G2" si="0">COUNTIF($A$1:$A$8388,A2)</f>
        <v>1</v>
      </c>
      <c r="H2" s="46"/>
      <c r="I2" s="47" t="s">
        <v>1102</v>
      </c>
      <c r="J2" s="48" t="str">
        <f>""</f>
        <v/>
      </c>
      <c r="K2" s="49">
        <v>10910000</v>
      </c>
      <c r="L2" s="50">
        <v>6000</v>
      </c>
      <c r="M2" s="50" t="s">
        <v>1105</v>
      </c>
      <c r="N2" s="51" t="s">
        <v>180</v>
      </c>
      <c r="O2" s="52" t="s">
        <v>1103</v>
      </c>
      <c r="P2" s="53" t="s">
        <v>1104</v>
      </c>
      <c r="Q2" s="54">
        <v>2</v>
      </c>
      <c r="R2" s="55" t="s">
        <v>180</v>
      </c>
      <c r="S2" s="56">
        <v>5</v>
      </c>
      <c r="T2" s="57" t="s">
        <v>167</v>
      </c>
      <c r="U2" s="58" t="s">
        <v>164</v>
      </c>
      <c r="V2" s="58" t="s">
        <v>167</v>
      </c>
      <c r="W2" s="58" t="s">
        <v>164</v>
      </c>
      <c r="X2" s="58" t="s">
        <v>164</v>
      </c>
      <c r="Y2" s="58" t="s">
        <v>164</v>
      </c>
      <c r="Z2" s="58" t="s">
        <v>164</v>
      </c>
      <c r="AA2" s="58" t="s">
        <v>164</v>
      </c>
      <c r="AB2" s="58" t="s">
        <v>164</v>
      </c>
      <c r="AC2" s="58" t="s">
        <v>164</v>
      </c>
      <c r="AD2" s="58" t="s">
        <v>164</v>
      </c>
      <c r="AE2" s="58" t="s">
        <v>164</v>
      </c>
      <c r="AF2" s="59" t="s">
        <v>167</v>
      </c>
      <c r="AG2" s="59" t="s">
        <v>167</v>
      </c>
      <c r="AH2" s="59" t="s">
        <v>164</v>
      </c>
      <c r="AI2" s="59" t="s">
        <v>164</v>
      </c>
      <c r="AJ2" s="59" t="s">
        <v>164</v>
      </c>
      <c r="AK2" s="59" t="s">
        <v>164</v>
      </c>
      <c r="AL2" s="59" t="s">
        <v>164</v>
      </c>
      <c r="AM2" s="59" t="s">
        <v>164</v>
      </c>
      <c r="AN2" s="59" t="s">
        <v>164</v>
      </c>
      <c r="AO2" s="59" t="s">
        <v>164</v>
      </c>
      <c r="AP2" s="59" t="s">
        <v>164</v>
      </c>
      <c r="AQ2" s="59" t="s">
        <v>164</v>
      </c>
      <c r="AR2" s="59" t="s">
        <v>164</v>
      </c>
      <c r="AS2" s="59" t="s">
        <v>164</v>
      </c>
      <c r="AT2" s="60">
        <v>1</v>
      </c>
      <c r="AU2" s="59"/>
      <c r="AV2" s="59" t="str">
        <f t="shared" ref="AV2" si="1">IF(LEFT(A2,1)="[",LEFT(A2,5)&amp;AU2&amp;A2,"")</f>
        <v/>
      </c>
      <c r="AW2" s="59" t="str">
        <f t="shared" ref="AW2" si="2">C2&amp;H2&amp;A2</f>
        <v>1South Sudan</v>
      </c>
      <c r="AX2" s="61" t="str">
        <f t="shared" ref="AX2" si="3">_xlfn.TEXTJOIN(";",TRUE,AU2:AW2)</f>
        <v>1South Sudan</v>
      </c>
      <c r="AY2" s="61"/>
      <c r="AZ2" s="62" t="s">
        <v>155</v>
      </c>
      <c r="BA2" s="62"/>
      <c r="BB2" s="62"/>
      <c r="BC2" s="63"/>
      <c r="BD2" s="64" t="s">
        <v>169</v>
      </c>
      <c r="BE2" s="47"/>
      <c r="BF2" s="64" t="s">
        <v>151</v>
      </c>
      <c r="BG2" s="64" t="s">
        <v>154</v>
      </c>
      <c r="BH2" s="64" t="s">
        <v>153</v>
      </c>
      <c r="BI2" s="64" t="s">
        <v>159</v>
      </c>
      <c r="BJ2" s="64"/>
      <c r="BK2" s="47"/>
      <c r="BL2" s="64" t="s">
        <v>152</v>
      </c>
      <c r="BM2" s="64" t="s">
        <v>155</v>
      </c>
      <c r="BN2" s="64" t="s">
        <v>151</v>
      </c>
      <c r="BO2" s="64" t="s">
        <v>154</v>
      </c>
      <c r="BP2" s="64" t="s">
        <v>153</v>
      </c>
      <c r="BQ2" s="64" t="s">
        <v>159</v>
      </c>
      <c r="BR2" s="64"/>
      <c r="BS2" s="64"/>
      <c r="BT2" s="64"/>
      <c r="BU2" s="65"/>
      <c r="BV2" s="66" t="s">
        <v>167</v>
      </c>
      <c r="BW2" s="66" t="s">
        <v>166</v>
      </c>
      <c r="BX2" s="47"/>
      <c r="BY2" s="48" t="s">
        <v>164</v>
      </c>
      <c r="BZ2" s="48" t="s">
        <v>167</v>
      </c>
      <c r="CB2" s="6" t="s">
        <v>136</v>
      </c>
      <c r="CC2" s="6"/>
      <c r="CD2" s="67">
        <v>0</v>
      </c>
      <c r="CE2" s="67">
        <v>0</v>
      </c>
      <c r="CF2" s="67" t="e">
        <v>#REF!</v>
      </c>
      <c r="CG2" s="68" cm="1">
        <f t="array" ref="CG2">SUMPRODUCT(--(LEN(TRIM(BL2:BT2))&gt;0))</f>
        <v>6</v>
      </c>
      <c r="CH2" s="59" t="str">
        <f t="shared" ref="CH2" si="4">IF(CG2=2,"y","n")</f>
        <v>n</v>
      </c>
      <c r="CI2" s="59" t="str">
        <f t="shared" ref="CI2" si="5">IF(CG2=3,"y","n")</f>
        <v>n</v>
      </c>
      <c r="CJ2" s="59" t="str">
        <f t="shared" ref="CJ2" si="6">IF(CG2=4,"y","n")</f>
        <v>n</v>
      </c>
      <c r="CK2" s="59" t="str">
        <f t="shared" ref="CK2" si="7">IF(CG2&gt;4,"y","n")</f>
        <v>y</v>
      </c>
      <c r="CL2" s="59" t="str">
        <f t="shared" ref="CL2" si="8">IF(S2=0,"y","n")</f>
        <v>n</v>
      </c>
      <c r="CM2" s="59" t="str">
        <f t="shared" ref="CM2" si="9">IF(S2=2,"y","n")</f>
        <v>n</v>
      </c>
      <c r="CN2" s="59" t="str">
        <f t="shared" ref="CN2" si="10">IF(S2=3,"y","n")</f>
        <v>n</v>
      </c>
      <c r="CO2" s="59" t="str">
        <f t="shared" ref="CO2" si="11">IF(S2&gt;=4,"y","n")</f>
        <v>y</v>
      </c>
      <c r="CP2" s="59" t="str">
        <f t="shared" ref="CP2" si="12">IF(AT2=0,"y","n")</f>
        <v>n</v>
      </c>
      <c r="CQ2" s="59" t="str">
        <f t="shared" ref="CQ2" si="13">IF(AT2=1,"y","n")</f>
        <v>y</v>
      </c>
      <c r="CR2" s="59" t="str">
        <f t="shared" ref="CR2" si="14">IF(AT2=2,"y","n")</f>
        <v>n</v>
      </c>
      <c r="CS2" s="59" t="str">
        <f t="shared" ref="CS2" si="15">IF(AT2&gt;=3,"y","n")</f>
        <v>n</v>
      </c>
      <c r="CT2" s="69" t="str">
        <f t="shared" ref="CT2" si="16">CHAR(34)&amp;A2&amp;CHAR(34)</f>
        <v>"South Sudan"</v>
      </c>
      <c r="CU2" s="70" t="str">
        <f t="shared" ref="CU2" si="17">CHAR(34)&amp;"rgn_"&amp;R2&amp;CHAR(34)</f>
        <v>"rgn_Africa"</v>
      </c>
      <c r="CV2" s="48" t="str">
        <f t="shared" ref="CV2" si="18">CHAR(34)&amp;D2&amp;CHAR(34)</f>
        <v>"https://i.ibb.co/hFhLmF9/South-Sudan-Flag.png"</v>
      </c>
      <c r="CW2" s="48" t="str">
        <f t="shared" ref="CW2:CZ2" si="19">IF(CH2="y",CHAR(34)&amp;CH$1&amp;CHAR(34)&amp;",","")</f>
        <v/>
      </c>
      <c r="CX2" s="48" t="str">
        <f t="shared" si="19"/>
        <v/>
      </c>
      <c r="CY2" s="48" t="str">
        <f t="shared" si="19"/>
        <v/>
      </c>
      <c r="CZ2" s="48" t="str">
        <f t="shared" si="19"/>
        <v>"5+Colo",</v>
      </c>
      <c r="DA2" s="48" t="str">
        <f t="shared" ref="DA2" si="20">IF(Q2&gt;1,CHAR(34)&amp;"words2"&amp;CHAR(34)&amp;",","")</f>
        <v>"words2",</v>
      </c>
      <c r="DB2" s="48" t="str">
        <f t="shared" ref="DB2" si="21">IF(Q2&gt;2,CHAR(34)&amp;"words3"&amp;CHAR(34)&amp;",","")</f>
        <v/>
      </c>
      <c r="DC2" s="48" t="str">
        <f t="shared" ref="DC2" si="22">IF(Q2=2,CHAR(34)&amp;"exact2"&amp;CHAR(34)&amp;",","")</f>
        <v>"exact2",</v>
      </c>
      <c r="DD2" s="48" t="str">
        <f t="shared" ref="DD2" si="23">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"lets10",</v>
      </c>
      <c r="DE2" s="48" t="str">
        <f t="shared" ref="DE2" si="24">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"startS",</v>
      </c>
      <c r="DF2" s="48" t="str">
        <f t="shared" ref="DF2" si="25">IFERROR(IF(SEARCH("tan",A2)&gt;0,CHAR(34)&amp;"withtn"&amp;CHAR(34)&amp;",",""),"")</f>
        <v/>
      </c>
      <c r="DG2" s="48" t="str">
        <f t="shared" ref="DG2" si="26">IFERROR(IF(SEARCH("q",A2)&gt;0,CHAR(34)&amp;"with_q"&amp;CHAR(34)&amp;",",""),"")</f>
        <v/>
      </c>
      <c r="DH2" s="48" t="str">
        <f t="shared" ref="DH2" si="27">IFERROR(IF(SEARCH("v",A2)&gt;0,CHAR(34)&amp;"with_v"&amp;CHAR(34)&amp;",",""),"")</f>
        <v/>
      </c>
      <c r="DI2" s="48" t="str">
        <f t="shared" ref="DI2" si="28">IFERROR(IF(SEARCH("w",A2)&gt;0,CHAR(34)&amp;"with_w"&amp;CHAR(34)&amp;",",""),"")</f>
        <v/>
      </c>
      <c r="DJ2" s="48" t="str">
        <f t="shared" ref="DJ2" si="29">IFERROR(IF(SEARCH("y",A2)&gt;0,CHAR(34)&amp;"with_y"&amp;CHAR(34)&amp;",",""),"")</f>
        <v/>
      </c>
      <c r="DK2" s="48" t="str">
        <f t="shared" ref="DK2" si="30">IFERROR(IF(SEARCH("z",A2)&gt;0,CHAR(34)&amp;"with_z"&amp;CHAR(34)&amp;",",""),"")</f>
        <v/>
      </c>
      <c r="DL2" s="48" t="str">
        <f t="shared" ref="DL2" si="31">IF(CG2=2, CHAR(34) &amp; _xlfn.TEXTJOIN("", TRUE, _xlfn._xlws.SORT(HP2:HX2)) &amp; CHAR(34) &amp; ",", "")</f>
        <v/>
      </c>
      <c r="DM2" s="48" t="str" cm="1">
        <f t="array" ref="DM2">IF(CG2=3,CHAR(34) &amp; _xlfn.TEXTJOIN("", TRUE, RIGHT(HP2:HX2, 2)) &amp; CHAR(34) &amp; ",", "")</f>
        <v/>
      </c>
      <c r="DN2" s="48" t="str">
        <f t="shared" ref="DN2" si="32">IF(AND(ISNUMBER(SEARCH("18", O2)), ISERROR(SEARCH("1918", O2)), ISERROR(SEARCH("2018", O2))), CHAR(34) &amp; "year18" &amp; CHAR(34) &amp; ",", "")</f>
        <v/>
      </c>
      <c r="DO2" s="48" t="str">
        <f t="shared" ref="DO2" si="33">IF(AND(ISNUMBER(SEARCH("19", O2)), ISERROR(SEARCH("1819", O2)),  ISERROR(SEARCH("1219", O2)),ISERROR(SEARCH("1119", O2)),ISERROR(SEARCH("1190", O2)),ISERROR(SEARCH("2019", O2))), CHAR(34) &amp; "year19" &amp; CHAR(34) &amp; ",", "")</f>
        <v/>
      </c>
      <c r="DP2" s="6" t="str">
        <f t="shared" ref="DP2" si="34">IF(AND(ISNUMBER(SEARCH("20", O2)), ISERROR(SEARCH("1920", O2))), CHAR(34)&amp;"year00"&amp;CHAR(34)&amp;",", "")</f>
        <v>"year00",</v>
      </c>
      <c r="DQ2" s="6" t="str">
        <f t="shared" ref="DQ2" si="35">IF(CC2="y",CHAR(34)&amp;"soviet"&amp;CHAR(34)&amp;",","")</f>
        <v/>
      </c>
      <c r="DR2" s="6" t="str">
        <f t="shared" ref="DR2" si="36">IF(BY2="y",CHAR(34)&amp;"dgband"&amp;CHAR(34)&amp;",","")</f>
        <v/>
      </c>
      <c r="DS2" s="6" t="str">
        <f t="shared" ref="DS2" si="37">IF(W2="y",IF(AND(V2="n",BY2&lt;&gt;"y"),CHAR(34)&amp;"allver"&amp;CHAR(34)&amp;",",""),"")</f>
        <v/>
      </c>
      <c r="DT2" s="6" t="str">
        <f t="shared" ref="DT2" si="38">IF(V2="y",IF(AND(W2="n",BY2&lt;&gt;"y"),CHAR(34)&amp;"allhor"&amp;CHAR(34)&amp;",",""),"")</f>
        <v>"allhor",</v>
      </c>
      <c r="DU2" s="6" t="str">
        <f t="shared" ref="DU2" si="39">IF(BY2="y",IF(AND(W2="n",V2="n"),CHAR(34)&amp;"alldia"&amp;CHAR(34)&amp;",",""),"")</f>
        <v/>
      </c>
      <c r="DV2" s="48" t="str">
        <f t="shared" ref="DV2" si="40">IF(IA2&lt;&gt;"",(IF(IA2="y",CHAR(34)&amp;"largec"&amp;CHAR(34)&amp;",",CHAR(34)&amp;"smallc"&amp;CHAR(34)&amp;",")),"")</f>
        <v/>
      </c>
      <c r="DW2" s="48" t="str">
        <f t="shared" ref="DW2:DZ2" si="41">IF(CL2="y",CHAR(34)&amp;CL$1&amp;CHAR(34)&amp;",","")</f>
        <v/>
      </c>
      <c r="DX2" s="48" t="str">
        <f t="shared" si="41"/>
        <v/>
      </c>
      <c r="DY2" s="48" t="str">
        <f t="shared" si="41"/>
        <v/>
      </c>
      <c r="DZ2" s="48" t="str">
        <f t="shared" si="41"/>
        <v>"4+Band",</v>
      </c>
      <c r="EA2" s="48" t="str">
        <f t="shared" ref="EA2:EE2" si="42">IF(T2="y",CHAR(34)&amp;T$1&amp;CHAR(34)&amp;",","")</f>
        <v>"Diagon",</v>
      </c>
      <c r="EB2" s="48" t="str">
        <f t="shared" si="42"/>
        <v/>
      </c>
      <c r="EC2" s="48" t="str">
        <f t="shared" si="42"/>
        <v>"Horizo",</v>
      </c>
      <c r="ED2" s="48" t="str">
        <f t="shared" si="42"/>
        <v/>
      </c>
      <c r="EE2" s="48" t="str">
        <f t="shared" si="42"/>
        <v/>
      </c>
      <c r="EF2" s="48" t="str">
        <f t="shared" ref="EF2" si="43">IF(AND(Y2&lt;&gt;"n",Y2&lt;&gt;""),CHAR(34)&amp;Y$1&amp;CHAR(34)&amp;",","")</f>
        <v/>
      </c>
      <c r="EG2" s="48" t="str">
        <f t="shared" ref="EG2:EZ2" si="44">IF(Z2="y",CHAR(34)&amp;Z$1&amp;CHAR(34)&amp;",","")</f>
        <v/>
      </c>
      <c r="EH2" s="48" t="str">
        <f t="shared" si="44"/>
        <v/>
      </c>
      <c r="EI2" s="48" t="str">
        <f t="shared" si="44"/>
        <v/>
      </c>
      <c r="EJ2" s="48" t="str">
        <f t="shared" si="44"/>
        <v/>
      </c>
      <c r="EK2" s="48" t="str">
        <f t="shared" si="44"/>
        <v/>
      </c>
      <c r="EL2" s="48" t="str">
        <f t="shared" si="44"/>
        <v/>
      </c>
      <c r="EM2" s="48" t="str">
        <f t="shared" si="44"/>
        <v>"Trside",</v>
      </c>
      <c r="EN2" s="48" t="str">
        <f t="shared" si="44"/>
        <v>"Unequa",</v>
      </c>
      <c r="EO2" s="48" t="str">
        <f t="shared" si="44"/>
        <v/>
      </c>
      <c r="EP2" s="48" t="str">
        <f t="shared" si="44"/>
        <v/>
      </c>
      <c r="EQ2" s="48" t="str">
        <f t="shared" si="44"/>
        <v/>
      </c>
      <c r="ER2" s="48" t="str">
        <f t="shared" si="44"/>
        <v/>
      </c>
      <c r="ES2" s="48" t="str">
        <f t="shared" si="44"/>
        <v/>
      </c>
      <c r="ET2" s="48" t="str">
        <f t="shared" si="44"/>
        <v/>
      </c>
      <c r="EU2" s="48" t="str">
        <f t="shared" si="44"/>
        <v/>
      </c>
      <c r="EV2" s="48" t="str">
        <f t="shared" si="44"/>
        <v/>
      </c>
      <c r="EW2" s="48" t="str">
        <f t="shared" si="44"/>
        <v/>
      </c>
      <c r="EX2" s="48" t="str">
        <f t="shared" si="44"/>
        <v/>
      </c>
      <c r="EY2" s="48" t="str">
        <f t="shared" si="44"/>
        <v/>
      </c>
      <c r="EZ2" s="48" t="str">
        <f t="shared" si="44"/>
        <v/>
      </c>
      <c r="FA2" s="48" t="str">
        <f t="shared" ref="FA2" si="45">IF(AT2&gt;0,CHAR(34)&amp;"sta"&amp;AZ2&amp;CHAR(34)&amp;",","")</f>
        <v>"staYEL",</v>
      </c>
      <c r="FB2" s="48" t="str">
        <f t="shared" ref="FB2" si="46">IF(AND(AT2&gt;0,BA2&lt;&gt;""),CHAR(34)&amp;"sta"&amp;BA2&amp;CHAR(34)&amp;",","")</f>
        <v/>
      </c>
      <c r="FC2" s="48" t="str">
        <f t="shared" ref="FC2" si="47">IF(AND(AT2&gt;0,BB2&lt;&gt;""),CHAR(34)&amp;"sta"&amp;BB2&amp;CHAR(34)&amp;",","")</f>
        <v/>
      </c>
      <c r="FD2" s="48" t="str">
        <f t="shared" ref="FD2" si="48">IF(BV2="n",CHAR(34)&amp;"tcWHYE"&amp;CHAR(34)&amp;",",IF(BV2="y",CHAR(34)&amp;FD$1&amp;CHAR(34)&amp;",",""))</f>
        <v>"ntWHYE",</v>
      </c>
      <c r="FE2" s="48" t="str">
        <f t="shared" ref="FE2" si="49">IF(COUNTIF(BL2:BT2,"BLU")=0,CHAR(34)&amp;"NO_BLU"&amp;CHAR(34)&amp;",", "")</f>
        <v/>
      </c>
      <c r="FF2" s="48" t="str">
        <f t="shared" ref="FF2" si="50">IF(COUNTIF(BL2:BT2,"WHI")=0,CHAR(34)&amp;"NO_WHI"&amp;CHAR(34)&amp;",", "")</f>
        <v/>
      </c>
      <c r="FG2" s="48" t="str">
        <f t="shared" ref="FG2" si="51">IF(COUNTIF(BL2:BT2,"RED")=0,CHAR(34)&amp;"NO_RED"&amp;CHAR(34)&amp;",", "")</f>
        <v/>
      </c>
      <c r="FH2" s="48" t="str">
        <f t="shared" ref="FH2" si="52">IF(COUNTIF(BL2:BS2,"GRE")=0,CHAR(34)&amp;"NO_GRE"&amp;CHAR(34)&amp;",", "")</f>
        <v/>
      </c>
      <c r="FI2" s="48" t="str">
        <f t="shared" ref="FI2" si="53">IF(COUNTIF(BL2:BT2,"YEL")=0,CHAR(34)&amp;"NO_YEL"&amp;CHAR(34)&amp;",", "")</f>
        <v/>
      </c>
      <c r="FJ2" s="48" t="str">
        <f t="shared" ref="FJ2" si="54">IF(COUNTIF(BL2:BT2,"BLA")=0,CHAR(34)&amp;"NO_BLA"&amp;CHAR(34)&amp;",", "")</f>
        <v/>
      </c>
      <c r="FK2" s="48" t="str">
        <f t="shared" ref="FK2" si="55">IF(AND(FH2&lt;&gt;"",FF2&lt;&gt;""),CHAR(34)&amp;"WHGRNO"&amp;CHAR(34)&amp;",","")</f>
        <v/>
      </c>
      <c r="FL2" s="48" t="str">
        <f t="shared" ref="FL2" si="56">IF(AND(FI2&lt;&gt;"",FF2&lt;&gt;""),CHAR(34)&amp;"WHYENO"&amp;CHAR(34)&amp;",","")</f>
        <v/>
      </c>
      <c r="FM2" s="48" t="str">
        <f t="shared" ref="FM2" si="57">IF(AND(FJ2&lt;&gt;"",FF2&lt;&gt;""),CHAR(34)&amp;"BAWHNO"&amp;CHAR(34)&amp;",","")</f>
        <v/>
      </c>
      <c r="FN2" s="48" t="str">
        <f t="shared" ref="FN2" si="58">IF(AND(FE2&lt;&gt;"",FF2&lt;&gt;""),CHAR(34)&amp;"BLWHNO"&amp;CHAR(34)&amp;",","")</f>
        <v/>
      </c>
      <c r="FO2" s="48" t="str">
        <f t="shared" ref="FO2" si="59">IF(AND(FE2&lt;&gt;"",FG2&lt;&gt;""),CHAR(34)&amp;"BLRENO"&amp;CHAR(34)&amp;",","")</f>
        <v/>
      </c>
      <c r="FP2" s="48" t="str">
        <f t="shared" ref="FP2" si="60">IF(AND(FF2&lt;&gt;"",FF2&lt;&gt;""),CHAR(34)&amp;"WHRENO"&amp;CHAR(34)&amp;",","")</f>
        <v/>
      </c>
      <c r="FQ2" s="48" t="str">
        <f t="shared" ref="FQ2" si="61">IF(LEN(BF2)=3,CHAR(34)&amp;"001"&amp;BF2&amp;CHAR(34)&amp;",","")</f>
        <v>"001BLA",</v>
      </c>
      <c r="FR2" s="48" t="str">
        <f t="shared" ref="FR2" si="62">IF(LEN(BG2)=3,CHAR(34)&amp;"002"&amp;BG2&amp;CHAR(34)&amp;",","")</f>
        <v>"002RED",</v>
      </c>
      <c r="FS2" s="48" t="str">
        <f t="shared" ref="FS2" si="63">IF(LEN(BH2)=3,CHAR(34)&amp;"003"&amp;BH2&amp;CHAR(34)&amp;",","")</f>
        <v>"003GRE",</v>
      </c>
      <c r="FT2" s="48" t="str">
        <f t="shared" ref="FT2" si="64">CHAR(34)&amp;"myr"&amp;BD2&amp;CHAR(34)&amp;","</f>
        <v>"myrEQ",</v>
      </c>
      <c r="FU2" s="48" t="str">
        <f t="shared" ref="FU2" si="65">IF(AY2="y",CHAR(34)&amp;"island"&amp;CHAR(34)&amp;",","")</f>
        <v/>
      </c>
      <c r="FV2" s="48" t="str">
        <f t="shared" ref="FV2" si="66">IF(BZ2="y",CHAR(34)&amp;"landlo"&amp;CHAR(34)&amp;",","")</f>
        <v>"landlo",</v>
      </c>
      <c r="FW2" s="48" t="str">
        <f t="shared" ref="FW2" si="67">IF(CA2="y",CHAR(34)&amp;"eunion"&amp;CHAR(34)&amp;",","")</f>
        <v/>
      </c>
      <c r="FX2" s="48" t="str">
        <f t="shared" ref="FX2" si="68">SUBSTITUTE(IFERROR(SEARCH("[",A2),IFERROR(IF(AND(CA2&lt;&gt;"y",SEARCH("Europe",R2)&gt;0),CHAR(34)&amp;"noeuni"&amp;CHAR(34)&amp;",",""),"")),"1","")</f>
        <v/>
      </c>
      <c r="FY2" s="48" t="str">
        <f t="shared" ref="FY2" si="69">IFERROR(IF(SEARCH("Arabic",CB2)&gt;0,CHAR(34)&amp;"arabic"&amp;CHAR(34)&amp;",",""),"")</f>
        <v/>
      </c>
      <c r="FZ2" s="48" t="str">
        <f t="shared" ref="FZ2" si="70">IFERROR(IF(SEARCH("English",CB2)&gt;0,CHAR(34)&amp;"englis"&amp;CHAR(34)&amp;",",""),"")</f>
        <v>"englis",</v>
      </c>
      <c r="GA2" s="48" t="str">
        <f t="shared" ref="GA2" si="71">IFERROR(IF(SEARCH("French",CB2)&gt;0,CHAR(34)&amp;"french"&amp;CHAR(34)&amp;",",""),"")</f>
        <v/>
      </c>
      <c r="GB2" s="48" t="str">
        <f t="shared" ref="GB2" si="72">IFERROR(IF(SEARCH("Spanish",CB2)&gt;0,CHAR(34)&amp;"spanis"&amp;CHAR(34)&amp;",",""),"")</f>
        <v/>
      </c>
      <c r="GC2" s="48" t="str">
        <f t="shared" ref="GC2" si="73">IFERROR(IF(SEARCH("Portuguese",CB2)&gt;0,CHAR(34)&amp;"portug"&amp;CHAR(34)&amp;",",""),"")</f>
        <v/>
      </c>
      <c r="GD2" s="48" t="str">
        <f t="shared" ref="GD2" si="74">IFERROR(IF(SEARCH("German",CB2)&gt;0,CHAR(34)&amp;"german"&amp;CHAR(34)&amp;",",""),"")</f>
        <v/>
      </c>
      <c r="GE2" s="48" t="str">
        <f t="shared" ref="GE2" si="75">IFERROR(IF(SEARCH("Dutch",CB2)&gt;0,CHAR(34)&amp;"dutchs"&amp;CHAR(34)&amp;",",""),"")</f>
        <v/>
      </c>
      <c r="GF2" s="48" t="str">
        <f t="shared" ref="GF2" si="76">IFERROR(IF(SEARCH("Histor",AU2)&gt;0,CHAR(34)&amp;"histor"&amp;CHAR(34)&amp;",",""),"")</f>
        <v/>
      </c>
      <c r="GG2" s="48" t="str">
        <f t="shared" ref="GG2" si="77">IF(BU2="y",CHAR(34)&amp;"unjack"&amp;CHAR(34)&amp;",","")</f>
        <v/>
      </c>
      <c r="GH2" s="48" t="str">
        <f t="shared" ref="GH2" si="78">IF(CD2=1,CHAR(34)&amp;"southc"&amp;CHAR(34)&amp;",","")</f>
        <v/>
      </c>
      <c r="GI2" s="48" t="str">
        <f t="shared" ref="GI2" si="79">IF(CE2=1,CHAR(34)&amp;"hasmap"&amp;CHAR(34)&amp;",","")</f>
        <v/>
      </c>
      <c r="GJ2" s="48" t="str">
        <f t="shared" ref="GJ2" si="80">IF(CP2="y",CHAR(34)&amp;CP$1&amp;CHAR(34)&amp;",","")</f>
        <v/>
      </c>
      <c r="GK2" s="48" t="str">
        <f t="shared" ref="GK2" si="81">IF(GJ2="",CHAR(34)&amp;"HasSta"&amp;CHAR(34)&amp;",","")</f>
        <v>"HasSta",</v>
      </c>
      <c r="GL2" s="48" t="str">
        <f t="shared" ref="GL2:GN2" si="82">IF(CQ2="y",CHAR(34)&amp;CQ$1&amp;CHAR(34)&amp;",","")</f>
        <v>"1Stars",</v>
      </c>
      <c r="GM2" s="48" t="str">
        <f t="shared" si="82"/>
        <v/>
      </c>
      <c r="GN2" s="48" t="str">
        <f t="shared" si="82"/>
        <v/>
      </c>
      <c r="GP2" s="48" t="str">
        <f t="shared" ref="GP2" si="83">CHAR(34)&amp;AU2&amp;CHAR(34)</f>
        <v>""</v>
      </c>
      <c r="GS2" s="48" t="str">
        <f t="shared" ref="GS2" si="84">SUBSTITUTE("["&amp;_xlfn.CONCAT(CW2:GN2)&amp;"]",",]","]")</f>
        <v>["5+Colo","words2","exact2","lets10","startS","year00","allhor","4+Band","Diagon","Horizo","Trside","Unequa","staYEL","ntWHYE","001BLA","002RED","003GRE","myrEQ","landlo","englis","HasSta","1Stars"]</v>
      </c>
      <c r="GT2" s="48" t="str">
        <f t="shared" ref="GT2:HB2" si="85">IF(BL2&lt;&gt;"",CHAR(34)&amp;"cl_"&amp;BL2&amp;CHAR(34)&amp;",","")</f>
        <v>"cl_BLU",</v>
      </c>
      <c r="GU2" s="48" t="str">
        <f t="shared" si="85"/>
        <v>"cl_YEL",</v>
      </c>
      <c r="GV2" s="48" t="str">
        <f t="shared" si="85"/>
        <v>"cl_BLA",</v>
      </c>
      <c r="GW2" s="48" t="str">
        <f t="shared" si="85"/>
        <v>"cl_RED",</v>
      </c>
      <c r="GX2" s="48" t="str">
        <f t="shared" si="85"/>
        <v>"cl_GRE",</v>
      </c>
      <c r="GY2" s="48" t="str">
        <f t="shared" si="85"/>
        <v>"cl_WHI",</v>
      </c>
      <c r="GZ2" s="48" t="str">
        <f t="shared" si="85"/>
        <v/>
      </c>
      <c r="HA2" s="48" t="str">
        <f t="shared" si="85"/>
        <v/>
      </c>
      <c r="HB2" s="48" t="str">
        <f t="shared" si="85"/>
        <v/>
      </c>
      <c r="HC2" s="48" t="str">
        <f t="shared" ref="HC2" si="86">SUBSTITUTE("["&amp;_xlfn.CONCAT(GT2:HB2)&amp;"]",",]","]")</f>
        <v>["cl_BLU","cl_YEL","cl_BLA","cl_RED","cl_GRE","cl_WHI"]</v>
      </c>
      <c r="HE2" s="71"/>
      <c r="HF2" s="72" t="str">
        <f t="shared" ref="HF2" si="87">"{couname:"&amp;CT2&amp;(IF(HK2&lt;&gt;"",",subtype:"&amp;CHAR(34)&amp;HK2&amp;CHAR(34),""))&amp;",year:"&amp;HJ2&amp;",region:"&amp;CU2&amp;",Colors:"&amp;HC2&amp;",Items:"&amp;GS2&amp;",Flag:"&amp;CV2&amp;",HDFlag:"&amp;CHAR(34)&amp;E2&amp;CHAR(34)&amp;",type:"&amp;GP2&amp;", describe: "&amp;HH2&amp;", isnew:"&amp;CHAR(34)&amp;F2&amp;CHAR(34)&amp;", links: "&amp;HL2&amp;"},"</f>
        <v>{couname:"South Sudan",year:"2011, 2023 ",region:"rgn_Africa",Colors:["cl_BLU","cl_YEL","cl_BLA","cl_RED","cl_GRE","cl_WHI"],Items:["5+Colo","words2","exact2","lets10","startS","year00","allhor","4+Band","Diagon","Horizo","Trside","Unequa","staYEL","ntWHYE","001BLA","002RED","003GRE","myrEQ","landlo","englis","HasSta","1Stars"],Flag:"https://i.ibb.co/hFhLmF9/South-Sudan-Flag.png",HDFlag:"https://upload.wikimedia.org/wikipedia/commons/thumb/7/7a/Flag_of_South_Sudan.svg/2560px-Flag_of_South_Sudan.svg.png",type:"", describe: "\n\n • Black: Represents the people of South Sudan.\n\n • Red: Represents blood that was shed for the independence of the country.\n\n • Green: Represents the country's agricultural, natural wealth, land, as well as progress.\n\n • White: Represents peace.\n\n • Blue: Represents waters of the Nile River, a source of life.\n\n • Yellow: Represents unity (of the states), hope, and determination for all people.", isnew:".", links: "https://en.wikipedia.org/wiki/Flag_of_South_Sudan"},</v>
      </c>
      <c r="HG2" s="73" t="str">
        <f t="shared" ref="HG2" si="88">"{couname:"&amp;CT2&amp;(IF(HK2&lt;&gt;"",",subtype:"&amp;CHAR(34)&amp;HK2&amp;CHAR(34),""))&amp;",year:"&amp;HJ2&amp;",region:"&amp;CU2&amp;",Colors:"&amp;HC2&amp;",Items:"&amp;GS2&amp;",Flag:"&amp;CV2&amp;",HDFlag:"&amp;CHAR(34)&amp;E2&amp;CHAR(34)&amp;",type:"&amp;GP2&amp;", describe: "&amp;HI2&amp;", links: "&amp;HL2&amp;"},"</f>
        <v>{couname:"South Sudan",year:"2011, 2023 ",region:"rgn_Africa",Colors:["cl_BLU","cl_YEL","cl_BLA","cl_RED","cl_GRE","cl_WHI"],Items:["5+Colo","words2","exact2","lets10","startS","year00","allhor","4+Band","Diagon","Horizo","Trside","Unequa","staYEL","ntWHYE","001BLA","002RED","003GRE","myrEQ","landlo","englis","HasSta","1Stars"],Flag:"https://i.ibb.co/hFhLmF9/South-Sudan-Flag.png",HDFlag:"https://upload.wikimedia.org/wikipedia/commons/thumb/7/7a/Flag_of_South_Sudan.svg/2560px-Flag_of_South_Sudan.svg.png",type:"", describe: "\n\n • Black: Represents the people of South Sudan.\n\n • Red: Represents blood that was shed for the independence of the country.\n\n • Green: Represents the country's agricultural, natural wealth, land, as well as progress.\n\n • White: Represents peace.\n\n • Blue: Represents waters of the Nile River, a source of life.\n\n • Yellow: Represents unity (of the states), hope, and determination for all people.", links: "https://en.wikipedia.org/wiki/Flag_of_South_Sudan"},</v>
      </c>
      <c r="HH2" s="48" t="str">
        <f t="shared" ref="HH2" si="89">IF(P2&lt;&gt;"",CHAR(34)&amp;"\n"&amp;P2&amp;CHAR(34),CHAR(34)&amp;CHAR(34))</f>
        <v>"\n\n • Black: Represents the people of South Sudan.\n\n • Red: Represents blood that was shed for the independence of the country.\n\n • Green: Represents the country's agricultural, natural wealth, land, as well as progress.\n\n • White: Represents peace.\n\n • Blue: Represents waters of the Nile River, a source of life.\n\n • Yellow: Represents unity (of the states), hope, and determination for all people."</v>
      </c>
      <c r="HI2" s="48" t="str">
        <f t="shared" ref="HI2" si="90">IF(J2=0,CHAR(34)&amp;CHAR(34),HH2)</f>
        <v>"\n\n • Black: Represents the people of South Sudan.\n\n • Red: Represents blood that was shed for the independence of the country.\n\n • Green: Represents the country's agricultural, natural wealth, land, as well as progress.\n\n • White: Represents peace.\n\n • Blue: Represents waters of the Nile River, a source of life.\n\n • Yellow: Represents unity (of the states), hope, and determination for all people."</v>
      </c>
      <c r="HJ2" s="48" t="str">
        <f t="shared" ref="HJ2" si="91">CHAR(34)&amp;O2&amp;CHAR(34)</f>
        <v>"2011, 2023 "</v>
      </c>
      <c r="HL2" s="48" t="str">
        <f t="shared" ref="HL2" si="92">CHAR(34)&amp;I2&amp;CHAR(34)</f>
        <v>"https://en.wikipedia.org/wiki/Flag_of_South_Sudan"</v>
      </c>
      <c r="HM2" s="72" t="str">
        <f t="shared" ref="HM2" si="93">"{"&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{"couname":"South Sudan","year":"2011, 2023 ","region":"rgn_Africa","Colors":["cl_BLU","cl_YEL","cl_BLA","cl_RED","cl_GRE","cl_WHI"],"Items":["5+Colo","words2","exact2","lets10","startS","year00","allhor","4+Band","Diagon","Horizo","Trside","Unequa","staYEL","ntWHYE","001BLA","002RED","003GRE","myrEQ","landlo","englis","HasSta","1Stars"],"Flag":"https://i.ibb.co/hFhLmF9/South-Sudan-Flag.png","HDFlag":"https://upload.wikimedia.org/wikipedia/commons/thumb/7/7a/Flag_of_South_Sudan.svg/2560px-Flag_of_South_Sudan.svg.png","type":"", "describe": "\n\n • Black: Represents the people of South Sudan.\n\n • Red: Represents blood that was shed for the independence of the country.\n\n • Green: Represents the country's agricultural, natural wealth, land, as well as progress.\n\n • White: Represents peace.\n\n • Blue: Represents waters of the Nile River, a source of life.\n\n • Yellow: Represents unity (of the states), hope, and determination for all people.", "isnew": ".", "links": "https://en.wikipedia.org/wiki/Flag_of_South_Sudan"},</v>
      </c>
      <c r="HN2" s="74" t="str">
        <f t="shared" ref="HN2" si="94">"{"&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{"couname":"South Sudan","year":"2011, 2023 ","region":"rgn_Africa","Colors":["cl_BLU","cl_YEL","cl_BLA","cl_RED","cl_GRE","cl_WHI"],"Items":["5+Colo","words2","exact2","lets10","startS","year00","allhor","4+Band","Diagon","Horizo","Trside","Unequa","staYEL","ntWHYE","001BLA","002RED","003GRE","myrEQ","landlo","englis","HasSta","1Stars"],"Flag":"https://i.ibb.co/hFhLmF9/South-Sudan-Flag.png","HDFlag":"https://upload.wikimedia.org/wikipedia/commons/thumb/7/7a/Flag_of_South_Sudan.svg/2560px-Flag_of_South_Sudan.svg.png","type":"", "describe": "\n\n • Black: Represents the people of South Sudan.\n\n • Red: Represents blood that was shed for the independence of the country.\n\n • Green: Represents the country's agricultural, natural wealth, land, as well as progress.\n\n • White: Represents peace.\n\n • Blue: Represents waters of the Nile River, a source of life.\n\n • Yellow: Represents unity (of the states), hope, and determination for all people.", "isnew": ".", "links": "https://en.wikipedia.org/wiki/Flag_of_South_Sudan"},</v>
      </c>
      <c r="HO2" s="75"/>
      <c r="HP2" s="48" t="str" cm="1">
        <f t="array" ref="HP2">IF(_xlfn.TEXTJOIN(", ", TRUE, IF(ISNUMBER(SEARCH("BLA", BL2:BT2)), COLUMN(BL2:BT2) - COLUMN(BL2) + 1, ""))&lt;&gt;"","BLA","")</f>
        <v>BLA</v>
      </c>
      <c r="HQ2" s="48" t="str" cm="1">
        <f t="array" ref="HQ2">IF(_xlfn.TEXTJOIN(", ", TRUE, IF(ISNUMBER(SEARCH("BLU", BL2:BT2)), COLUMN(BL2:BT2) - COLUMN(BL2) + 1, ""))&lt;&gt;"","BLU","")</f>
        <v>BLU</v>
      </c>
      <c r="HR2" s="48" t="str" cm="1">
        <f t="array" ref="HR2">IF(_xlfn.TEXTJOIN(", ", TRUE, IF(ISNUMBER(SEARCH("GRE", BL2:BT2)), COLUMN(BL2:BT2) - COLUMN(BL2) + 1, ""))&lt;&gt;"","GRE","")</f>
        <v>GRE</v>
      </c>
      <c r="HS2" s="48" t="str" cm="1">
        <f t="array" ref="HS2">IF(_xlfn.TEXTJOIN(", ", TRUE, IF(ISNUMBER(SEARCH("RED", BL2:BT2)), COLUMN(BL2:BT2) - COLUMN(BL2) + 1, ""))&lt;&gt;"","RED","")</f>
        <v>RED</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c r="IB2" s="6"/>
      <c r="IC2" s="77"/>
      <c r="ID2" s="77"/>
      <c r="IE2" s="77"/>
      <c r="IF2" s="77"/>
      <c r="IG2" s="77"/>
      <c r="IH2" s="77"/>
      <c r="II2" s="77"/>
      <c r="IJ2" s="77"/>
      <c r="IK2" s="77"/>
      <c r="IL2" s="48">
        <f t="shared" ref="IL2" si="95">SUM(IC2:IK2)</f>
        <v>0</v>
      </c>
      <c r="IM2" s="45">
        <f t="shared" ref="IM2" si="96">COUNTIF(IC2:IK2,"&gt;0")-CG2</f>
        <v>-6</v>
      </c>
      <c r="IN2" s="78" t="str">
        <f t="shared" ref="IN2" si="97">"http://mkweb.bcgsc.ca/color-summarizer/?url="&amp;D2&amp;"&amp;precision=low&amp;num_clusters="&amp;CG2&amp;"&amp;text=1"</f>
        <v>http://mkweb.bcgsc.ca/color-summarizer/?url=https://i.ibb.co/hFhLmF9/South-Sudan-Flag.png&amp;precision=low&amp;num_clusters=6&amp;text=1</v>
      </c>
      <c r="IO2" s="48" t="str">
        <f t="shared" ref="IO2" si="98">IF(HP2&lt;&gt;"",CHAR(34)&amp;"black"&amp;CHAR(34),"")</f>
        <v>"black"</v>
      </c>
      <c r="IP2" s="48" t="str">
        <f t="shared" ref="IP2" si="99">IF(HQ2&lt;&gt;"",CHAR(34)&amp;"blue"&amp;CHAR(34),"")</f>
        <v>"blue"</v>
      </c>
      <c r="IQ2" s="48" t="str">
        <f t="shared" ref="IQ2" si="100">IF(HR2&lt;&gt;"",CHAR(34)&amp;"green"&amp;CHAR(34),"")</f>
        <v>"green"</v>
      </c>
      <c r="IR2" s="48" t="str">
        <f t="shared" ref="IR2" si="101">IF(HS2&lt;&gt;"",CHAR(34)&amp;"red"&amp;CHAR(34),"")</f>
        <v>"red"</v>
      </c>
      <c r="IS2" s="48" t="str">
        <f t="shared" ref="IS2" si="102">IF(HT2&lt;&gt;"",CHAR(34)&amp;"yellow"&amp;CHAR(34),"")</f>
        <v>"yellow"</v>
      </c>
      <c r="IT2" s="48" t="str">
        <f t="shared" ref="IT2" si="103">IF(HU2&lt;&gt;"",CHAR(34)&amp;"orange"&amp;CHAR(34),"")</f>
        <v/>
      </c>
      <c r="IU2" s="48" t="str">
        <f t="shared" ref="IU2" si="104">IF(HV2&lt;&gt;"",CHAR(34)&amp;"brown"&amp;CHAR(34),"")</f>
        <v/>
      </c>
      <c r="IV2" s="48" t="str">
        <f t="shared" ref="IV2" si="105">IF(HW2&lt;&gt;"",CHAR(34)&amp;"purple"&amp;CHAR(34),"")</f>
        <v/>
      </c>
      <c r="IW2" s="48" t="str">
        <f t="shared" ref="IW2" si="106">IF(HX2&lt;&gt;"",CHAR(34)&amp;"white"&amp;CHAR(34),"")</f>
        <v>"white"</v>
      </c>
      <c r="IX2" s="48" t="str">
        <f t="shared" ref="IX2" si="107">"{"&amp;CHAR(34)&amp;"url"&amp;CHAR(34)&amp;":"&amp;CHAR(34)&amp;IN2&amp;CHAR(34)&amp;","&amp;CHAR(34)&amp;"name"&amp;CHAR(34)&amp;":"&amp;CHAR(34)&amp;A2&amp;CHAR(34)&amp;"},"</f>
        <v>{"url":"http://mkweb.bcgsc.ca/color-summarizer/?url=https://i.ibb.co/hFhLmF9/South-Sudan-Flag.png&amp;precision=low&amp;num_clusters=6&amp;text=1","name":"South Sudan"},</v>
      </c>
      <c r="IY2" s="48">
        <v>205</v>
      </c>
    </row>
    <row r="3" spans="1:259" s="48" customFormat="1" ht="38.4" customHeight="1" thickBot="1" x14ac:dyDescent="0.35">
      <c r="A3" s="79" t="s">
        <v>517</v>
      </c>
      <c r="B3" s="40" t="e" vm="114">
        <v>#VALUE!</v>
      </c>
      <c r="C3" s="41">
        <v>2</v>
      </c>
      <c r="D3" s="42" t="s">
        <v>518</v>
      </c>
      <c r="E3" s="43" t="s">
        <v>518</v>
      </c>
      <c r="F3" s="44" t="s">
        <v>163</v>
      </c>
      <c r="G3" s="45">
        <f>COUNTIF($A$1:$A$8387,A3)</f>
        <v>1</v>
      </c>
      <c r="H3" s="46"/>
      <c r="I3" s="47" t="s">
        <v>519</v>
      </c>
      <c r="J3" s="48" t="str">
        <f>""</f>
        <v/>
      </c>
      <c r="K3" s="49"/>
      <c r="L3" s="50"/>
      <c r="M3" s="50"/>
      <c r="N3" s="51" t="s">
        <v>180</v>
      </c>
      <c r="O3" s="52" t="s">
        <v>170</v>
      </c>
      <c r="P3" s="53" t="s">
        <v>520</v>
      </c>
      <c r="Q3" s="54">
        <v>2</v>
      </c>
      <c r="R3" s="55" t="s">
        <v>180</v>
      </c>
      <c r="S3" s="56">
        <v>0</v>
      </c>
      <c r="T3" s="57" t="s">
        <v>164</v>
      </c>
      <c r="U3" s="58" t="s">
        <v>164</v>
      </c>
      <c r="V3" s="58" t="s">
        <v>164</v>
      </c>
      <c r="W3" s="58" t="s">
        <v>164</v>
      </c>
      <c r="X3" s="58" t="s">
        <v>167</v>
      </c>
      <c r="Y3" s="58" t="s">
        <v>164</v>
      </c>
      <c r="Z3" s="58" t="s">
        <v>164</v>
      </c>
      <c r="AA3" s="58" t="s">
        <v>167</v>
      </c>
      <c r="AB3" s="58" t="s">
        <v>164</v>
      </c>
      <c r="AC3" s="58" t="s">
        <v>164</v>
      </c>
      <c r="AD3" s="58" t="s">
        <v>164</v>
      </c>
      <c r="AE3" s="58" t="s">
        <v>164</v>
      </c>
      <c r="AF3" s="59" t="s">
        <v>164</v>
      </c>
      <c r="AG3" s="59" t="s">
        <v>164</v>
      </c>
      <c r="AH3" s="59" t="s">
        <v>167</v>
      </c>
      <c r="AI3" s="59" t="s">
        <v>164</v>
      </c>
      <c r="AJ3" s="59" t="s">
        <v>164</v>
      </c>
      <c r="AK3" s="59" t="s">
        <v>164</v>
      </c>
      <c r="AL3" s="59" t="s">
        <v>164</v>
      </c>
      <c r="AM3" s="59" t="s">
        <v>164</v>
      </c>
      <c r="AN3" s="59" t="s">
        <v>164</v>
      </c>
      <c r="AO3" s="59" t="s">
        <v>164</v>
      </c>
      <c r="AP3" s="59" t="s">
        <v>164</v>
      </c>
      <c r="AQ3" s="59" t="s">
        <v>164</v>
      </c>
      <c r="AR3" s="59" t="s">
        <v>164</v>
      </c>
      <c r="AS3" s="59" t="s">
        <v>164</v>
      </c>
      <c r="AT3" s="60">
        <v>0</v>
      </c>
      <c r="AU3" s="59" t="s">
        <v>521</v>
      </c>
      <c r="AV3" s="59" t="str">
        <f>IF(LEFT(A3,1)="[",LEFT(A3,5)&amp;AU3&amp;A3,"")</f>
        <v>[SSD]State[SSD] Western Equatoria</v>
      </c>
      <c r="AW3" s="59" t="str">
        <f t="shared" ref="AW3" si="108">C3&amp;H3&amp;A3</f>
        <v>2[SSD] Western Equatoria</v>
      </c>
      <c r="AX3" s="61"/>
      <c r="AY3" s="61"/>
      <c r="AZ3" s="62"/>
      <c r="BA3" s="62"/>
      <c r="BB3" s="62"/>
      <c r="BC3" s="63"/>
      <c r="BD3" s="64" t="s">
        <v>159</v>
      </c>
      <c r="BE3" s="47"/>
      <c r="BF3" s="64"/>
      <c r="BG3" s="64"/>
      <c r="BH3" s="64"/>
      <c r="BI3" s="64"/>
      <c r="BJ3" s="64"/>
      <c r="BK3" s="47"/>
      <c r="BL3" s="64" t="s">
        <v>159</v>
      </c>
      <c r="BM3" s="64" t="s">
        <v>153</v>
      </c>
      <c r="BN3" s="64" t="s">
        <v>155</v>
      </c>
      <c r="BO3" s="64" t="s">
        <v>151</v>
      </c>
      <c r="BP3" s="64"/>
      <c r="BQ3" s="64"/>
      <c r="BR3" s="64"/>
      <c r="BS3" s="64"/>
      <c r="BT3" s="64"/>
      <c r="BU3" s="65"/>
      <c r="BV3" s="66"/>
      <c r="BW3" s="66">
        <v>0</v>
      </c>
      <c r="BX3" s="47"/>
      <c r="CB3" s="6"/>
      <c r="CC3" s="6"/>
      <c r="CD3" s="67">
        <v>0</v>
      </c>
      <c r="CE3" s="67">
        <v>0</v>
      </c>
      <c r="CF3" s="67" t="e">
        <v>#REF!</v>
      </c>
      <c r="CG3" s="68" cm="1">
        <f t="array" ref="CG3">SUMPRODUCT(--(LEN(TRIM(BL3:BT3))&gt;0))</f>
        <v>4</v>
      </c>
      <c r="CH3" s="59" t="str">
        <f>IF(CG3=2,"y","n")</f>
        <v>n</v>
      </c>
      <c r="CI3" s="59" t="str">
        <f>IF(CG3=3,"y","n")</f>
        <v>n</v>
      </c>
      <c r="CJ3" s="59" t="str">
        <f>IF(CG3=4,"y","n")</f>
        <v>y</v>
      </c>
      <c r="CK3" s="59" t="str">
        <f>IF(CG3&gt;4,"y","n")</f>
        <v>n</v>
      </c>
      <c r="CL3" s="59" t="str">
        <f>IF(S3=0,"y","n")</f>
        <v>y</v>
      </c>
      <c r="CM3" s="59" t="str">
        <f>IF(S3=2,"y","n")</f>
        <v>n</v>
      </c>
      <c r="CN3" s="59" t="str">
        <f>IF(S3=3,"y","n")</f>
        <v>n</v>
      </c>
      <c r="CO3" s="59" t="str">
        <f>IF(S3&gt;=4,"y","n")</f>
        <v>n</v>
      </c>
      <c r="CP3" s="59" t="str">
        <f>IF(AT3=0,"y","n")</f>
        <v>y</v>
      </c>
      <c r="CQ3" s="59" t="str">
        <f>IF(AT3=1,"y","n")</f>
        <v>n</v>
      </c>
      <c r="CR3" s="59" t="str">
        <f>IF(AT3=2,"y","n")</f>
        <v>n</v>
      </c>
      <c r="CS3" s="59" t="str">
        <f>IF(AT3&gt;=3,"y","n")</f>
        <v>n</v>
      </c>
      <c r="CT3" s="69" t="str">
        <f>CHAR(34)&amp;A3&amp;CHAR(34)</f>
        <v>"[SSD] Western Equatoria"</v>
      </c>
      <c r="CU3" s="70" t="str">
        <f>CHAR(34)&amp;"rgn_"&amp;R3&amp;CHAR(34)</f>
        <v>"rgn_Africa"</v>
      </c>
      <c r="CV3" s="48" t="str">
        <f>CHAR(34)&amp;D3&amp;CHAR(34)</f>
        <v>"https://upload.wikimedia.org/wikipedia/commons/6/65/Flag_of_Western_Equatoria.png"</v>
      </c>
      <c r="CW3" s="48" t="str">
        <f>IF(CH3="y",CHAR(34)&amp;CH$1&amp;CHAR(34)&amp;",","")</f>
        <v/>
      </c>
      <c r="CX3" s="48" t="str">
        <f>IF(CI3="y",CHAR(34)&amp;CI$1&amp;CHAR(34)&amp;",","")</f>
        <v/>
      </c>
      <c r="CY3" s="48" t="str">
        <f>IF(CJ3="y",CHAR(34)&amp;CJ$1&amp;CHAR(34)&amp;",","")</f>
        <v>"4Color",</v>
      </c>
      <c r="CZ3" s="48" t="str">
        <f>IF(CK3="y",CHAR(34)&amp;CK$1&amp;CHAR(34)&amp;",","")</f>
        <v/>
      </c>
      <c r="DA3" s="48" t="str">
        <f>IF(Q3&gt;1,CHAR(34)&amp;"words2"&amp;CHAR(34)&amp;",","")</f>
        <v>"words2",</v>
      </c>
      <c r="DB3" s="48" t="str">
        <f>IF(Q3&gt;2,CHAR(34)&amp;"words3"&amp;CHAR(34)&amp;",","")</f>
        <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"lets16",</v>
      </c>
      <c r="DE3" s="48" t="str">
        <f>CHAR(34)&amp;"start"&amp;IFERROR(LEFT(SUBSTITUTE(A3,"["&amp;MID(A3,FIND("[",A3)+1,FIND("]",A3)-FIND("[",A3)-1)&amp;"] ",""),1),LEFT(A3,1))&amp;CHAR(34)&amp;","</f>
        <v>"startW",</v>
      </c>
      <c r="DF3" s="48" t="str">
        <f>IFERROR(IF(SEARCH("tan",A3)&gt;0,CHAR(34)&amp;"withtn"&amp;CHAR(34)&amp;",",""),"")</f>
        <v/>
      </c>
      <c r="DG3" s="48" t="str">
        <f>IFERROR(IF(SEARCH("q",A3)&gt;0,CHAR(34)&amp;"with_q"&amp;CHAR(34)&amp;",",""),"")</f>
        <v>"with_q",</v>
      </c>
      <c r="DH3" s="48" t="str">
        <f>IFERROR(IF(SEARCH("v",A3)&gt;0,CHAR(34)&amp;"with_v"&amp;CHAR(34)&amp;",",""),"")</f>
        <v/>
      </c>
      <c r="DI3" s="48" t="str">
        <f>IFERROR(IF(SEARCH("w",A3)&gt;0,CHAR(34)&amp;"with_w"&amp;CHAR(34)&amp;",",""),"")</f>
        <v>"with_w",</v>
      </c>
      <c r="DJ3" s="48" t="str">
        <f>IFERROR(IF(SEARCH("y",A3)&gt;0,CHAR(34)&amp;"with_y"&amp;CHAR(34)&amp;",",""),"")</f>
        <v/>
      </c>
      <c r="DK3" s="48" t="str">
        <f>IFERROR(IF(SEARCH("z",A3)&gt;0,CHAR(34)&amp;"with_z"&amp;CHAR(34)&amp;",",""),"")</f>
        <v/>
      </c>
      <c r="DL3" s="48" t="str">
        <f>IF(CG3=2, CHAR(34) &amp; _xlfn.TEXTJOIN("", TRUE, _xlfn._xlws.SORT(HP3:HX3)) &amp; CHAR(34) &amp; ",", "")</f>
        <v/>
      </c>
      <c r="DM3" s="48" t="str" cm="1">
        <f t="array" ref="DM3">IF(CG3=3,CHAR(34) &amp; _xlfn.TEXTJOIN("", TRUE, RIGHT(HP3:HX3, 2)) &amp; CHAR(34) &amp; ",", "")</f>
        <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
      </c>
      <c r="DP3" s="6" t="str">
        <f>IF(AND(ISNUMBER(SEARCH("20", O3)), ISERROR(SEARCH("1920", O3))), CHAR(34)&amp;"year00"&amp;CHAR(34)&amp;",", "")</f>
        <v/>
      </c>
      <c r="DQ3" s="6" t="str">
        <f>IF(CC3="y",CHAR(34)&amp;"soviet"&amp;CHAR(34)&amp;",","")</f>
        <v/>
      </c>
      <c r="DR3" s="6" t="str">
        <f>IF(BY3="y",CHAR(34)&amp;"dgband"&amp;CHAR(34)&amp;",","")</f>
        <v/>
      </c>
      <c r="DS3" s="6" t="str">
        <f>IF(W3="y",IF(AND(V3="n",BY3&lt;&gt;"y"),CHAR(34)&amp;"allver"&amp;CHAR(34)&amp;",",""),"")</f>
        <v/>
      </c>
      <c r="DT3" s="6" t="str">
        <f>IF(V3="y",IF(AND(W3="n",BY3&lt;&gt;"y"),CHAR(34)&amp;"allhor"&amp;CHAR(34)&amp;",",""),"")</f>
        <v/>
      </c>
      <c r="DU3" s="6" t="str">
        <f>IF(BY3="y",IF(AND(W3="n",V3="n"),CHAR(34)&amp;"alldia"&amp;CHAR(34)&amp;",",""),"")</f>
        <v/>
      </c>
      <c r="DW3" s="48" t="str">
        <f>IF(CL3="y",CHAR(34)&amp;CL$1&amp;CHAR(34)&amp;",","")</f>
        <v>"NoBand",</v>
      </c>
      <c r="DX3" s="48" t="str">
        <f>IF(CM3="y",CHAR(34)&amp;CM$1&amp;CHAR(34)&amp;",","")</f>
        <v/>
      </c>
      <c r="DY3" s="48" t="str">
        <f>IF(CN3="y",CHAR(34)&amp;CN$1&amp;CHAR(34)&amp;",","")</f>
        <v/>
      </c>
      <c r="DZ3" s="48" t="str">
        <f>IF(CO3="y",CHAR(34)&amp;CO$1&amp;CHAR(34)&amp;",","")</f>
        <v/>
      </c>
      <c r="EA3" s="48" t="str">
        <f>IF(T3="y",CHAR(34)&amp;T$1&amp;CHAR(34)&amp;",","")</f>
        <v/>
      </c>
      <c r="EB3" s="48" t="str">
        <f>IF(U3="y",CHAR(34)&amp;U$1&amp;CHAR(34)&amp;",","")</f>
        <v/>
      </c>
      <c r="EC3" s="48" t="str">
        <f>IF(V3="y",CHAR(34)&amp;V$1&amp;CHAR(34)&amp;",","")</f>
        <v/>
      </c>
      <c r="ED3" s="48" t="str">
        <f>IF(W3="y",CHAR(34)&amp;W$1&amp;CHAR(34)&amp;",","")</f>
        <v/>
      </c>
      <c r="EE3" s="48" t="str">
        <f>IF(X3="y",CHAR(34)&amp;X$1&amp;CHAR(34)&amp;",","")</f>
        <v>"Circle",</v>
      </c>
      <c r="EF3" s="48" t="str">
        <f>IF(AND(Y3&lt;&gt;"n",Y3&lt;&gt;""),CHAR(34)&amp;Y$1&amp;CHAR(34)&amp;",","")</f>
        <v/>
      </c>
      <c r="EG3" s="48" t="str">
        <f>IF(Z3="y",CHAR(34)&amp;Z$1&amp;CHAR(34)&amp;",","")</f>
        <v/>
      </c>
      <c r="EH3" s="48" t="str">
        <f>IF(AA3="y",CHAR(34)&amp;AA$1&amp;CHAR(34)&amp;",","")</f>
        <v>"Plants",</v>
      </c>
      <c r="EI3" s="48" t="str">
        <f>IF(AB3="y",CHAR(34)&amp;AB$1&amp;CHAR(34)&amp;",","")</f>
        <v/>
      </c>
      <c r="EJ3" s="48" t="str">
        <f>IF(AC3="y",CHAR(34)&amp;AC$1&amp;CHAR(34)&amp;",","")</f>
        <v/>
      </c>
      <c r="EK3" s="48" t="str">
        <f>IF(AD3="y",CHAR(34)&amp;AD$1&amp;CHAR(34)&amp;",","")</f>
        <v/>
      </c>
      <c r="EL3" s="48" t="str">
        <f>IF(AE3="y",CHAR(34)&amp;AE$1&amp;CHAR(34)&amp;",","")</f>
        <v/>
      </c>
      <c r="EM3" s="48" t="str">
        <f>IF(AF3="y",CHAR(34)&amp;AF$1&amp;CHAR(34)&amp;",","")</f>
        <v/>
      </c>
      <c r="EN3" s="48" t="str">
        <f>IF(AG3="y",CHAR(34)&amp;AG$1&amp;CHAR(34)&amp;",","")</f>
        <v/>
      </c>
      <c r="EO3" s="48" t="str">
        <f>IF(AH3="y",CHAR(34)&amp;AH$1&amp;CHAR(34)&amp;",","")</f>
        <v>"Center",</v>
      </c>
      <c r="EP3" s="48" t="str">
        <f>IF(AI3="y",CHAR(34)&amp;AI$1&amp;CHAR(34)&amp;",","")</f>
        <v/>
      </c>
      <c r="EQ3" s="48" t="str">
        <f>IF(AJ3="y",CHAR(34)&amp;AJ$1&amp;CHAR(34)&amp;",","")</f>
        <v/>
      </c>
      <c r="ER3" s="48" t="str">
        <f>IF(AK3="y",CHAR(34)&amp;AK$1&amp;CHAR(34)&amp;",","")</f>
        <v/>
      </c>
      <c r="ES3" s="48" t="str">
        <f>IF(AL3="y",CHAR(34)&amp;AL$1&amp;CHAR(34)&amp;",","")</f>
        <v/>
      </c>
      <c r="ET3" s="48" t="str">
        <f>IF(AM3="y",CHAR(34)&amp;AM$1&amp;CHAR(34)&amp;",","")</f>
        <v/>
      </c>
      <c r="EU3" s="48" t="str">
        <f>IF(AN3="y",CHAR(34)&amp;AN$1&amp;CHAR(34)&amp;",","")</f>
        <v/>
      </c>
      <c r="EV3" s="48" t="str">
        <f>IF(AO3="y",CHAR(34)&amp;AO$1&amp;CHAR(34)&amp;",","")</f>
        <v/>
      </c>
      <c r="EW3" s="48" t="str">
        <f>IF(AP3="y",CHAR(34)&amp;AP$1&amp;CHAR(34)&amp;",","")</f>
        <v/>
      </c>
      <c r="EX3" s="48" t="str">
        <f>IF(AQ3="y",CHAR(34)&amp;AQ$1&amp;CHAR(34)&amp;",","")</f>
        <v/>
      </c>
      <c r="EY3" s="48" t="str">
        <f>IF(AR3="y",CHAR(34)&amp;AR$1&amp;CHAR(34)&amp;",","")</f>
        <v/>
      </c>
      <c r="EZ3" s="48" t="str">
        <f>IF(AS3="y",CHAR(34)&amp;AS$1&amp;CHAR(34)&amp;",","")</f>
        <v/>
      </c>
      <c r="FA3" s="48" t="str">
        <f>IF(AT3&gt;0,CHAR(34)&amp;"sta"&amp;AZ3&amp;CHAR(34)&amp;",","")</f>
        <v/>
      </c>
      <c r="FB3" s="48" t="str">
        <f>IF(AND(AT3&gt;0,BA3&lt;&gt;""),CHAR(34)&amp;"sta"&amp;BA3&amp;CHAR(34)&amp;",","")</f>
        <v/>
      </c>
      <c r="FD3" s="48" t="str">
        <f>IF(BV3="n",CHAR(34)&amp;"tcWHYE"&amp;CHAR(34)&amp;",",IF(BV3="y",CHAR(34)&amp;FD$1&amp;CHAR(34)&amp;",",""))</f>
        <v/>
      </c>
      <c r="FE3" s="48" t="str">
        <f>IF(COUNTIF(BL3:BT3,"BLU")=0,CHAR(34)&amp;"NO_BLU"&amp;CHAR(34)&amp;",", "")</f>
        <v>"NO_BLU",</v>
      </c>
      <c r="FF3" s="48" t="str">
        <f>IF(COUNTIF(BL3:BT3,"WHI")=0,CHAR(34)&amp;"NO_WHI"&amp;CHAR(34)&amp;",", "")</f>
        <v/>
      </c>
      <c r="FG3" s="48" t="str">
        <f>IF(COUNTIF(BL3:BT3,"RED")=0,CHAR(34)&amp;"NO_RED"&amp;CHAR(34)&amp;",", "")</f>
        <v>"NO_RED",</v>
      </c>
      <c r="FH3" s="48" t="str">
        <f>IF(COUNTIF(BL3:BS3,"GRE")=0,CHAR(34)&amp;"NO_GRE"&amp;CHAR(34)&amp;",", "")</f>
        <v/>
      </c>
      <c r="FI3" s="48" t="str">
        <f>IF(COUNTIF(BL3:BT3,"YEL")=0,CHAR(34)&amp;"NO_YEL"&amp;CHAR(34)&amp;",", "")</f>
        <v/>
      </c>
      <c r="FJ3" s="48" t="str">
        <f>IF(COUNTIF(BL3:BT3,"BLA")=0,CHAR(34)&amp;"NO_BLA"&amp;CHAR(34)&amp;",", "")</f>
        <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"BLRENO",</v>
      </c>
      <c r="FP3" s="48" t="str">
        <f>IF(AND(FF3&lt;&gt;"",FF3&lt;&gt;""),CHAR(34)&amp;"WHRENO"&amp;CHAR(34)&amp;",","")</f>
        <v/>
      </c>
      <c r="FQ3" s="48" t="str">
        <f>IF(LEN(BF3)=3,CHAR(34)&amp;"001"&amp;BF3&amp;CHAR(34)&amp;",","")</f>
        <v/>
      </c>
      <c r="FR3" s="48" t="str">
        <f>IF(LEN(BG3)=3,CHAR(34)&amp;"002"&amp;BG3&amp;CHAR(34)&amp;",","")</f>
        <v/>
      </c>
      <c r="FS3" s="48" t="str">
        <f>IF(LEN(BH3)=3,CHAR(34)&amp;"003"&amp;BH3&amp;CHAR(34)&amp;",","")</f>
        <v/>
      </c>
      <c r="FT3" s="48" t="str">
        <f>CHAR(34)&amp;"myr"&amp;BD3&amp;CHAR(34)&amp;","</f>
        <v>"myrWHI",</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
      </c>
      <c r="GG3" s="48" t="str">
        <f>IF(BU3="y",CHAR(34)&amp;"unjack"&amp;CHAR(34)&amp;",","")</f>
        <v/>
      </c>
      <c r="GH3" s="48" t="str">
        <f>IF(CD3=1,CHAR(34)&amp;"southc"&amp;CHAR(34)&amp;",","")</f>
        <v/>
      </c>
      <c r="GI3" s="48" t="str">
        <f>IF(CE3=1,CHAR(34)&amp;"hasmap"&amp;CHAR(34)&amp;",","")</f>
        <v/>
      </c>
      <c r="GJ3" s="48" t="str">
        <f>IF(CP3="y",CHAR(34)&amp;CP$1&amp;CHAR(34)&amp;",","")</f>
        <v>"NoStar",</v>
      </c>
      <c r="GK3" s="48" t="str">
        <f>IF(GJ3="",CHAR(34)&amp;"HasSta"&amp;CHAR(34)&amp;",","")</f>
        <v/>
      </c>
      <c r="GL3" s="48" t="str">
        <f>IF(CQ3="y",CHAR(34)&amp;CQ$1&amp;CHAR(34)&amp;",","")</f>
        <v/>
      </c>
      <c r="GM3" s="48" t="str">
        <f>IF(CR3="y",CHAR(34)&amp;CR$1&amp;CHAR(34)&amp;",","")</f>
        <v/>
      </c>
      <c r="GN3" s="48" t="str">
        <f>IF(CS3="y",CHAR(34)&amp;CS$1&amp;CHAR(34)&amp;",","")</f>
        <v/>
      </c>
      <c r="GP3" s="48" t="str">
        <f>CHAR(34)&amp;AU3&amp;CHAR(34)</f>
        <v>"State"</v>
      </c>
      <c r="GS3" s="48" t="str">
        <f>SUBSTITUTE("["&amp;_xlfn.CONCAT(CW3:GN3)&amp;"]",",]","]")</f>
        <v>["4Color","words2","lets16","startW","with_q","with_w","NoBand","Circle","Plants","Center","NO_BLU","NO_RED","BLRENO","myrWHI","NoStar"]</v>
      </c>
      <c r="GT3" s="48" t="str">
        <f>IF(BL3&lt;&gt;"",CHAR(34)&amp;"cl_"&amp;BL3&amp;CHAR(34)&amp;",","")</f>
        <v>"cl_WHI",</v>
      </c>
      <c r="GU3" s="48" t="str">
        <f>IF(BM3&lt;&gt;"",CHAR(34)&amp;"cl_"&amp;BM3&amp;CHAR(34)&amp;",","")</f>
        <v>"cl_GRE",</v>
      </c>
      <c r="GV3" s="48" t="str">
        <f>IF(BN3&lt;&gt;"",CHAR(34)&amp;"cl_"&amp;BN3&amp;CHAR(34)&amp;",","")</f>
        <v>"cl_YEL",</v>
      </c>
      <c r="GW3" s="48" t="str">
        <f>IF(BO3&lt;&gt;"",CHAR(34)&amp;"cl_"&amp;BO3&amp;CHAR(34)&amp;",","")</f>
        <v>"cl_BLA",</v>
      </c>
      <c r="GX3" s="48" t="str">
        <f>IF(BP3&lt;&gt;"",CHAR(34)&amp;"cl_"&amp;BP3&amp;CHAR(34)&amp;",","")</f>
        <v/>
      </c>
      <c r="GY3" s="48" t="str">
        <f>IF(BQ3&lt;&gt;"",CHAR(34)&amp;"cl_"&amp;BQ3&amp;CHAR(34)&amp;",","")</f>
        <v/>
      </c>
      <c r="GZ3" s="48" t="str">
        <f>IF(BR3&lt;&gt;"",CHAR(34)&amp;"cl_"&amp;BR3&amp;CHAR(34)&amp;",","")</f>
        <v/>
      </c>
      <c r="HA3" s="48" t="str">
        <f>IF(BS3&lt;&gt;"",CHAR(34)&amp;"cl_"&amp;BS3&amp;CHAR(34)&amp;",","")</f>
        <v/>
      </c>
      <c r="HB3" s="48" t="str">
        <f>IF(BT3&lt;&gt;"",CHAR(34)&amp;"cl_"&amp;BT3&amp;CHAR(34)&amp;",","")</f>
        <v/>
      </c>
      <c r="HC3" s="48" t="str">
        <f>SUBSTITUTE("["&amp;_xlfn.CONCAT(GT3:HB3)&amp;"]",",]","]")</f>
        <v>["cl_WHI","cl_GRE","cl_YEL","cl_BLA"]</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{couname:"[SSD] Western Equatoria",year:"???",region:"rgn_Africa",Colors:["cl_WHI","cl_GRE","cl_YEL","cl_BLA"],Items:["4Color","words2","lets16","startW","with_q","with_w","NoBand","Circle","Plants","Center","NO_BLU","NO_RED","BLRENO","myrWHI","NoStar"],Flag:"https://upload.wikimedia.org/wikipedia/commons/6/65/Flag_of_Western_Equatoria.png",HDFlag:"https://upload.wikimedia.org/wikipedia/commons/6/65/Flag_of_Western_Equatoria.png",type:"State", describe: "\nN/A", isnew:".", links: "https://en.wikipedia.org/wiki/Western_Equatoria"},</v>
      </c>
      <c r="HG3" s="73" t="str">
        <f>"{couname:"&amp;CT3&amp;(IF(HK3&lt;&gt;"",",subtype:"&amp;CHAR(34)&amp;HK3&amp;CHAR(34),""))&amp;",year:"&amp;HJ3&amp;",region:"&amp;CU3&amp;",Colors:"&amp;HC3&amp;",Items:"&amp;GS3&amp;",Flag:"&amp;CV3&amp;",HDFlag:"&amp;CHAR(34)&amp;E3&amp;CHAR(34)&amp;",type:"&amp;GP3&amp;", describe: "&amp;HI3&amp;", links: "&amp;HL3&amp;"},"</f>
        <v>{couname:"[SSD] Western Equatoria",year:"???",region:"rgn_Africa",Colors:["cl_WHI","cl_GRE","cl_YEL","cl_BLA"],Items:["4Color","words2","lets16","startW","with_q","with_w","NoBand","Circle","Plants","Center","NO_BLU","NO_RED","BLRENO","myrWHI","NoStar"],Flag:"https://upload.wikimedia.org/wikipedia/commons/6/65/Flag_of_Western_Equatoria.png",HDFlag:"https://upload.wikimedia.org/wikipedia/commons/6/65/Flag_of_Western_Equatoria.png",type:"State", describe: "\nN/A", links: "https://en.wikipedia.org/wiki/Western_Equatoria"},</v>
      </c>
      <c r="HH3" s="48" t="str">
        <f>IF(P3&lt;&gt;"",CHAR(34)&amp;"\n"&amp;P3&amp;CHAR(34),CHAR(34)&amp;CHAR(34))</f>
        <v>"\nN/A"</v>
      </c>
      <c r="HI3" s="48" t="str">
        <f>IF(J3=0,CHAR(34)&amp;CHAR(34),HH3)</f>
        <v>"\nN/A"</v>
      </c>
      <c r="HJ3" s="48" t="str">
        <f>CHAR(34)&amp;O3&amp;CHAR(34)</f>
        <v>"???"</v>
      </c>
      <c r="HL3" s="48" t="str">
        <f>CHAR(34)&amp;I3&amp;CHAR(34)</f>
        <v>"https://en.wikipedia.org/wiki/Western_Equatoria"</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{"couname":"[SSD] Western Equatoria","year":"???","region":"rgn_Africa","Colors":["cl_WHI","cl_GRE","cl_YEL","cl_BLA"],"Items":["4Color","words2","lets16","startW","with_q","with_w","NoBand","Circle","Plants","Center","NO_BLU","NO_RED","BLRENO","myrWHI","NoStar"],"Flag":"https://upload.wikimedia.org/wikipedia/commons/6/65/Flag_of_Western_Equatoria.png","HDFlag":"https://upload.wikimedia.org/wikipedia/commons/6/65/Flag_of_Western_Equatoria.png","type":"State", "describe": "\nN/A", "isnew": ".", "links": "https://en.wikipedia.org/wiki/Western_Equatoria"},</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{"couname":"[SSD] Western Equatoria","year":"???","region":"rgn_Africa","Colors":["cl_WHI","cl_GRE","cl_YEL","cl_BLA"],"Items":["4Color","words2","lets16","startW","with_q","with_w","NoBand","Circle","Plants","Center","NO_BLU","NO_RED","BLRENO","myrWHI","NoStar"],"Flag":"https://upload.wikimedia.org/wikipedia/commons/6/65/Flag_of_Western_Equatoria.png","HDFlag":"https://upload.wikimedia.org/wikipedia/commons/6/65/Flag_of_Western_Equatoria.png","type":"State", "describe": "\nN/A", "isnew": ".", "links": "https://en.wikipedia.org/wiki/Western_Equatoria"},</v>
      </c>
      <c r="HO3" s="75">
        <v>45644</v>
      </c>
      <c r="HP3" s="48" t="str" cm="1">
        <f t="array" ref="HP3">IF(_xlfn.TEXTJOIN(", ", TRUE, IF(ISNUMBER(SEARCH("BLA", BL3:BT3)), COLUMN(BL3:BT3) - COLUMN(BL3) + 1, ""))&lt;&gt;"","BLA","")</f>
        <v>BLA</v>
      </c>
      <c r="HQ3" s="48" t="str" cm="1">
        <f t="array" ref="HQ3">IF(_xlfn.TEXTJOIN(", ", TRUE, IF(ISNUMBER(SEARCH("BLU", BL3:BT3)), COLUMN(BL3:BT3) - COLUMN(BL3) + 1, ""))&lt;&gt;"","BLU","")</f>
        <v/>
      </c>
      <c r="HR3" s="48" t="str" cm="1">
        <f t="array" ref="HR3">IF(_xlfn.TEXTJOIN(", ", TRUE, IF(ISNUMBER(SEARCH("GRE", BL3:BT3)), COLUMN(BL3:BT3) - COLUMN(BL3) + 1, ""))&lt;&gt;"","GRE","")</f>
        <v>GRE</v>
      </c>
      <c r="HS3" s="48" t="str" cm="1">
        <f t="array" ref="HS3">IF(_xlfn.TEXTJOIN(", ", TRUE, IF(ISNUMBER(SEARCH("RED", BL3:BT3)), COLUMN(BL3:BT3) - COLUMN(BL3) + 1, ""))&lt;&gt;"","RED","")</f>
        <v/>
      </c>
      <c r="HT3" s="48" t="str" cm="1">
        <f t="array" ref="HT3">IF(_xlfn.TEXTJOIN(", ", TRUE, IF(ISNUMBER(SEARCH("YEL", BL3:BT3)), COLUMN(BL3:BT3) - COLUMN(BL3) + 1, ""))&lt;&gt;"","YEL","")</f>
        <v>YEL</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M3" s="45">
        <f>COUNTIF(IC3:IK3,"&gt;0")-CG3</f>
        <v>-4</v>
      </c>
      <c r="IN3" s="78" t="str">
        <f>"http://mkweb.bcgsc.ca/color-summarizer/?url="&amp;D3&amp;"&amp;precision=low&amp;num_clusters="&amp;CG3&amp;"&amp;text=1"</f>
        <v>http://mkweb.bcgsc.ca/color-summarizer/?url=https://upload.wikimedia.org/wikipedia/commons/6/65/Flag_of_Western_Equatoria.png&amp;precision=low&amp;num_clusters=4&amp;text=1</v>
      </c>
      <c r="IO3" s="48" t="str">
        <f>IF(HP3&lt;&gt;"",CHAR(34)&amp;"black"&amp;CHAR(34),"")</f>
        <v>"black"</v>
      </c>
      <c r="IP3" s="48" t="str">
        <f>IF(HQ3&lt;&gt;"",CHAR(34)&amp;"blue"&amp;CHAR(34),"")</f>
        <v/>
      </c>
      <c r="IQ3" s="48" t="str">
        <f>IF(HR3&lt;&gt;"",CHAR(34)&amp;"green"&amp;CHAR(34),"")</f>
        <v>"green"</v>
      </c>
      <c r="IR3" s="48" t="str">
        <f>IF(HS3&lt;&gt;"",CHAR(34)&amp;"red"&amp;CHAR(34),"")</f>
        <v/>
      </c>
      <c r="IS3" s="48" t="str">
        <f>IF(HT3&lt;&gt;"",CHAR(34)&amp;"yellow"&amp;CHAR(34),"")</f>
        <v>"yellow"</v>
      </c>
      <c r="IT3" s="48" t="str">
        <f>IF(HU3&lt;&gt;"",CHAR(34)&amp;"orange"&amp;CHAR(34),"")</f>
        <v/>
      </c>
      <c r="IU3" s="48" t="str">
        <f>IF(HV3&lt;&gt;"",CHAR(34)&amp;"brown"&amp;CHAR(34),"")</f>
        <v/>
      </c>
      <c r="IV3" s="48" t="str">
        <f>IF(HW3&lt;&gt;"",CHAR(34)&amp;"purple"&amp;CHAR(34),"")</f>
        <v/>
      </c>
      <c r="IW3" s="48" t="str">
        <f>IF(HX3&lt;&gt;"",CHAR(34)&amp;"white"&amp;CHAR(34),"")</f>
        <v>"white"</v>
      </c>
      <c r="IX3" s="48" t="str">
        <f>"{"&amp;CHAR(34)&amp;"url"&amp;CHAR(34)&amp;":"&amp;CHAR(34)&amp;IN3&amp;CHAR(34)&amp;","&amp;CHAR(34)&amp;"name"&amp;CHAR(34)&amp;":"&amp;CHAR(34)&amp;A3&amp;CHAR(34)&amp;"},"</f>
        <v>{"url":"http://mkweb.bcgsc.ca/color-summarizer/?url=https://upload.wikimedia.org/wikipedia/commons/6/65/Flag_of_Western_Equatoria.png&amp;precision=low&amp;num_clusters=4&amp;text=1","name":"[SSD] Western Equatoria"},</v>
      </c>
      <c r="IY3" s="48">
        <v>1503</v>
      </c>
    </row>
    <row r="4" spans="1:259" ht="38.4" customHeight="1" x14ac:dyDescent="0.3">
      <c r="F4" s="82"/>
      <c r="G4" s="82"/>
      <c r="H4" s="82"/>
      <c r="I4" s="82"/>
      <c r="J4" s="82"/>
      <c r="K4" s="82"/>
    </row>
    <row r="5" spans="1:259" ht="38.4" customHeight="1" x14ac:dyDescent="0.3">
      <c r="C5" s="81"/>
      <c r="D5" s="81"/>
      <c r="E5" s="81"/>
      <c r="F5" s="81"/>
      <c r="K5" s="81"/>
      <c r="L5" s="81"/>
      <c r="M5" s="81"/>
      <c r="N5" s="81"/>
      <c r="O5" s="81"/>
      <c r="P5" s="81"/>
      <c r="Q5" s="81"/>
    </row>
    <row r="6" spans="1:259" ht="38.4" customHeight="1" x14ac:dyDescent="0.3">
      <c r="C6" s="81"/>
      <c r="D6" s="81"/>
      <c r="E6" s="81"/>
      <c r="F6" s="81"/>
      <c r="K6" s="81"/>
      <c r="L6" s="81"/>
      <c r="M6" s="81"/>
      <c r="N6" s="81"/>
      <c r="O6" s="81"/>
      <c r="P6" s="81"/>
      <c r="Q6" s="81"/>
    </row>
    <row r="7" spans="1:259" ht="38.4" customHeight="1" x14ac:dyDescent="0.3">
      <c r="C7" s="81"/>
      <c r="D7" s="81"/>
      <c r="E7" s="81"/>
      <c r="F7" s="81"/>
      <c r="K7" s="81"/>
      <c r="L7" s="81"/>
      <c r="M7" s="81"/>
      <c r="N7" s="81"/>
      <c r="O7" s="81"/>
      <c r="P7" s="81"/>
      <c r="Q7" s="81"/>
    </row>
    <row r="8" spans="1:259" ht="38.4" customHeight="1" x14ac:dyDescent="0.3">
      <c r="C8" s="81"/>
      <c r="D8" s="81"/>
      <c r="E8" s="81"/>
      <c r="F8" s="81"/>
      <c r="K8" s="81"/>
      <c r="L8" s="81"/>
      <c r="M8" s="81"/>
      <c r="N8" s="81"/>
      <c r="O8" s="81"/>
      <c r="P8" s="81"/>
      <c r="Q8" s="81"/>
    </row>
    <row r="9" spans="1:259" ht="38.4" customHeight="1" x14ac:dyDescent="0.3">
      <c r="C9" s="81"/>
      <c r="D9" s="81"/>
      <c r="E9" s="81"/>
      <c r="F9" s="81"/>
      <c r="K9" s="81"/>
      <c r="L9" s="81"/>
      <c r="M9" s="81"/>
      <c r="N9" s="81"/>
      <c r="O9" s="81"/>
      <c r="P9" s="81"/>
      <c r="Q9" s="81"/>
    </row>
  </sheetData>
  <autoFilter ref="A1:IY1" xr:uid="{A1051193-A95B-4CFB-A73C-F0184620C81F}">
    <sortState xmlns:xlrd2="http://schemas.microsoft.com/office/spreadsheetml/2017/richdata2" ref="A2:IY5">
      <sortCondition ref="AW1"/>
    </sortState>
  </autoFilter>
  <conditionalFormatting sqref="H1 CW1:GS1 IA1:IB1">
    <cfRule type="cellIs" dxfId="1286" priority="118" operator="greaterThan">
      <formula>0</formula>
    </cfRule>
  </conditionalFormatting>
  <conditionalFormatting sqref="H1 H7:H1048576">
    <cfRule type="cellIs" dxfId="1285" priority="84" stopIfTrue="1" operator="notEqual">
      <formula>""</formula>
    </cfRule>
  </conditionalFormatting>
  <conditionalFormatting sqref="T1:BK1">
    <cfRule type="cellIs" dxfId="1284" priority="121" operator="greaterThan">
      <formula>0</formula>
    </cfRule>
  </conditionalFormatting>
  <conditionalFormatting sqref="BV1:BW1 BV4:BW1048576">
    <cfRule type="cellIs" dxfId="1283" priority="120" operator="equal">
      <formula>"nc"</formula>
    </cfRule>
  </conditionalFormatting>
  <conditionalFormatting sqref="HF1:HG1">
    <cfRule type="cellIs" dxfId="1282" priority="122" operator="greaterThan">
      <formula>0</formula>
    </cfRule>
  </conditionalFormatting>
  <conditionalFormatting sqref="HK1">
    <cfRule type="cellIs" dxfId="1281" priority="119" operator="greaterThan">
      <formula>0</formula>
    </cfRule>
  </conditionalFormatting>
  <conditionalFormatting sqref="HP1:HX1">
    <cfRule type="cellIs" dxfId="1280" priority="96" operator="equal">
      <formula>"PIN"</formula>
    </cfRule>
    <cfRule type="cellIs" dxfId="1279" priority="97" operator="equal">
      <formula>"ORA"</formula>
    </cfRule>
    <cfRule type="cellIs" dxfId="1278" priority="98" operator="equal">
      <formula>"GRA"</formula>
    </cfRule>
    <cfRule type="cellIs" dxfId="1277" priority="99" operator="equal">
      <formula>"PUR"</formula>
    </cfRule>
    <cfRule type="cellIs" dxfId="1276" priority="100" operator="equal">
      <formula>"BRO"</formula>
    </cfRule>
    <cfRule type="cellIs" dxfId="1275" priority="101" operator="equal">
      <formula>"YEL"</formula>
    </cfRule>
    <cfRule type="cellIs" dxfId="1274" priority="102" operator="equal">
      <formula>"BLU"</formula>
    </cfRule>
    <cfRule type="cellIs" dxfId="1273" priority="103" operator="equal">
      <formula>"WHI"</formula>
    </cfRule>
    <cfRule type="cellIs" dxfId="1272" priority="104" operator="equal">
      <formula>"GRE"</formula>
    </cfRule>
    <cfRule type="cellIs" dxfId="1271" priority="105" operator="equal">
      <formula>"RED"</formula>
    </cfRule>
    <cfRule type="cellIs" dxfId="1270" priority="106" operator="equal">
      <formula>"BLA"</formula>
    </cfRule>
  </conditionalFormatting>
  <conditionalFormatting sqref="IC1:IK1">
    <cfRule type="cellIs" dxfId="1269" priority="107" operator="equal">
      <formula>"PIN"</formula>
    </cfRule>
    <cfRule type="cellIs" dxfId="1268" priority="108" operator="equal">
      <formula>"ORA"</formula>
    </cfRule>
    <cfRule type="cellIs" dxfId="1267" priority="109" operator="equal">
      <formula>"GRA"</formula>
    </cfRule>
    <cfRule type="cellIs" dxfId="1266" priority="110" operator="equal">
      <formula>"PUR"</formula>
    </cfRule>
    <cfRule type="cellIs" dxfId="1265" priority="111" operator="equal">
      <formula>"BRO"</formula>
    </cfRule>
    <cfRule type="cellIs" dxfId="1264" priority="112" operator="equal">
      <formula>"YEL"</formula>
    </cfRule>
    <cfRule type="cellIs" dxfId="1263" priority="113" operator="equal">
      <formula>"BLU"</formula>
    </cfRule>
    <cfRule type="cellIs" dxfId="1262" priority="114" operator="equal">
      <formula>"WHI"</formula>
    </cfRule>
    <cfRule type="cellIs" dxfId="1261" priority="115" operator="equal">
      <formula>"GRE"</formula>
    </cfRule>
    <cfRule type="cellIs" dxfId="1260" priority="116" operator="equal">
      <formula>"RED"</formula>
    </cfRule>
    <cfRule type="cellIs" dxfId="1259" priority="117" operator="equal">
      <formula>"BLA"</formula>
    </cfRule>
  </conditionalFormatting>
  <conditionalFormatting sqref="IO1:IW1">
    <cfRule type="cellIs" dxfId="1258" priority="85" operator="equal">
      <formula>"PIN"</formula>
    </cfRule>
    <cfRule type="cellIs" dxfId="1257" priority="86" operator="equal">
      <formula>"ORA"</formula>
    </cfRule>
    <cfRule type="cellIs" dxfId="1256" priority="87" operator="equal">
      <formula>"GRA"</formula>
    </cfRule>
    <cfRule type="cellIs" dxfId="1255" priority="88" operator="equal">
      <formula>"PUR"</formula>
    </cfRule>
    <cfRule type="cellIs" dxfId="1254" priority="89" operator="equal">
      <formula>"BRO"</formula>
    </cfRule>
    <cfRule type="cellIs" dxfId="1253" priority="90" operator="equal">
      <formula>"YEL"</formula>
    </cfRule>
    <cfRule type="cellIs" dxfId="1252" priority="91" operator="equal">
      <formula>"BLU"</formula>
    </cfRule>
    <cfRule type="cellIs" dxfId="1251" priority="92" operator="equal">
      <formula>"WHI"</formula>
    </cfRule>
    <cfRule type="cellIs" dxfId="1250" priority="93" operator="equal">
      <formula>"GRE"</formula>
    </cfRule>
    <cfRule type="cellIs" dxfId="1249" priority="94" operator="equal">
      <formula>"RED"</formula>
    </cfRule>
    <cfRule type="cellIs" dxfId="1248" priority="95" operator="equal">
      <formula>"BLA"</formula>
    </cfRule>
  </conditionalFormatting>
  <conditionalFormatting sqref="H3">
    <cfRule type="cellIs" dxfId="1247" priority="76" stopIfTrue="1" operator="notEqual">
      <formula>""</formula>
    </cfRule>
  </conditionalFormatting>
  <conditionalFormatting sqref="R3 CU3">
    <cfRule type="cellIs" dxfId="1246" priority="79" operator="greaterThan">
      <formula>0</formula>
    </cfRule>
  </conditionalFormatting>
  <conditionalFormatting sqref="T3:AS3 CH3:CS3">
    <cfRule type="cellIs" dxfId="1245" priority="73" stopIfTrue="1" operator="equal">
      <formula>"n"</formula>
    </cfRule>
    <cfRule type="cellIs" dxfId="1244" priority="74" stopIfTrue="1" operator="equal">
      <formula>"y"</formula>
    </cfRule>
    <cfRule type="cellIs" dxfId="1243" priority="75" operator="greaterThan">
      <formula>0</formula>
    </cfRule>
  </conditionalFormatting>
  <conditionalFormatting sqref="AZ3:BB3">
    <cfRule type="expression" dxfId="1242" priority="60">
      <formula>$AT3=0</formula>
    </cfRule>
  </conditionalFormatting>
  <conditionalFormatting sqref="CD3:CF3 BX3:CA3 AZ3:BU3">
    <cfRule type="cellIs" dxfId="1241" priority="61" operator="equal">
      <formula>"PIN"</formula>
    </cfRule>
    <cfRule type="cellIs" dxfId="1240" priority="62" operator="equal">
      <formula>"ORA"</formula>
    </cfRule>
    <cfRule type="cellIs" dxfId="1239" priority="63" operator="equal">
      <formula>"GRA"</formula>
    </cfRule>
    <cfRule type="cellIs" dxfId="1238" priority="64" operator="equal">
      <formula>"PUR"</formula>
    </cfRule>
    <cfRule type="cellIs" dxfId="1237" priority="65" operator="equal">
      <formula>"BRO"</formula>
    </cfRule>
    <cfRule type="cellIs" dxfId="1236" priority="66" operator="equal">
      <formula>"YEL"</formula>
    </cfRule>
    <cfRule type="cellIs" dxfId="1235" priority="67" operator="equal">
      <formula>"BLU"</formula>
    </cfRule>
    <cfRule type="cellIs" dxfId="1234" priority="68" operator="equal">
      <formula>"WHI"</formula>
    </cfRule>
    <cfRule type="cellIs" dxfId="1233" priority="69" operator="equal">
      <formula>"GRE"</formula>
    </cfRule>
    <cfRule type="cellIs" dxfId="1232" priority="70" operator="equal">
      <formula>"RED"</formula>
    </cfRule>
    <cfRule type="cellIs" dxfId="1231" priority="71" operator="equal">
      <formula>"BLA"</formula>
    </cfRule>
  </conditionalFormatting>
  <conditionalFormatting sqref="BV3">
    <cfRule type="cellIs" dxfId="1230" priority="78" operator="equal">
      <formula>"nc"</formula>
    </cfRule>
  </conditionalFormatting>
  <conditionalFormatting sqref="CD3:CF3 BX3:CA3">
    <cfRule type="cellIs" dxfId="1229" priority="77" operator="equal">
      <formula>"y"</formula>
    </cfRule>
  </conditionalFormatting>
  <conditionalFormatting sqref="CD3:CF3 BZ3:CA3">
    <cfRule type="cellIs" dxfId="1228" priority="72" operator="greaterThan">
      <formula>0</formula>
    </cfRule>
  </conditionalFormatting>
  <conditionalFormatting sqref="IC3:IK3">
    <cfRule type="expression" dxfId="1227" priority="59">
      <formula>$IL3&gt;0</formula>
    </cfRule>
  </conditionalFormatting>
  <conditionalFormatting sqref="IC3">
    <cfRule type="cellIs" dxfId="1226" priority="53" stopIfTrue="1" operator="greaterThan">
      <formula>0</formula>
    </cfRule>
  </conditionalFormatting>
  <conditionalFormatting sqref="ID3">
    <cfRule type="cellIs" dxfId="1225" priority="51" stopIfTrue="1" operator="greaterThan">
      <formula>0</formula>
    </cfRule>
  </conditionalFormatting>
  <conditionalFormatting sqref="II3 IE3:IF3">
    <cfRule type="cellIs" dxfId="1224" priority="58" operator="greaterThan">
      <formula>0</formula>
    </cfRule>
  </conditionalFormatting>
  <conditionalFormatting sqref="II3 IF3">
    <cfRule type="cellIs" dxfId="1223" priority="52" stopIfTrue="1" operator="greaterThan">
      <formula>0</formula>
    </cfRule>
  </conditionalFormatting>
  <conditionalFormatting sqref="IG3">
    <cfRule type="cellIs" dxfId="1222" priority="57" operator="greaterThan">
      <formula>0</formula>
    </cfRule>
  </conditionalFormatting>
  <conditionalFormatting sqref="IH3:II3">
    <cfRule type="cellIs" dxfId="1221" priority="56" operator="greaterThan">
      <formula>0</formula>
    </cfRule>
  </conditionalFormatting>
  <conditionalFormatting sqref="IJ3">
    <cfRule type="cellIs" dxfId="1220" priority="55" operator="greaterThan">
      <formula>0</formula>
    </cfRule>
  </conditionalFormatting>
  <conditionalFormatting sqref="IK3">
    <cfRule type="cellIs" dxfId="1219" priority="54" operator="greaterThan">
      <formula>0</formula>
    </cfRule>
  </conditionalFormatting>
  <conditionalFormatting sqref="IF3">
    <cfRule type="cellIs" dxfId="1218" priority="50" stopIfTrue="1" operator="greaterThan">
      <formula>0</formula>
    </cfRule>
  </conditionalFormatting>
  <conditionalFormatting sqref="IM3">
    <cfRule type="cellIs" dxfId="1217" priority="49" operator="equal">
      <formula>0</formula>
    </cfRule>
  </conditionalFormatting>
  <conditionalFormatting sqref="BX3:CA3 CD3:CF3">
    <cfRule type="cellIs" dxfId="1216" priority="37" operator="equal">
      <formula>"y"</formula>
    </cfRule>
    <cfRule type="cellIs" dxfId="1215" priority="38" operator="equal">
      <formula>"PIN"</formula>
    </cfRule>
    <cfRule type="cellIs" dxfId="1214" priority="39" operator="equal">
      <formula>"ORA"</formula>
    </cfRule>
    <cfRule type="cellIs" dxfId="1213" priority="40" operator="equal">
      <formula>"GRA"</formula>
    </cfRule>
    <cfRule type="cellIs" dxfId="1212" priority="41" operator="equal">
      <formula>"PUR"</formula>
    </cfRule>
    <cfRule type="cellIs" dxfId="1211" priority="42" operator="equal">
      <formula>"BRO"</formula>
    </cfRule>
    <cfRule type="cellIs" dxfId="1210" priority="43" operator="equal">
      <formula>"YEL"</formula>
    </cfRule>
    <cfRule type="cellIs" dxfId="1209" priority="44" operator="equal">
      <formula>"BLU"</formula>
    </cfRule>
    <cfRule type="cellIs" dxfId="1208" priority="45" operator="equal">
      <formula>"WHI"</formula>
    </cfRule>
    <cfRule type="cellIs" dxfId="1207" priority="46" operator="equal">
      <formula>"GRE"</formula>
    </cfRule>
    <cfRule type="cellIs" dxfId="1206" priority="47" operator="equal">
      <formula>"RED"</formula>
    </cfRule>
    <cfRule type="cellIs" dxfId="1205" priority="48" operator="equal">
      <formula>"BLA"</formula>
    </cfRule>
  </conditionalFormatting>
  <conditionalFormatting sqref="AT3">
    <cfRule type="colorScale" priority="80">
      <colorScale>
        <cfvo type="min"/>
        <cfvo type="max"/>
        <color rgb="FFFCFCFF"/>
        <color theme="8" tint="0.39997558519241921"/>
      </colorScale>
    </cfRule>
  </conditionalFormatting>
  <conditionalFormatting sqref="S3">
    <cfRule type="colorScale" priority="81">
      <colorScale>
        <cfvo type="min"/>
        <cfvo type="max"/>
        <color rgb="FFFCFCFF"/>
        <color rgb="FF754BFB"/>
      </colorScale>
    </cfRule>
  </conditionalFormatting>
  <conditionalFormatting sqref="J3">
    <cfRule type="colorScale" priority="82">
      <colorScale>
        <cfvo type="min"/>
        <cfvo type="percentile" val="50"/>
        <cfvo type="max"/>
        <color rgb="FFF8696B"/>
        <color rgb="FFFFEB84"/>
        <color rgb="FF63BE7B"/>
      </colorScale>
    </cfRule>
  </conditionalFormatting>
  <conditionalFormatting sqref="CG3">
    <cfRule type="colorScale" priority="83">
      <colorScale>
        <cfvo type="min"/>
        <cfvo type="max"/>
        <color rgb="FFFCFCFF"/>
        <color rgb="FF63BE7B"/>
      </colorScale>
    </cfRule>
  </conditionalFormatting>
  <conditionalFormatting sqref="H2">
    <cfRule type="cellIs" dxfId="32" priority="30" stopIfTrue="1" operator="notEqual">
      <formula>""</formula>
    </cfRule>
  </conditionalFormatting>
  <conditionalFormatting sqref="R2 CU2">
    <cfRule type="cellIs" dxfId="31" priority="32" operator="greaterThan">
      <formula>0</formula>
    </cfRule>
  </conditionalFormatting>
  <conditionalFormatting sqref="T2:AS2 CH2:CS2">
    <cfRule type="cellIs" dxfId="30" priority="27" stopIfTrue="1" operator="equal">
      <formula>"n"</formula>
    </cfRule>
    <cfRule type="cellIs" dxfId="29" priority="28" stopIfTrue="1" operator="equal">
      <formula>"y"</formula>
    </cfRule>
    <cfRule type="cellIs" dxfId="28" priority="29" operator="greaterThan">
      <formula>0</formula>
    </cfRule>
  </conditionalFormatting>
  <conditionalFormatting sqref="AZ2:BB2">
    <cfRule type="expression" dxfId="27" priority="14">
      <formula>$AT2=0</formula>
    </cfRule>
  </conditionalFormatting>
  <conditionalFormatting sqref="AZ2:BU2">
    <cfRule type="cellIs" dxfId="26" priority="15" operator="equal">
      <formula>"PIN"</formula>
    </cfRule>
    <cfRule type="cellIs" dxfId="25" priority="16" operator="equal">
      <formula>"ORA"</formula>
    </cfRule>
    <cfRule type="cellIs" dxfId="24" priority="17" operator="equal">
      <formula>"GRA"</formula>
    </cfRule>
    <cfRule type="cellIs" dxfId="23" priority="18" operator="equal">
      <formula>"PUR"</formula>
    </cfRule>
    <cfRule type="cellIs" dxfId="22" priority="19" operator="equal">
      <formula>"BRO"</formula>
    </cfRule>
    <cfRule type="cellIs" dxfId="21" priority="20" operator="equal">
      <formula>"YEL"</formula>
    </cfRule>
    <cfRule type="cellIs" dxfId="20" priority="21" operator="equal">
      <formula>"BLU"</formula>
    </cfRule>
    <cfRule type="cellIs" dxfId="19" priority="22" operator="equal">
      <formula>"WHI"</formula>
    </cfRule>
    <cfRule type="cellIs" dxfId="18" priority="23" operator="equal">
      <formula>"GRE"</formula>
    </cfRule>
    <cfRule type="cellIs" dxfId="17" priority="24" operator="equal">
      <formula>"RED"</formula>
    </cfRule>
    <cfRule type="cellIs" dxfId="16" priority="25" operator="equal">
      <formula>"BLA"</formula>
    </cfRule>
  </conditionalFormatting>
  <conditionalFormatting sqref="BV2">
    <cfRule type="cellIs" dxfId="15" priority="31" operator="equal">
      <formula>"nc"</formula>
    </cfRule>
  </conditionalFormatting>
  <conditionalFormatting sqref="CD2:CF2 BZ2:CA2">
    <cfRule type="cellIs" dxfId="14" priority="26" operator="greaterThan">
      <formula>0</formula>
    </cfRule>
  </conditionalFormatting>
  <conditionalFormatting sqref="IC2:IK2">
    <cfRule type="expression" dxfId="13" priority="13">
      <formula>$IL2&gt;0</formula>
    </cfRule>
  </conditionalFormatting>
  <conditionalFormatting sqref="BX2:CA2 CD2:CF2">
    <cfRule type="cellIs" dxfId="12" priority="1" operator="equal">
      <formula>"y"</formula>
    </cfRule>
    <cfRule type="cellIs" dxfId="11" priority="2" operator="equal">
      <formula>"PIN"</formula>
    </cfRule>
    <cfRule type="cellIs" dxfId="10" priority="3" operator="equal">
      <formula>"ORA"</formula>
    </cfRule>
    <cfRule type="cellIs" dxfId="9" priority="4" operator="equal">
      <formula>"GRA"</formula>
    </cfRule>
    <cfRule type="cellIs" dxfId="8" priority="5" operator="equal">
      <formula>"PUR"</formula>
    </cfRule>
    <cfRule type="cellIs" dxfId="7" priority="6" operator="equal">
      <formula>"BRO"</formula>
    </cfRule>
    <cfRule type="cellIs" dxfId="6" priority="7" operator="equal">
      <formula>"YEL"</formula>
    </cfRule>
    <cfRule type="cellIs" dxfId="5" priority="8" operator="equal">
      <formula>"BLU"</formula>
    </cfRule>
    <cfRule type="cellIs" dxfId="4" priority="9" operator="equal">
      <formula>"WHI"</formula>
    </cfRule>
    <cfRule type="cellIs" dxfId="3" priority="10" operator="equal">
      <formula>"GRE"</formula>
    </cfRule>
    <cfRule type="cellIs" dxfId="2" priority="11" operator="equal">
      <formula>"RED"</formula>
    </cfRule>
    <cfRule type="cellIs" dxfId="1" priority="12" operator="equal">
      <formula>"BLA"</formula>
    </cfRule>
  </conditionalFormatting>
  <conditionalFormatting sqref="J2">
    <cfRule type="colorScale" priority="33">
      <colorScale>
        <cfvo type="min"/>
        <cfvo type="percentile" val="50"/>
        <cfvo type="max"/>
        <color rgb="FFF8696B"/>
        <color rgb="FFFFEB84"/>
        <color rgb="FF63BE7B"/>
      </colorScale>
    </cfRule>
  </conditionalFormatting>
  <conditionalFormatting sqref="S2">
    <cfRule type="colorScale" priority="34">
      <colorScale>
        <cfvo type="min"/>
        <cfvo type="max"/>
        <color rgb="FFFCFCFF"/>
        <color rgb="FF754BFB"/>
      </colorScale>
    </cfRule>
  </conditionalFormatting>
  <conditionalFormatting sqref="AT2">
    <cfRule type="colorScale" priority="35">
      <colorScale>
        <cfvo type="min"/>
        <cfvo type="max"/>
        <color rgb="FFFCFCFF"/>
        <color theme="8" tint="0.39997558519241921"/>
      </colorScale>
    </cfRule>
  </conditionalFormatting>
  <conditionalFormatting sqref="CG2">
    <cfRule type="colorScale" priority="36">
      <colorScale>
        <cfvo type="min"/>
        <cfvo type="max"/>
        <color rgb="FFFCFCFF"/>
        <color rgb="FF63BE7B"/>
      </colorScale>
    </cfRule>
  </conditionalFormatting>
  <hyperlinks>
    <hyperlink ref="A2" r:id="rId1" display="https://fbref.com/en/country/SSD/South-Sudan-Football" xr:uid="{84C14A3B-1484-4BEC-A5D0-8D0A7875F12B}"/>
    <hyperlink ref="E2" r:id="rId2" xr:uid="{46A2E286-5141-4E21-9A5A-F505D14F1FED}"/>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7409" r:id="rId6"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17410" r:id="rId7"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17411" r:id="rId8"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34609B-537D-4846-8629-D4BE0B5FC8F3}">
  <sheetPr codeName="Sheet29"/>
  <dimension ref="A1:IY9"/>
  <sheetViews>
    <sheetView zoomScale="70" zoomScaleNormal="70" workbookViewId="0">
      <pane xSplit="5" ySplit="1" topLeftCell="F2" activePane="bottomRight" state="frozen"/>
      <selection pane="topRight" activeCell="F1" sqref="F1"/>
      <selection pane="bottomLeft" activeCell="A2" sqref="A2"/>
      <selection pane="bottomRight" activeCell="M3" sqref="M3"/>
    </sheetView>
  </sheetViews>
  <sheetFormatPr defaultRowHeight="38.4" customHeight="1" x14ac:dyDescent="0.3"/>
  <cols>
    <col min="1" max="1" width="52.44140625" style="81" bestFit="1" customWidth="1"/>
    <col min="2" max="2" width="10.109375" style="81" customWidth="1"/>
    <col min="3" max="3" width="7.44140625" style="82" customWidth="1"/>
    <col min="4" max="4" width="4.77734375" style="83" customWidth="1"/>
    <col min="5" max="5" width="4.5546875" style="83" customWidth="1"/>
    <col min="6" max="6" width="5.77734375" style="83" customWidth="1"/>
    <col min="7" max="7" width="7.44140625" style="81" customWidth="1"/>
    <col min="8" max="8" width="11.44140625" style="81" customWidth="1"/>
    <col min="9" max="9" width="10" style="81" customWidth="1"/>
    <col min="10" max="10" width="4.21875" style="81" customWidth="1"/>
    <col min="11" max="11" width="5.6640625" style="83" customWidth="1"/>
    <col min="12" max="12" width="2.88671875" style="83" customWidth="1"/>
    <col min="13" max="13" width="6.44140625" style="83" customWidth="1"/>
    <col min="14" max="14" width="4.5546875" style="83" customWidth="1"/>
    <col min="15" max="15" width="10.5546875" style="84" customWidth="1"/>
    <col min="16" max="16" width="6.88671875" style="83" customWidth="1"/>
    <col min="17" max="17" width="4.77734375" style="83" customWidth="1"/>
    <col min="18" max="18" width="13.109375" style="82" customWidth="1"/>
    <col min="19" max="19" width="6.77734375" style="82" customWidth="1"/>
    <col min="20" max="46" width="8.44140625" style="81" customWidth="1"/>
    <col min="47" max="47" width="24.5546875" style="81" customWidth="1"/>
    <col min="48" max="51" width="16.6640625" style="81" customWidth="1"/>
    <col min="52" max="52" width="6.5546875" style="81" customWidth="1"/>
    <col min="53" max="54" width="5.88671875" style="81" customWidth="1"/>
    <col min="55" max="55" width="1.33203125" style="81" customWidth="1"/>
    <col min="56" max="56" width="7.44140625" style="81" customWidth="1"/>
    <col min="57" max="57" width="2.33203125" style="81" customWidth="1"/>
    <col min="58" max="62" width="6.109375" style="81" customWidth="1"/>
    <col min="63" max="63" width="2.33203125" style="81" customWidth="1"/>
    <col min="64" max="64" width="7" style="81" bestFit="1" customWidth="1"/>
    <col min="65" max="65" width="6.44140625" style="81" bestFit="1" customWidth="1"/>
    <col min="66" max="66" width="7.109375" style="81" bestFit="1" customWidth="1"/>
    <col min="67" max="71" width="6.44140625" style="81" bestFit="1" customWidth="1"/>
    <col min="72" max="73" width="6.44140625" style="81" customWidth="1"/>
    <col min="74" max="75" width="13.44140625" style="81" customWidth="1"/>
    <col min="76" max="84" width="14.6640625" style="81" customWidth="1"/>
    <col min="85" max="85" width="6.44140625" style="81" customWidth="1"/>
    <col min="86" max="87" width="11.6640625" style="81" bestFit="1" customWidth="1"/>
    <col min="88" max="88" width="11.6640625" style="81" customWidth="1"/>
    <col min="89" max="89" width="12.77734375" style="81" bestFit="1" customWidth="1"/>
    <col min="90" max="90" width="16.44140625" style="82" bestFit="1" customWidth="1"/>
    <col min="91" max="92" width="14.88671875" style="82" bestFit="1" customWidth="1"/>
    <col min="93" max="93" width="16" style="82" bestFit="1" customWidth="1"/>
    <col min="94" max="97" width="7.77734375" style="81" customWidth="1"/>
    <col min="98" max="98" width="33.21875" style="81" customWidth="1"/>
    <col min="99" max="99" width="18" style="81" customWidth="1"/>
    <col min="100" max="100" width="75.6640625" style="81" customWidth="1"/>
    <col min="101" max="125" width="33" style="81" customWidth="1"/>
    <col min="126" max="126" width="8.88671875" style="81"/>
    <col min="127" max="128" width="9.44140625" style="81" bestFit="1" customWidth="1"/>
    <col min="129" max="129" width="10.77734375" style="81" bestFit="1" customWidth="1"/>
    <col min="130" max="134" width="10.77734375" style="81" customWidth="1"/>
    <col min="135" max="135" width="10.109375" style="81" bestFit="1" customWidth="1"/>
    <col min="136" max="136" width="7.77734375" style="81" bestFit="1" customWidth="1"/>
    <col min="137" max="137" width="7.77734375" style="81" customWidth="1"/>
    <col min="138" max="138" width="9" style="81" bestFit="1" customWidth="1"/>
    <col min="139" max="139" width="11.33203125" style="81" bestFit="1" customWidth="1"/>
    <col min="140" max="140" width="9.109375" style="81" bestFit="1" customWidth="1"/>
    <col min="141" max="141" width="9" style="81" bestFit="1" customWidth="1"/>
    <col min="142" max="142" width="12" style="81" bestFit="1" customWidth="1"/>
    <col min="143" max="166" width="12" style="81" customWidth="1"/>
    <col min="167" max="167" width="17.21875" style="81" customWidth="1"/>
    <col min="168" max="191" width="12" style="81" customWidth="1"/>
    <col min="192" max="192" width="8.5546875" style="81" bestFit="1" customWidth="1"/>
    <col min="193" max="193" width="8.5546875" style="81" customWidth="1"/>
    <col min="194" max="194" width="7.109375" style="81" bestFit="1" customWidth="1"/>
    <col min="195" max="195" width="7.5546875" style="81" bestFit="1" customWidth="1"/>
    <col min="196" max="196" width="8.5546875" style="81" bestFit="1" customWidth="1"/>
    <col min="197" max="200" width="8.5546875" style="81" customWidth="1"/>
    <col min="201" max="201" width="188.88671875" style="81" customWidth="1"/>
    <col min="202" max="202" width="9.5546875" style="81" bestFit="1" customWidth="1"/>
    <col min="203" max="203" width="10.44140625" style="81" bestFit="1" customWidth="1"/>
    <col min="204" max="204" width="11.109375" style="81" bestFit="1" customWidth="1"/>
    <col min="205" max="205" width="10.44140625" style="81" bestFit="1" customWidth="1"/>
    <col min="206" max="210" width="10.44140625" style="81" customWidth="1"/>
    <col min="211" max="211" width="45.44140625" style="81" customWidth="1"/>
    <col min="212" max="212" width="47.5546875" style="81" bestFit="1" customWidth="1"/>
    <col min="213" max="213" width="9.33203125" style="85" customWidth="1"/>
    <col min="214" max="214" width="119.5546875" style="81" customWidth="1"/>
    <col min="215" max="215" width="69.6640625" style="81" customWidth="1"/>
    <col min="216" max="218" width="8.88671875" style="81"/>
    <col min="219" max="219" width="37.109375" style="81" customWidth="1"/>
    <col min="220" max="220" width="16.33203125" style="81" customWidth="1"/>
    <col min="221" max="222" width="8.88671875" style="81"/>
    <col min="223" max="223" width="10.109375" style="81" bestFit="1" customWidth="1"/>
    <col min="224" max="232" width="10.88671875" style="81" customWidth="1"/>
    <col min="233" max="234" width="30.77734375" style="81" customWidth="1"/>
    <col min="235" max="235" width="5.109375" style="81" customWidth="1"/>
    <col min="236" max="236" width="3" style="81" customWidth="1"/>
    <col min="237" max="245" width="6.77734375" style="86" customWidth="1"/>
    <col min="246" max="247" width="8.88671875" style="81"/>
    <col min="248" max="248" width="61.5546875" style="81" customWidth="1"/>
    <col min="249" max="253" width="8.88671875" style="81"/>
    <col min="254" max="254" width="9" style="81" customWidth="1"/>
    <col min="255" max="16384" width="8.88671875" style="8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480</v>
      </c>
      <c r="B2" s="40" t="e" vm="115">
        <v>#VALUE!</v>
      </c>
      <c r="C2" s="41">
        <v>1</v>
      </c>
      <c r="D2" s="42" t="s">
        <v>481</v>
      </c>
      <c r="E2" s="43" t="s">
        <v>482</v>
      </c>
      <c r="F2" s="44" t="s">
        <v>163</v>
      </c>
      <c r="G2" s="45">
        <f>COUNTIF($A$1:$A$8375,A2)</f>
        <v>1</v>
      </c>
      <c r="H2" s="46"/>
      <c r="I2" s="47" t="s">
        <v>483</v>
      </c>
      <c r="J2" s="48" t="str">
        <f>""</f>
        <v/>
      </c>
      <c r="K2" s="49">
        <v>231856</v>
      </c>
      <c r="L2" s="50">
        <v>33400</v>
      </c>
      <c r="M2" s="50" t="s">
        <v>491</v>
      </c>
      <c r="N2" s="51" t="s">
        <v>180</v>
      </c>
      <c r="O2" s="52" t="s">
        <v>312</v>
      </c>
      <c r="P2" s="53" t="s">
        <v>484</v>
      </c>
      <c r="Q2" s="54">
        <v>4</v>
      </c>
      <c r="R2" s="55" t="s">
        <v>180</v>
      </c>
      <c r="S2" s="56">
        <v>3</v>
      </c>
      <c r="T2" s="57" t="s">
        <v>167</v>
      </c>
      <c r="U2" s="58" t="s">
        <v>164</v>
      </c>
      <c r="V2" s="58" t="s">
        <v>167</v>
      </c>
      <c r="W2" s="58" t="s">
        <v>164</v>
      </c>
      <c r="X2" s="58" t="s">
        <v>164</v>
      </c>
      <c r="Y2" s="58" t="s">
        <v>164</v>
      </c>
      <c r="Z2" s="58" t="s">
        <v>164</v>
      </c>
      <c r="AA2" s="58" t="s">
        <v>164</v>
      </c>
      <c r="AB2" s="58" t="s">
        <v>164</v>
      </c>
      <c r="AC2" s="58" t="s">
        <v>164</v>
      </c>
      <c r="AD2" s="58" t="s">
        <v>164</v>
      </c>
      <c r="AE2" s="58" t="s">
        <v>164</v>
      </c>
      <c r="AF2" s="59" t="s">
        <v>167</v>
      </c>
      <c r="AG2" s="59" t="s">
        <v>167</v>
      </c>
      <c r="AH2" s="59" t="s">
        <v>164</v>
      </c>
      <c r="AI2" s="59" t="s">
        <v>164</v>
      </c>
      <c r="AJ2" s="59" t="s">
        <v>164</v>
      </c>
      <c r="AK2" s="59" t="s">
        <v>164</v>
      </c>
      <c r="AL2" s="59" t="s">
        <v>164</v>
      </c>
      <c r="AM2" s="59" t="s">
        <v>164</v>
      </c>
      <c r="AN2" s="59" t="s">
        <v>164</v>
      </c>
      <c r="AO2" s="59" t="s">
        <v>164</v>
      </c>
      <c r="AP2" s="59" t="s">
        <v>164</v>
      </c>
      <c r="AQ2" s="59" t="s">
        <v>164</v>
      </c>
      <c r="AR2" s="59" t="s">
        <v>164</v>
      </c>
      <c r="AS2" s="59" t="s">
        <v>164</v>
      </c>
      <c r="AT2" s="60">
        <v>2</v>
      </c>
      <c r="AU2" s="59"/>
      <c r="AV2" s="59" t="str">
        <f>IF(LEFT(A2,1)="[",LEFT(A2,5)&amp;AU2&amp;A2,"")</f>
        <v/>
      </c>
      <c r="AW2" s="59" t="str">
        <f t="shared" ref="AW2:AW3" si="0">C2&amp;H2&amp;A2</f>
        <v>1Sao Tome and Príncipe</v>
      </c>
      <c r="AX2" s="61" t="str">
        <f>_xlfn.TEXTJOIN(";",TRUE,AU2:AW2)</f>
        <v>1Sao Tome and Príncipe</v>
      </c>
      <c r="AY2" s="61" t="s">
        <v>167</v>
      </c>
      <c r="AZ2" s="62" t="s">
        <v>151</v>
      </c>
      <c r="BA2" s="62"/>
      <c r="BB2" s="62"/>
      <c r="BC2" s="63"/>
      <c r="BD2" s="64" t="s">
        <v>153</v>
      </c>
      <c r="BE2" s="47"/>
      <c r="BF2" s="64" t="s">
        <v>153</v>
      </c>
      <c r="BG2" s="64" t="s">
        <v>155</v>
      </c>
      <c r="BH2" s="64" t="s">
        <v>153</v>
      </c>
      <c r="BI2" s="64"/>
      <c r="BJ2" s="64"/>
      <c r="BK2" s="47"/>
      <c r="BL2" s="64" t="s">
        <v>153</v>
      </c>
      <c r="BM2" s="64" t="s">
        <v>155</v>
      </c>
      <c r="BN2" s="64" t="s">
        <v>151</v>
      </c>
      <c r="BO2" s="64" t="s">
        <v>154</v>
      </c>
      <c r="BP2" s="64"/>
      <c r="BQ2" s="64"/>
      <c r="BR2" s="64"/>
      <c r="BS2" s="64"/>
      <c r="BT2" s="64"/>
      <c r="BU2" s="65"/>
      <c r="BV2" s="66" t="s">
        <v>165</v>
      </c>
      <c r="BW2" s="66">
        <v>0</v>
      </c>
      <c r="BX2" s="47"/>
      <c r="BY2" s="48" t="s">
        <v>164</v>
      </c>
      <c r="CB2" s="6" t="s">
        <v>139</v>
      </c>
      <c r="CC2" s="6"/>
      <c r="CD2" s="67">
        <v>0</v>
      </c>
      <c r="CE2" s="67">
        <v>0</v>
      </c>
      <c r="CF2" s="67" t="e">
        <v>#REF!</v>
      </c>
      <c r="CG2" s="68" cm="1">
        <f t="array" ref="CG2">SUMPRODUCT(--(LEN(TRIM(BL2:BT2))&gt;0))</f>
        <v>4</v>
      </c>
      <c r="CH2" s="59" t="str">
        <f>IF(CG2=2,"y","n")</f>
        <v>n</v>
      </c>
      <c r="CI2" s="59" t="str">
        <f>IF(CG2=3,"y","n")</f>
        <v>n</v>
      </c>
      <c r="CJ2" s="59" t="str">
        <f>IF(CG2=4,"y","n")</f>
        <v>y</v>
      </c>
      <c r="CK2" s="59" t="str">
        <f>IF(CG2&gt;4,"y","n")</f>
        <v>n</v>
      </c>
      <c r="CL2" s="59" t="str">
        <f>IF(S2=0,"y","n")</f>
        <v>n</v>
      </c>
      <c r="CM2" s="59" t="str">
        <f>IF(S2=2,"y","n")</f>
        <v>n</v>
      </c>
      <c r="CN2" s="59" t="str">
        <f>IF(S2=3,"y","n")</f>
        <v>y</v>
      </c>
      <c r="CO2" s="59" t="str">
        <f>IF(S2&gt;=4,"y","n")</f>
        <v>n</v>
      </c>
      <c r="CP2" s="59" t="str">
        <f>IF(AT2=0,"y","n")</f>
        <v>n</v>
      </c>
      <c r="CQ2" s="59" t="str">
        <f>IF(AT2=1,"y","n")</f>
        <v>n</v>
      </c>
      <c r="CR2" s="59" t="str">
        <f>IF(AT2=2,"y","n")</f>
        <v>y</v>
      </c>
      <c r="CS2" s="59" t="str">
        <f>IF(AT2&gt;=3,"y","n")</f>
        <v>n</v>
      </c>
      <c r="CT2" s="69" t="str">
        <f>CHAR(34)&amp;A2&amp;CHAR(34)</f>
        <v>"Sao Tome and Príncipe"</v>
      </c>
      <c r="CU2" s="70" t="str">
        <f>CHAR(34)&amp;"rgn_"&amp;R2&amp;CHAR(34)</f>
        <v>"rgn_Africa"</v>
      </c>
      <c r="CV2" s="48" t="str">
        <f>CHAR(34)&amp;D2&amp;CHAR(34)</f>
        <v>"https://i.ibb.co/cgq81v2/Sao-Tome-Flag.png"</v>
      </c>
      <c r="CW2" s="48" t="str">
        <f>IF(CH2="y",CHAR(34)&amp;CH$1&amp;CHAR(34)&amp;",","")</f>
        <v/>
      </c>
      <c r="CX2" s="48" t="str">
        <f>IF(CI2="y",CHAR(34)&amp;CI$1&amp;CHAR(34)&amp;",","")</f>
        <v/>
      </c>
      <c r="CY2" s="48" t="str">
        <f>IF(CJ2="y",CHAR(34)&amp;CJ$1&amp;CHAR(34)&amp;",","")</f>
        <v>"4Color",</v>
      </c>
      <c r="CZ2" s="48" t="str">
        <f>IF(CK2="y",CHAR(34)&amp;CK$1&amp;CHAR(34)&amp;",","")</f>
        <v/>
      </c>
      <c r="DA2" s="48" t="str">
        <f>IF(Q2&gt;1,CHAR(34)&amp;"words2"&amp;CHAR(34)&amp;",","")</f>
        <v>"words2",</v>
      </c>
      <c r="DB2" s="48" t="str">
        <f>IF(Q2&gt;2,CHAR(34)&amp;"words3"&amp;CHAR(34)&amp;",","")</f>
        <v>"words3",</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"lets18",</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"startS",</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
      </c>
      <c r="DS2" s="6" t="str">
        <f>IF(W2="y",IF(AND(V2="n",BY2&lt;&gt;"y"),CHAR(34)&amp;"allver"&amp;CHAR(34)&amp;",",""),"")</f>
        <v/>
      </c>
      <c r="DT2" s="6" t="str">
        <f>IF(V2="y",IF(AND(W2="n",BY2&lt;&gt;"y"),CHAR(34)&amp;"allhor"&amp;CHAR(34)&amp;",",""),"")</f>
        <v>"allhor",</v>
      </c>
      <c r="DU2" s="6" t="str">
        <f>IF(BY2="y",IF(AND(W2="n",V2="n"),CHAR(34)&amp;"alldia"&amp;CHAR(34)&amp;",",""),"")</f>
        <v/>
      </c>
      <c r="DV2" s="48" t="str">
        <f>IF(IA2&lt;&gt;"",(IF(IA2="y",CHAR(34)&amp;"largec"&amp;CHAR(34)&amp;",",CHAR(34)&amp;"smallc"&amp;CHAR(34)&amp;",")),"")</f>
        <v/>
      </c>
      <c r="DW2" s="48" t="str">
        <f>IF(CL2="y",CHAR(34)&amp;CL$1&amp;CHAR(34)&amp;",","")</f>
        <v/>
      </c>
      <c r="DX2" s="48" t="str">
        <f>IF(CM2="y",CHAR(34)&amp;CM$1&amp;CHAR(34)&amp;",","")</f>
        <v/>
      </c>
      <c r="DY2" s="48" t="str">
        <f>IF(CN2="y",CHAR(34)&amp;CN$1&amp;CHAR(34)&amp;",","")</f>
        <v>"3Bands",</v>
      </c>
      <c r="DZ2" s="48" t="str">
        <f>IF(CO2="y",CHAR(34)&amp;CO$1&amp;CHAR(34)&amp;",","")</f>
        <v/>
      </c>
      <c r="EA2" s="48" t="str">
        <f>IF(T2="y",CHAR(34)&amp;T$1&amp;CHAR(34)&amp;",","")</f>
        <v>"Diagon",</v>
      </c>
      <c r="EB2" s="48" t="str">
        <f>IF(U2="y",CHAR(34)&amp;U$1&amp;CHAR(34)&amp;",","")</f>
        <v/>
      </c>
      <c r="EC2" s="48" t="str">
        <f>IF(V2="y",CHAR(34)&amp;V$1&amp;CHAR(34)&amp;",","")</f>
        <v>"Horizo",</v>
      </c>
      <c r="ED2" s="48" t="str">
        <f>IF(W2="y",CHAR(34)&amp;W$1&amp;CHAR(34)&amp;",","")</f>
        <v/>
      </c>
      <c r="EE2" s="48" t="str">
        <f>IF(X2="y",CHAR(34)&amp;X$1&amp;CHAR(34)&amp;",","")</f>
        <v/>
      </c>
      <c r="EF2" s="48" t="str">
        <f>IF(AND(Y2&lt;&gt;"n",Y2&lt;&gt;""),CHAR(34)&amp;Y$1&amp;CHAR(34)&amp;",","")</f>
        <v/>
      </c>
      <c r="EG2" s="48" t="str">
        <f>IF(Z2="y",CHAR(34)&amp;Z$1&amp;CHAR(34)&amp;",","")</f>
        <v/>
      </c>
      <c r="EH2" s="48" t="str">
        <f>IF(AA2="y",CHAR(34)&amp;AA$1&amp;CHAR(34)&amp;",","")</f>
        <v/>
      </c>
      <c r="EI2" s="48" t="str">
        <f>IF(AB2="y",CHAR(34)&amp;AB$1&amp;CHAR(34)&amp;",","")</f>
        <v/>
      </c>
      <c r="EJ2" s="48" t="str">
        <f>IF(AC2="y",CHAR(34)&amp;AC$1&amp;CHAR(34)&amp;",","")</f>
        <v/>
      </c>
      <c r="EK2" s="48" t="str">
        <f>IF(AD2="y",CHAR(34)&amp;AD$1&amp;CHAR(34)&amp;",","")</f>
        <v/>
      </c>
      <c r="EL2" s="48" t="str">
        <f>IF(AE2="y",CHAR(34)&amp;AE$1&amp;CHAR(34)&amp;",","")</f>
        <v/>
      </c>
      <c r="EM2" s="48" t="str">
        <f>IF(AF2="y",CHAR(34)&amp;AF$1&amp;CHAR(34)&amp;",","")</f>
        <v>"Trside",</v>
      </c>
      <c r="EN2" s="48" t="str">
        <f>IF(AG2="y",CHAR(34)&amp;AG$1&amp;CHAR(34)&amp;",","")</f>
        <v>"Unequa",</v>
      </c>
      <c r="EO2" s="48" t="str">
        <f>IF(AH2="y",CHAR(34)&amp;AH$1&amp;CHAR(34)&amp;",","")</f>
        <v/>
      </c>
      <c r="EP2" s="48" t="str">
        <f>IF(AI2="y",CHAR(34)&amp;AI$1&amp;CHAR(34)&amp;",","")</f>
        <v/>
      </c>
      <c r="EQ2" s="48" t="str">
        <f>IF(AJ2="y",CHAR(34)&amp;AJ$1&amp;CHAR(34)&amp;",","")</f>
        <v/>
      </c>
      <c r="ER2" s="48" t="str">
        <f>IF(AK2="y",CHAR(34)&amp;AK$1&amp;CHAR(34)&amp;",","")</f>
        <v/>
      </c>
      <c r="ES2" s="48" t="str">
        <f>IF(AL2="y",CHAR(34)&amp;AL$1&amp;CHAR(34)&amp;",","")</f>
        <v/>
      </c>
      <c r="ET2" s="48" t="str">
        <f>IF(AM2="y",CHAR(34)&amp;AM$1&amp;CHAR(34)&amp;",","")</f>
        <v/>
      </c>
      <c r="EU2" s="48" t="str">
        <f>IF(AN2="y",CHAR(34)&amp;AN$1&amp;CHAR(34)&amp;",","")</f>
        <v/>
      </c>
      <c r="EV2" s="48" t="str">
        <f>IF(AO2="y",CHAR(34)&amp;AO$1&amp;CHAR(34)&amp;",","")</f>
        <v/>
      </c>
      <c r="EW2" s="48" t="str">
        <f>IF(AP2="y",CHAR(34)&amp;AP$1&amp;CHAR(34)&amp;",","")</f>
        <v/>
      </c>
      <c r="EX2" s="48" t="str">
        <f>IF(AQ2="y",CHAR(34)&amp;AQ$1&amp;CHAR(34)&amp;",","")</f>
        <v/>
      </c>
      <c r="EY2" s="48" t="str">
        <f>IF(AR2="y",CHAR(34)&amp;AR$1&amp;CHAR(34)&amp;",","")</f>
        <v/>
      </c>
      <c r="EZ2" s="48" t="str">
        <f>IF(AS2="y",CHAR(34)&amp;AS$1&amp;CHAR(34)&amp;",","")</f>
        <v/>
      </c>
      <c r="FA2" s="48" t="str">
        <f>IF(AT2&gt;0,CHAR(34)&amp;"sta"&amp;AZ2&amp;CHAR(34)&amp;",","")</f>
        <v>"staBLA",</v>
      </c>
      <c r="FB2" s="48" t="str">
        <f>IF(AND(AT2&gt;0,BA2&lt;&gt;""),CHAR(34)&amp;"sta"&amp;BA2&amp;CHAR(34)&amp;",","")</f>
        <v/>
      </c>
      <c r="FC2" s="48" t="str">
        <f>IF(AND(AT2&gt;0,BB2&lt;&gt;""),CHAR(34)&amp;"sta"&amp;BB2&amp;CHAR(34)&amp;",","")</f>
        <v/>
      </c>
      <c r="FD2" s="48" t="str">
        <f>IF(BV2="n",CHAR(34)&amp;"tcWHYE"&amp;CHAR(34)&amp;",",IF(BV2="y",CHAR(34)&amp;FD$1&amp;CHAR(34)&amp;",",""))</f>
        <v/>
      </c>
      <c r="FE2" s="48" t="str">
        <f>IF(COUNTIF(BL2:BT2,"BLU")=0,CHAR(34)&amp;"NO_BLU"&amp;CHAR(34)&amp;",", "")</f>
        <v>"NO_BLU",</v>
      </c>
      <c r="FF2" s="48" t="str">
        <f>IF(COUNTIF(BL2:BT2,"WHI")=0,CHAR(34)&amp;"NO_WHI"&amp;CHAR(34)&amp;",", "")</f>
        <v>"NO_WHI",</v>
      </c>
      <c r="FG2" s="48" t="str">
        <f>IF(COUNTIF(BL2:BT2,"RED")=0,CHAR(34)&amp;"NO_RED"&amp;CHAR(34)&amp;",", "")</f>
        <v/>
      </c>
      <c r="FH2" s="48" t="str">
        <f>IF(COUNTIF(BL2:BS2,"GRE")=0,CHAR(34)&amp;"NO_GRE"&amp;CHAR(34)&amp;",", "")</f>
        <v/>
      </c>
      <c r="FI2" s="48" t="str">
        <f>IF(COUNTIF(BL2:BT2,"YEL")=0,CHAR(34)&amp;"NO_YEL"&amp;CHAR(34)&amp;",", "")</f>
        <v/>
      </c>
      <c r="FJ2" s="48" t="str">
        <f>IF(COUNTIF(BL2:BT2,"BLA")=0,CHAR(34)&amp;"NO_BLA"&amp;CHAR(34)&amp;",", "")</f>
        <v/>
      </c>
      <c r="FK2" s="48" t="str">
        <f>IF(AND(FH2&lt;&gt;"",FF2&lt;&gt;""),CHAR(34)&amp;"WHGRNO"&amp;CHAR(34)&amp;",","")</f>
        <v/>
      </c>
      <c r="FL2" s="48" t="str">
        <f>IF(AND(FI2&lt;&gt;"",FF2&lt;&gt;""),CHAR(34)&amp;"WHYENO"&amp;CHAR(34)&amp;",","")</f>
        <v/>
      </c>
      <c r="FM2" s="48" t="str">
        <f>IF(AND(FJ2&lt;&gt;"",FF2&lt;&gt;""),CHAR(34)&amp;"BAWHNO"&amp;CHAR(34)&amp;",","")</f>
        <v/>
      </c>
      <c r="FN2" s="48" t="str">
        <f>IF(AND(FE2&lt;&gt;"",FF2&lt;&gt;""),CHAR(34)&amp;"BLWHNO"&amp;CHAR(34)&amp;",","")</f>
        <v>"BLWHNO",</v>
      </c>
      <c r="FO2" s="48" t="str">
        <f>IF(AND(FE2&lt;&gt;"",FG2&lt;&gt;""),CHAR(34)&amp;"BLRENO"&amp;CHAR(34)&amp;",","")</f>
        <v/>
      </c>
      <c r="FP2" s="48" t="str">
        <f>IF(AND(FF2&lt;&gt;"",FF2&lt;&gt;""),CHAR(34)&amp;"WHRENO"&amp;CHAR(34)&amp;",","")</f>
        <v>"WHRENO",</v>
      </c>
      <c r="FQ2" s="48" t="str">
        <f>IF(LEN(BF2)=3,CHAR(34)&amp;"001"&amp;BF2&amp;CHAR(34)&amp;",","")</f>
        <v>"001GRE",</v>
      </c>
      <c r="FR2" s="48" t="str">
        <f>IF(LEN(BG2)=3,CHAR(34)&amp;"002"&amp;BG2&amp;CHAR(34)&amp;",","")</f>
        <v>"002YEL",</v>
      </c>
      <c r="FS2" s="48" t="str">
        <f>IF(LEN(BH2)=3,CHAR(34)&amp;"003"&amp;BH2&amp;CHAR(34)&amp;",","")</f>
        <v>"003GRE",</v>
      </c>
      <c r="FT2" s="48" t="str">
        <f>CHAR(34)&amp;"myr"&amp;BD2&amp;CHAR(34)&amp;","</f>
        <v>"myrGRE",</v>
      </c>
      <c r="FU2" s="48" t="str">
        <f>IF(AY2="y",CHAR(34)&amp;"island"&amp;CHAR(34)&amp;",","")</f>
        <v>"island",</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
      </c>
      <c r="GA2" s="48" t="str">
        <f>IFERROR(IF(SEARCH("French",CB2)&gt;0,CHAR(34)&amp;"french"&amp;CHAR(34)&amp;",",""),"")</f>
        <v/>
      </c>
      <c r="GB2" s="48" t="str">
        <f>IFERROR(IF(SEARCH("Spanish",CB2)&gt;0,CHAR(34)&amp;"spanis"&amp;CHAR(34)&amp;",",""),"")</f>
        <v/>
      </c>
      <c r="GC2" s="48" t="str">
        <f>IFERROR(IF(SEARCH("Portuguese",CB2)&gt;0,CHAR(34)&amp;"portug"&amp;CHAR(34)&amp;",",""),"")</f>
        <v>"portug",</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
      </c>
      <c r="GK2" s="48" t="str">
        <f>IF(GJ2="",CHAR(34)&amp;"HasSta"&amp;CHAR(34)&amp;",","")</f>
        <v>"HasSta",</v>
      </c>
      <c r="GL2" s="48" t="str">
        <f>IF(CQ2="y",CHAR(34)&amp;CQ$1&amp;CHAR(34)&amp;",","")</f>
        <v/>
      </c>
      <c r="GM2" s="48" t="str">
        <f>IF(CR2="y",CHAR(34)&amp;CR$1&amp;CHAR(34)&amp;",","")</f>
        <v>"2Stars",</v>
      </c>
      <c r="GN2" s="48" t="str">
        <f>IF(CS2="y",CHAR(34)&amp;CS$1&amp;CHAR(34)&amp;",","")</f>
        <v/>
      </c>
      <c r="GP2" s="48" t="str">
        <f>CHAR(34)&amp;AU2&amp;CHAR(34)</f>
        <v>""</v>
      </c>
      <c r="GS2" s="48" t="str">
        <f>SUBSTITUTE("["&amp;_xlfn.CONCAT(CW2:GN2)&amp;"]",",]","]")</f>
        <v>["4Color","words2","words3","lets18","startS","year19","allhor","3Bands","Diagon","Horizo","Trside","Unequa","staBLA","NO_BLU","NO_WHI","BLWHNO","WHRENO","001GRE","002YEL","003GRE","myrGRE","island","portug","HasSta","2Stars"]</v>
      </c>
      <c r="GT2" s="48" t="str">
        <f>IF(BL2&lt;&gt;"",CHAR(34)&amp;"cl_"&amp;BL2&amp;CHAR(34)&amp;",","")</f>
        <v>"cl_GRE",</v>
      </c>
      <c r="GU2" s="48" t="str">
        <f>IF(BM2&lt;&gt;"",CHAR(34)&amp;"cl_"&amp;BM2&amp;CHAR(34)&amp;",","")</f>
        <v>"cl_YEL",</v>
      </c>
      <c r="GV2" s="48" t="str">
        <f>IF(BN2&lt;&gt;"",CHAR(34)&amp;"cl_"&amp;BN2&amp;CHAR(34)&amp;",","")</f>
        <v>"cl_BLA",</v>
      </c>
      <c r="GW2" s="48" t="str">
        <f>IF(BO2&lt;&gt;"",CHAR(34)&amp;"cl_"&amp;BO2&amp;CHAR(34)&amp;",","")</f>
        <v>"cl_RED",</v>
      </c>
      <c r="GX2" s="48" t="str">
        <f>IF(BP2&lt;&gt;"",CHAR(34)&amp;"cl_"&amp;BP2&amp;CHAR(34)&amp;",","")</f>
        <v/>
      </c>
      <c r="GY2" s="48" t="str">
        <f>IF(BQ2&lt;&gt;"",CHAR(34)&amp;"cl_"&amp;BQ2&amp;CHAR(34)&amp;",","")</f>
        <v/>
      </c>
      <c r="GZ2" s="48" t="str">
        <f>IF(BR2&lt;&gt;"",CHAR(34)&amp;"cl_"&amp;BR2&amp;CHAR(34)&amp;",","")</f>
        <v/>
      </c>
      <c r="HA2" s="48" t="str">
        <f>IF(BS2&lt;&gt;"",CHAR(34)&amp;"cl_"&amp;BS2&amp;CHAR(34)&amp;",","")</f>
        <v/>
      </c>
      <c r="HB2" s="48" t="str">
        <f>IF(BT2&lt;&gt;"",CHAR(34)&amp;"cl_"&amp;BT2&amp;CHAR(34)&amp;",","")</f>
        <v/>
      </c>
      <c r="HC2" s="48" t="str">
        <f>SUBSTITUTE("["&amp;_xlfn.CONCAT(GT2:HB2)&amp;"]",",]","]")</f>
        <v>["cl_GRE","cl_YEL","cl_BLA","cl_RED"]</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{couname:"Sao Tome and Príncipe",year:"1975 ",region:"rgn_Africa",Colors:["cl_GRE","cl_YEL","cl_BLA","cl_RED"],Items:["4Color","words2","words3","lets18","startS","year19","allhor","3Bands","Diagon","Horizo","Trside","Unequa","staBLA","NO_BLU","NO_WHI","BLWHNO","WHRENO","001GRE","002YEL","003GRE","myrGRE","island","portug","HasSta","2Stars"],Flag:"https://i.ibb.co/cgq81v2/Sao-Tome-Flag.png",HDFlag:"https://upload.wikimedia.org/wikipedia/commons/thumb/0/0a/Flag_of_S%C3%A3o_Tom%C3%A9_and_Pr%C3%ADncipe.svg/2560px-Flag_of_S%C3%A3o_Tom%C3%A9_and_Pr%C3%ADncipe.svg.png",type:"", describe: "\nThe green alludes to the plentiful vegetation of the country, while the yellow stands for the equator, tropical sun and cocoa, a key agricultural crop for the nation. The red evokes the struggle for independence, as well as equality. The two black stars on the yellow band represent the two islands that make up the country, and the black color represents Africa.", isnew:".", links: "https://en.wikipedia.org/wiki/Flag_of_São_Tomé_and_Príncipe"},</v>
      </c>
      <c r="HG2" s="73" t="str">
        <f>"{couname:"&amp;CT2&amp;(IF(HK2&lt;&gt;"",",subtype:"&amp;CHAR(34)&amp;HK2&amp;CHAR(34),""))&amp;",year:"&amp;HJ2&amp;",region:"&amp;CU2&amp;",Colors:"&amp;HC2&amp;",Items:"&amp;GS2&amp;",Flag:"&amp;CV2&amp;",HDFlag:"&amp;CHAR(34)&amp;E2&amp;CHAR(34)&amp;",type:"&amp;GP2&amp;", describe: "&amp;HI2&amp;", links: "&amp;HL2&amp;"},"</f>
        <v>{couname:"Sao Tome and Príncipe",year:"1975 ",region:"rgn_Africa",Colors:["cl_GRE","cl_YEL","cl_BLA","cl_RED"],Items:["4Color","words2","words3","lets18","startS","year19","allhor","3Bands","Diagon","Horizo","Trside","Unequa","staBLA","NO_BLU","NO_WHI","BLWHNO","WHRENO","001GRE","002YEL","003GRE","myrGRE","island","portug","HasSta","2Stars"],Flag:"https://i.ibb.co/cgq81v2/Sao-Tome-Flag.png",HDFlag:"https://upload.wikimedia.org/wikipedia/commons/thumb/0/0a/Flag_of_S%C3%A3o_Tom%C3%A9_and_Pr%C3%ADncipe.svg/2560px-Flag_of_S%C3%A3o_Tom%C3%A9_and_Pr%C3%ADncipe.svg.png",type:"", describe: "\nThe green alludes to the plentiful vegetation of the country, while the yellow stands for the equator, tropical sun and cocoa, a key agricultural crop for the nation. The red evokes the struggle for independence, as well as equality. The two black stars on the yellow band represent the two islands that make up the country, and the black color represents Africa.", links: "https://en.wikipedia.org/wiki/Flag_of_São_Tomé_and_Príncipe"},</v>
      </c>
      <c r="HH2" s="48" t="str">
        <f>IF(P2&lt;&gt;"",CHAR(34)&amp;"\n"&amp;P2&amp;CHAR(34),CHAR(34)&amp;CHAR(34))</f>
        <v>"\nThe green alludes to the plentiful vegetation of the country, while the yellow stands for the equator, tropical sun and cocoa, a key agricultural crop for the nation. The red evokes the struggle for independence, as well as equality. The two black stars on the yellow band represent the two islands that make up the country, and the black color represents Africa."</v>
      </c>
      <c r="HI2" s="48" t="str">
        <f>IF(J2=0,CHAR(34)&amp;CHAR(34),HH2)</f>
        <v>"\nThe green alludes to the plentiful vegetation of the country, while the yellow stands for the equator, tropical sun and cocoa, a key agricultural crop for the nation. The red evokes the struggle for independence, as well as equality. The two black stars on the yellow band represent the two islands that make up the country, and the black color represents Africa."</v>
      </c>
      <c r="HJ2" s="48" t="str">
        <f>CHAR(34)&amp;O2&amp;CHAR(34)</f>
        <v>"1975 "</v>
      </c>
      <c r="HL2" s="48" t="str">
        <f>CHAR(34)&amp;I2&amp;CHAR(34)</f>
        <v>"https://en.wikipedia.org/wiki/Flag_of_São_Tomé_and_Príncipe"</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{"couname":"Sao Tome and Príncipe","year":"1975 ","region":"rgn_Africa","Colors":["cl_GRE","cl_YEL","cl_BLA","cl_RED"],"Items":["4Color","words2","words3","lets18","startS","year19","allhor","3Bands","Diagon","Horizo","Trside","Unequa","staBLA","NO_BLU","NO_WHI","BLWHNO","WHRENO","001GRE","002YEL","003GRE","myrGRE","island","portug","HasSta","2Stars"],"Flag":"https://i.ibb.co/cgq81v2/Sao-Tome-Flag.png","HDFlag":"https://upload.wikimedia.org/wikipedia/commons/thumb/0/0a/Flag_of_S%C3%A3o_Tom%C3%A9_and_Pr%C3%ADncipe.svg/2560px-Flag_of_S%C3%A3o_Tom%C3%A9_and_Pr%C3%ADncipe.svg.png","type":"", "describe": "\nThe green alludes to the plentiful vegetation of the country, while the yellow stands for the equator, tropical sun and cocoa, a key agricultural crop for the nation. The red evokes the struggle for independence, as well as equality. The two black stars on the yellow band represent the two islands that make up the country, and the black color represents Africa.", "isnew": ".", "links": "https://en.wikipedia.org/wiki/Flag_of_São_Tomé_and_Príncipe"},</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{"couname":"Sao Tome and Príncipe","year":"1975 ","region":"rgn_Africa","Colors":["cl_GRE","cl_YEL","cl_BLA","cl_RED"],"Items":["4Color","words2","words3","lets18","startS","year19","allhor","3Bands","Diagon","Horizo","Trside","Unequa","staBLA","NO_BLU","NO_WHI","BLWHNO","WHRENO","001GRE","002YEL","003GRE","myrGRE","island","portug","HasSta","2Stars"],"Flag":"https://i.ibb.co/cgq81v2/Sao-Tome-Flag.png","HDFlag":"https://upload.wikimedia.org/wikipedia/commons/thumb/0/0a/Flag_of_S%C3%A3o_Tom%C3%A9_and_Pr%C3%ADncipe.svg/2560px-Flag_of_S%C3%A3o_Tom%C3%A9_and_Pr%C3%ADncipe.svg.png","type":"", "describe": "\nThe green alludes to the plentiful vegetation of the country, while the yellow stands for the equator, tropical sun and cocoa, a key agricultural crop for the nation. The red evokes the struggle for independence, as well as equality. The two black stars on the yellow band represent the two islands that make up the country, and the black color represents Africa.", "isnew": ".", "links": "https://en.wikipedia.org/wiki/Flag_of_São_Tomé_and_Príncipe"},</v>
      </c>
      <c r="HO2" s="75"/>
      <c r="HP2" s="48" t="str" cm="1">
        <f t="array" ref="HP2">IF(_xlfn.TEXTJOIN(", ", TRUE, IF(ISNUMBER(SEARCH("BLA", BL2:BT2)), COLUMN(BL2:BT2) - COLUMN(BL2) + 1, ""))&lt;&gt;"","BLA","")</f>
        <v>BLA</v>
      </c>
      <c r="HQ2" s="48" t="str" cm="1">
        <f t="array" ref="HQ2">IF(_xlfn.TEXTJOIN(", ", TRUE, IF(ISNUMBER(SEARCH("BLU", BL2:BT2)), COLUMN(BL2:BT2) - COLUMN(BL2) + 1, ""))&lt;&gt;"","BLU","")</f>
        <v/>
      </c>
      <c r="HR2" s="48" t="str" cm="1">
        <f t="array" ref="HR2">IF(_xlfn.TEXTJOIN(", ", TRUE, IF(ISNUMBER(SEARCH("GRE", BL2:BT2)), COLUMN(BL2:BT2) - COLUMN(BL2) + 1, ""))&lt;&gt;"","GRE","")</f>
        <v>GRE</v>
      </c>
      <c r="HS2" s="48" t="str" cm="1">
        <f t="array" ref="HS2">IF(_xlfn.TEXTJOIN(", ", TRUE, IF(ISNUMBER(SEARCH("RED", BL2:BT2)), COLUMN(BL2:BT2) - COLUMN(BL2) + 1, ""))&lt;&gt;"","RED","")</f>
        <v>RED</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
      </c>
      <c r="HY2" s="76"/>
      <c r="HZ2" s="76"/>
      <c r="IA2" s="6"/>
      <c r="IB2" s="6"/>
      <c r="IC2" s="77"/>
      <c r="ID2" s="77"/>
      <c r="IE2" s="77"/>
      <c r="IF2" s="77"/>
      <c r="IG2" s="77"/>
      <c r="IH2" s="77"/>
      <c r="II2" s="77"/>
      <c r="IJ2" s="77"/>
      <c r="IK2" s="77"/>
      <c r="IL2" s="48">
        <f>SUM(IC2:IK2)</f>
        <v>0</v>
      </c>
      <c r="IM2" s="45">
        <f>COUNTIF(IC2:IK2,"&gt;0")-CG2</f>
        <v>-4</v>
      </c>
      <c r="IN2" s="78" t="str">
        <f>"http://mkweb.bcgsc.ca/color-summarizer/?url="&amp;D2&amp;"&amp;precision=low&amp;num_clusters="&amp;CG2&amp;"&amp;text=1"</f>
        <v>http://mkweb.bcgsc.ca/color-summarizer/?url=https://i.ibb.co/cgq81v2/Sao-Tome-Flag.png&amp;precision=low&amp;num_clusters=4&amp;text=1</v>
      </c>
      <c r="IO2" s="48" t="str">
        <f>IF(HP2&lt;&gt;"",CHAR(34)&amp;"black"&amp;CHAR(34),"")</f>
        <v>"black"</v>
      </c>
      <c r="IP2" s="48" t="str">
        <f>IF(HQ2&lt;&gt;"",CHAR(34)&amp;"blue"&amp;CHAR(34),"")</f>
        <v/>
      </c>
      <c r="IQ2" s="48" t="str">
        <f>IF(HR2&lt;&gt;"",CHAR(34)&amp;"green"&amp;CHAR(34),"")</f>
        <v>"green"</v>
      </c>
      <c r="IR2" s="48" t="str">
        <f>IF(HS2&lt;&gt;"",CHAR(34)&amp;"red"&amp;CHAR(34),"")</f>
        <v>"red"</v>
      </c>
      <c r="IS2" s="48" t="str">
        <f>IF(HT2&lt;&gt;"",CHAR(34)&amp;"yellow"&amp;CHAR(34),"")</f>
        <v>"yellow"</v>
      </c>
      <c r="IT2" s="48" t="str">
        <f>IF(HU2&lt;&gt;"",CHAR(34)&amp;"orange"&amp;CHAR(34),"")</f>
        <v/>
      </c>
      <c r="IU2" s="48" t="str">
        <f>IF(HV2&lt;&gt;"",CHAR(34)&amp;"brown"&amp;CHAR(34),"")</f>
        <v/>
      </c>
      <c r="IV2" s="48" t="str">
        <f>IF(HW2&lt;&gt;"",CHAR(34)&amp;"purple"&amp;CHAR(34),"")</f>
        <v/>
      </c>
      <c r="IW2" s="48" t="str">
        <f>IF(HX2&lt;&gt;"",CHAR(34)&amp;"white"&amp;CHAR(34),"")</f>
        <v/>
      </c>
      <c r="IX2" s="48" t="str">
        <f>"{"&amp;CHAR(34)&amp;"url"&amp;CHAR(34)&amp;":"&amp;CHAR(34)&amp;IN2&amp;CHAR(34)&amp;","&amp;CHAR(34)&amp;"name"&amp;CHAR(34)&amp;":"&amp;CHAR(34)&amp;A2&amp;CHAR(34)&amp;"},"</f>
        <v>{"url":"http://mkweb.bcgsc.ca/color-summarizer/?url=https://i.ibb.co/cgq81v2/Sao-Tome-Flag.png&amp;precision=low&amp;num_clusters=4&amp;text=1","name":"Sao Tome and Príncipe"},</v>
      </c>
      <c r="IY2" s="48">
        <v>189</v>
      </c>
    </row>
    <row r="3" spans="1:259" s="48" customFormat="1" ht="38.4" customHeight="1" thickBot="1" x14ac:dyDescent="0.35">
      <c r="A3" s="79" t="s">
        <v>485</v>
      </c>
      <c r="B3" s="40" t="e" vm="116">
        <v>#VALUE!</v>
      </c>
      <c r="C3" s="41">
        <v>2</v>
      </c>
      <c r="D3" s="42" t="s">
        <v>486</v>
      </c>
      <c r="E3" s="43" t="s">
        <v>487</v>
      </c>
      <c r="F3" s="44" t="s">
        <v>163</v>
      </c>
      <c r="G3" s="45">
        <f>COUNTIF($A$1:$A$8390,A3)</f>
        <v>1</v>
      </c>
      <c r="H3" s="46"/>
      <c r="I3" s="47" t="s">
        <v>488</v>
      </c>
      <c r="J3" s="48" t="str">
        <f>""</f>
        <v/>
      </c>
      <c r="K3" s="49"/>
      <c r="L3" s="50"/>
      <c r="M3" s="50"/>
      <c r="N3" s="51" t="s">
        <v>180</v>
      </c>
      <c r="O3" s="52">
        <v>2011</v>
      </c>
      <c r="P3" s="53" t="s">
        <v>489</v>
      </c>
      <c r="Q3" s="54">
        <v>4</v>
      </c>
      <c r="R3" s="55" t="s">
        <v>180</v>
      </c>
      <c r="S3" s="56">
        <v>3</v>
      </c>
      <c r="T3" s="57" t="s">
        <v>164</v>
      </c>
      <c r="U3" s="58" t="s">
        <v>164</v>
      </c>
      <c r="V3" s="58" t="s">
        <v>164</v>
      </c>
      <c r="W3" s="58" t="s">
        <v>167</v>
      </c>
      <c r="X3" s="58" t="s">
        <v>164</v>
      </c>
      <c r="Y3" s="58" t="s">
        <v>167</v>
      </c>
      <c r="Z3" s="58" t="s">
        <v>164</v>
      </c>
      <c r="AA3" s="58" t="s">
        <v>167</v>
      </c>
      <c r="AB3" s="58" t="s">
        <v>167</v>
      </c>
      <c r="AC3" s="58" t="s">
        <v>164</v>
      </c>
      <c r="AD3" s="58" t="s">
        <v>164</v>
      </c>
      <c r="AE3" s="58" t="s">
        <v>164</v>
      </c>
      <c r="AF3" s="59" t="s">
        <v>164</v>
      </c>
      <c r="AG3" s="59" t="s">
        <v>164</v>
      </c>
      <c r="AH3" s="59" t="s">
        <v>167</v>
      </c>
      <c r="AI3" s="59" t="s">
        <v>164</v>
      </c>
      <c r="AJ3" s="59" t="s">
        <v>164</v>
      </c>
      <c r="AK3" s="59" t="s">
        <v>164</v>
      </c>
      <c r="AL3" s="59" t="s">
        <v>164</v>
      </c>
      <c r="AM3" s="59" t="s">
        <v>167</v>
      </c>
      <c r="AN3" s="59" t="s">
        <v>164</v>
      </c>
      <c r="AO3" s="59" t="s">
        <v>164</v>
      </c>
      <c r="AP3" s="59" t="s">
        <v>164</v>
      </c>
      <c r="AQ3" s="59" t="s">
        <v>164</v>
      </c>
      <c r="AR3" s="59" t="s">
        <v>164</v>
      </c>
      <c r="AS3" s="59" t="s">
        <v>164</v>
      </c>
      <c r="AT3" s="60">
        <v>0</v>
      </c>
      <c r="AU3" s="59" t="s">
        <v>490</v>
      </c>
      <c r="AV3" s="59" t="str">
        <f>IF(LEFT(A3,1)="[",LEFT(A3,5)&amp;AU3&amp;A3,"")</f>
        <v>[STP]Autonomous Region[STP] Autonomous Region of Principe</v>
      </c>
      <c r="AW3" s="59" t="str">
        <f t="shared" si="0"/>
        <v>2[STP] Autonomous Region of Principe</v>
      </c>
      <c r="AX3" s="61"/>
      <c r="AY3" s="61"/>
      <c r="AZ3" s="62" t="s">
        <v>172</v>
      </c>
      <c r="BA3" s="62" t="s">
        <v>172</v>
      </c>
      <c r="BB3" s="62"/>
      <c r="BC3" s="63"/>
      <c r="BD3" s="64" t="s">
        <v>169</v>
      </c>
      <c r="BE3" s="47"/>
      <c r="BF3" s="64" t="s">
        <v>153</v>
      </c>
      <c r="BG3" s="64" t="s">
        <v>159</v>
      </c>
      <c r="BH3" s="64" t="s">
        <v>152</v>
      </c>
      <c r="BI3" s="64"/>
      <c r="BJ3" s="64"/>
      <c r="BK3" s="47"/>
      <c r="BL3" s="64" t="s">
        <v>151</v>
      </c>
      <c r="BM3" s="64" t="s">
        <v>152</v>
      </c>
      <c r="BN3" s="64" t="s">
        <v>153</v>
      </c>
      <c r="BO3" s="64" t="s">
        <v>154</v>
      </c>
      <c r="BP3" s="64" t="s">
        <v>155</v>
      </c>
      <c r="BQ3" s="64" t="s">
        <v>172</v>
      </c>
      <c r="BR3" s="64" t="s">
        <v>172</v>
      </c>
      <c r="BS3" s="64" t="s">
        <v>172</v>
      </c>
      <c r="BT3" s="64" t="s">
        <v>159</v>
      </c>
      <c r="BU3" s="65"/>
      <c r="BV3" s="66"/>
      <c r="BW3" s="66">
        <v>0</v>
      </c>
      <c r="BX3" s="47"/>
      <c r="CB3" s="6"/>
      <c r="CC3" s="6"/>
      <c r="CD3" s="67">
        <v>0</v>
      </c>
      <c r="CE3" s="67">
        <v>0</v>
      </c>
      <c r="CF3" s="67" t="e">
        <v>#REF!</v>
      </c>
      <c r="CG3" s="68" cm="1">
        <f t="array" ref="CG3">SUMPRODUCT(--(LEN(TRIM(BL3:BT3))&gt;0))</f>
        <v>6</v>
      </c>
      <c r="CH3" s="59" t="str">
        <f>IF(CG3=2,"y","n")</f>
        <v>n</v>
      </c>
      <c r="CI3" s="59" t="str">
        <f>IF(CG3=3,"y","n")</f>
        <v>n</v>
      </c>
      <c r="CJ3" s="59" t="str">
        <f>IF(CG3=4,"y","n")</f>
        <v>n</v>
      </c>
      <c r="CK3" s="59" t="str">
        <f>IF(CG3&gt;4,"y","n")</f>
        <v>y</v>
      </c>
      <c r="CL3" s="59" t="str">
        <f>IF(S3=0,"y","n")</f>
        <v>n</v>
      </c>
      <c r="CM3" s="59" t="str">
        <f>IF(S3=2,"y","n")</f>
        <v>n</v>
      </c>
      <c r="CN3" s="59" t="str">
        <f>IF(S3=3,"y","n")</f>
        <v>y</v>
      </c>
      <c r="CO3" s="59" t="str">
        <f>IF(S3&gt;=4,"y","n")</f>
        <v>n</v>
      </c>
      <c r="CP3" s="59" t="str">
        <f>IF(AT3=0,"y","n")</f>
        <v>y</v>
      </c>
      <c r="CQ3" s="59" t="str">
        <f>IF(AT3=1,"y","n")</f>
        <v>n</v>
      </c>
      <c r="CR3" s="59" t="str">
        <f>IF(AT3=2,"y","n")</f>
        <v>n</v>
      </c>
      <c r="CS3" s="59" t="str">
        <f>IF(AT3&gt;=3,"y","n")</f>
        <v>n</v>
      </c>
      <c r="CT3" s="69" t="str">
        <f>CHAR(34)&amp;A3&amp;CHAR(34)</f>
        <v>"[STP] Autonomous Region of Principe"</v>
      </c>
      <c r="CU3" s="70" t="str">
        <f>CHAR(34)&amp;"rgn_"&amp;R3&amp;CHAR(34)</f>
        <v>"rgn_Africa"</v>
      </c>
      <c r="CV3" s="48" t="str">
        <f>CHAR(34)&amp;D3&amp;CHAR(34)</f>
        <v>"https://upload.wikimedia.org/wikipedia/commons/thumb/2/21/Flag_of_Pr%C3%ADncipe_Autonomous_Region.svg/320px-Flag_of_Pr%C3%ADncipe_Autonomous_Region.svg.png"</v>
      </c>
      <c r="CW3" s="48" t="str">
        <f>IF(CH3="y",CHAR(34)&amp;CH$1&amp;CHAR(34)&amp;",","")</f>
        <v/>
      </c>
      <c r="CX3" s="48" t="str">
        <f>IF(CI3="y",CHAR(34)&amp;CI$1&amp;CHAR(34)&amp;",","")</f>
        <v/>
      </c>
      <c r="CY3" s="48" t="str">
        <f>IF(CJ3="y",CHAR(34)&amp;CJ$1&amp;CHAR(34)&amp;",","")</f>
        <v/>
      </c>
      <c r="CZ3" s="48" t="str">
        <f>IF(CK3="y",CHAR(34)&amp;CK$1&amp;CHAR(34)&amp;",","")</f>
        <v>"5+Colo",</v>
      </c>
      <c r="DA3" s="48" t="str">
        <f>IF(Q3&gt;1,CHAR(34)&amp;"words2"&amp;CHAR(34)&amp;",","")</f>
        <v>"words2",</v>
      </c>
      <c r="DB3" s="48" t="str">
        <f>IF(Q3&gt;2,CHAR(34)&amp;"words3"&amp;CHAR(34)&amp;",","")</f>
        <v>"words3",</v>
      </c>
      <c r="DC3" s="48" t="str">
        <f>IF(Q3=2,CHAR(34)&amp;"exact2"&amp;CHAR(34)&amp;",","")</f>
        <v/>
      </c>
      <c r="DD3" s="48" t="str">
        <f>IF(LEN(CHAR(34)&amp;"lets"&amp;LEN(SUBSTITUTE(SUBSTITUTE(IFERROR(TRIM(SUBSTITUTE(SUBSTITUTE(SUBSTITUTE(IFERROR(TRIM(SUBSTITUTE(A3,MID(A3,FIND("(",A3),FIND(")",A3)-FIND("(",A3)+1),"")),A3),"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",""),"-",""))&amp;CHAR(34)&amp;",")=9,CHAR(34)&amp;"lets"&amp;LEN(SUBSTITUTE(SUBSTITUTE(IFERROR(TRIM(SUBSTITUTE(SUBSTITUTE(SUBSTITUTE(IFERROR(TRIM(SUBSTITUTE(A3,MID(A3,FIND("(",A3),FIND(")",A3)-FIND("(",A3)+1),"")),A3),"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",""),"-",""))&amp;CHAR(34)&amp;",",CHAR(34)&amp;"lets0"&amp;LEN(SUBSTITUTE(SUBSTITUTE(IFERROR(TRIM(SUBSTITUTE(SUBSTITUTE(SUBSTITUTE(IFERROR(TRIM(SUBSTITUTE(A3,MID(A3,FIND("(",A3),FIND(")",A3)-FIND("(",A3)+1),"")),A3),"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f>
        <v>"lets26",</v>
      </c>
      <c r="DE3" s="48" t="str">
        <f>IFERROR(CHAR(34)&amp;"start"&amp;LEFT(TRIM(SUBSTITUTE(SUBSTITUTE(TRIM(SUBSTITUTE(SUBSTITUTE(A3, MID(A3, FIND("[", A3), FIND("]", A3) - FIND("[", A3) + 1), ""), "  ", " ")), MID(TRIM(SUBSTITUTE(SUBSTITUTE(A3, MID(A3, FIND("[", A3), FIND("]", A3) - FIND("[", A3) + 1), ""), "  ", " ")), FIND("[", TRIM(SUBSTITUTE(SUBSTITUTE(A3, MID(A3, FIND("[", A3), FIND("]", A3) - FIND("[", A3) + 1), ""), "  ", " "))), FIND("]", TRIM(SUBSTITUTE(SUBSTITUTE(A3, MID(A3, FIND("[", A3), FIND("]", A3) - FIND("[", A3) + 1), ""), "  ", " "))) - FIND("[", TRIM(SUBSTITUTE(SUBSTITUTE(A3, MID(A3, FIND("[", A3), FIND("]", A3) - FIND("[", A3) + 1), ""), "  ", " "))) + 1), ""), "  ", " ")),1)&amp;CHAR(34)&amp;",",CHAR(34)&amp;"start"&amp;IFERROR(LEFT(SUBSTITUTE(A3,"["&amp;MID(A3,FIND("[",A3)+1,FIND("]",A3)-FIND("[",A3)-1)&amp;"] ",""),1),LEFT(A3,1))&amp;CHAR(34)&amp;",")</f>
        <v>"startA",</v>
      </c>
      <c r="DF3" s="48" t="str">
        <f>IFERROR(IF(SEARCH("tan",A3)&gt;0,CHAR(34)&amp;"withtn"&amp;CHAR(34)&amp;",",""),"")</f>
        <v/>
      </c>
      <c r="DG3" s="48" t="str">
        <f>IFERROR(IF(SEARCH("q",A3)&gt;0,CHAR(34)&amp;"with_q"&amp;CHAR(34)&amp;",",""),"")</f>
        <v/>
      </c>
      <c r="DH3" s="48" t="str">
        <f>IFERROR(IF(SEARCH("v",A3)&gt;0,CHAR(34)&amp;"with_v"&amp;CHAR(34)&amp;",",""),"")</f>
        <v/>
      </c>
      <c r="DI3" s="48" t="str">
        <f>IFERROR(IF(SEARCH("w",A3)&gt;0,CHAR(34)&amp;"with_w"&amp;CHAR(34)&amp;",",""),"")</f>
        <v/>
      </c>
      <c r="DJ3" s="48" t="str">
        <f>IFERROR(IF(SEARCH("y",A3)&gt;0,CHAR(34)&amp;"with_y"&amp;CHAR(34)&amp;",",""),"")</f>
        <v/>
      </c>
      <c r="DK3" s="48" t="str">
        <f>IFERROR(IF(SEARCH("z",A3)&gt;0,CHAR(34)&amp;"with_z"&amp;CHAR(34)&amp;",",""),"")</f>
        <v/>
      </c>
      <c r="DL3" s="48" t="str">
        <f>IF(CG3=2, CHAR(34) &amp; _xlfn.TEXTJOIN("", TRUE, _xlfn._xlws.SORT(HP3:HX3)) &amp; CHAR(34) &amp; ",", "")</f>
        <v/>
      </c>
      <c r="DM3" s="48" t="str" cm="1">
        <f t="array" ref="DM3">IF(CG3=3,CHAR(34) &amp; _xlfn.TEXTJOIN("", TRUE, RIGHT(HP3:HX3, 2)) &amp; CHAR(34) &amp; ",", "")</f>
        <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
      </c>
      <c r="DP3" s="6" t="str">
        <f>IF(AND(ISNUMBER(SEARCH("20", O3)), ISERROR(SEARCH("1920", O3))), CHAR(34)&amp;"year00"&amp;CHAR(34)&amp;",", "")</f>
        <v>"year00",</v>
      </c>
      <c r="DQ3" s="6" t="str">
        <f>IF(CC3="y",CHAR(34)&amp;"soviet"&amp;CHAR(34)&amp;",","")</f>
        <v/>
      </c>
      <c r="DR3" s="6" t="str">
        <f>IF(BY3="y",CHAR(34)&amp;"dgband"&amp;CHAR(34)&amp;",","")</f>
        <v/>
      </c>
      <c r="DS3" s="6" t="str">
        <f>IF(W3="y",IF(AND(V3="n",BY3&lt;&gt;"y"),CHAR(34)&amp;"allver"&amp;CHAR(34)&amp;",",""),"")</f>
        <v>"allver",</v>
      </c>
      <c r="DT3" s="6" t="str">
        <f>IF(V3="y",IF(AND(W3="n",BY3&lt;&gt;"y"),CHAR(34)&amp;"allhor"&amp;CHAR(34)&amp;",",""),"")</f>
        <v/>
      </c>
      <c r="DU3" s="6" t="str">
        <f>IF(BY3="y",IF(AND(W3="n",V3="n"),CHAR(34)&amp;"alldia"&amp;CHAR(34)&amp;",",""),"")</f>
        <v/>
      </c>
      <c r="DV3" s="48" t="str">
        <f>IF(IA3&lt;&gt;"",(IF(IA3="y",CHAR(34)&amp;"largec"&amp;CHAR(34)&amp;",",CHAR(34)&amp;"smallc"&amp;CHAR(34)&amp;",")),"")</f>
        <v/>
      </c>
      <c r="DW3" s="48" t="str">
        <f>IF(CL3="y",CHAR(34)&amp;CL$1&amp;CHAR(34)&amp;",","")</f>
        <v/>
      </c>
      <c r="DX3" s="48" t="str">
        <f>IF(CM3="y",CHAR(34)&amp;CM$1&amp;CHAR(34)&amp;",","")</f>
        <v/>
      </c>
      <c r="DY3" s="48" t="str">
        <f>IF(CN3="y",CHAR(34)&amp;CN$1&amp;CHAR(34)&amp;",","")</f>
        <v>"3Bands",</v>
      </c>
      <c r="DZ3" s="48" t="str">
        <f>IF(CO3="y",CHAR(34)&amp;CO$1&amp;CHAR(34)&amp;",","")</f>
        <v/>
      </c>
      <c r="EA3" s="48" t="str">
        <f>IF(T3="y",CHAR(34)&amp;T$1&amp;CHAR(34)&amp;",","")</f>
        <v/>
      </c>
      <c r="EB3" s="48" t="str">
        <f>IF(U3="y",CHAR(34)&amp;U$1&amp;CHAR(34)&amp;",","")</f>
        <v/>
      </c>
      <c r="EC3" s="48" t="str">
        <f>IF(V3="y",CHAR(34)&amp;V$1&amp;CHAR(34)&amp;",","")</f>
        <v/>
      </c>
      <c r="ED3" s="48" t="str">
        <f>IF(W3="y",CHAR(34)&amp;W$1&amp;CHAR(34)&amp;",","")</f>
        <v>"Vertic",</v>
      </c>
      <c r="EE3" s="48" t="str">
        <f>IF(X3="y",CHAR(34)&amp;X$1&amp;CHAR(34)&amp;",","")</f>
        <v/>
      </c>
      <c r="EF3" s="48" t="str">
        <f>IF(AND(Y3&lt;&gt;"n",Y3&lt;&gt;""),CHAR(34)&amp;Y$1&amp;CHAR(34)&amp;",","")</f>
        <v>"Animal",</v>
      </c>
      <c r="EG3" s="48" t="str">
        <f>IF(Z3="y",CHAR(34)&amp;Z$1&amp;CHAR(34)&amp;",","")</f>
        <v/>
      </c>
      <c r="EH3" s="48" t="str">
        <f>IF(AA3="y",CHAR(34)&amp;AA$1&amp;CHAR(34)&amp;",","")</f>
        <v>"Plants",</v>
      </c>
      <c r="EI3" s="48" t="str">
        <f>IF(AB3="y",CHAR(34)&amp;AB$1&amp;CHAR(34)&amp;",","")</f>
        <v>"Texted",</v>
      </c>
      <c r="EJ3" s="48" t="str">
        <f>IF(AC3="y",CHAR(34)&amp;AC$1&amp;CHAR(34)&amp;",","")</f>
        <v/>
      </c>
      <c r="EK3" s="48" t="str">
        <f>IF(AD3="y",CHAR(34)&amp;AD$1&amp;CHAR(34)&amp;",","")</f>
        <v/>
      </c>
      <c r="EL3" s="48" t="str">
        <f>IF(AE3="y",CHAR(34)&amp;AE$1&amp;CHAR(34)&amp;",","")</f>
        <v/>
      </c>
      <c r="EM3" s="48" t="str">
        <f>IF(AF3="y",CHAR(34)&amp;AF$1&amp;CHAR(34)&amp;",","")</f>
        <v/>
      </c>
      <c r="EN3" s="48" t="str">
        <f>IF(AG3="y",CHAR(34)&amp;AG$1&amp;CHAR(34)&amp;",","")</f>
        <v/>
      </c>
      <c r="EO3" s="48" t="str">
        <f>IF(AH3="y",CHAR(34)&amp;AH$1&amp;CHAR(34)&amp;",","")</f>
        <v>"Center",</v>
      </c>
      <c r="EP3" s="48" t="str">
        <f>IF(AI3="y",CHAR(34)&amp;AI$1&amp;CHAR(34)&amp;",","")</f>
        <v/>
      </c>
      <c r="EQ3" s="48" t="str">
        <f>IF(AJ3="y",CHAR(34)&amp;AJ$1&amp;CHAR(34)&amp;",","")</f>
        <v/>
      </c>
      <c r="ER3" s="48" t="str">
        <f>IF(AK3="y",CHAR(34)&amp;AK$1&amp;CHAR(34)&amp;",","")</f>
        <v/>
      </c>
      <c r="ES3" s="48" t="str">
        <f>IF(AL3="y",CHAR(34)&amp;AL$1&amp;CHAR(34)&amp;",","")</f>
        <v/>
      </c>
      <c r="ET3" s="48" t="str">
        <f>IF(AM3="y",CHAR(34)&amp;AM$1&amp;CHAR(34)&amp;",","")</f>
        <v>"Geogrh",</v>
      </c>
      <c r="EU3" s="48" t="str">
        <f>IF(AN3="y",CHAR(34)&amp;AN$1&amp;CHAR(34)&amp;",","")</f>
        <v/>
      </c>
      <c r="EV3" s="48" t="str">
        <f>IF(AO3="y",CHAR(34)&amp;AO$1&amp;CHAR(34)&amp;",","")</f>
        <v/>
      </c>
      <c r="EW3" s="48" t="str">
        <f>IF(AP3="y",CHAR(34)&amp;AP$1&amp;CHAR(34)&amp;",","")</f>
        <v/>
      </c>
      <c r="EX3" s="48" t="str">
        <f>IF(AQ3="y",CHAR(34)&amp;AQ$1&amp;CHAR(34)&amp;",","")</f>
        <v/>
      </c>
      <c r="EY3" s="48" t="str">
        <f>IF(AR3="y",CHAR(34)&amp;AR$1&amp;CHAR(34)&amp;",","")</f>
        <v/>
      </c>
      <c r="EZ3" s="48" t="str">
        <f>IF(AS3="y",CHAR(34)&amp;AS$1&amp;CHAR(34)&amp;",","")</f>
        <v/>
      </c>
      <c r="FA3" s="48" t="str">
        <f>IF(AT3&gt;0,CHAR(34)&amp;"sta"&amp;AZ3&amp;CHAR(34)&amp;",","")</f>
        <v/>
      </c>
      <c r="FB3" s="48" t="str">
        <f>IF(AND(AT3&gt;0,BA3&lt;&gt;""),CHAR(34)&amp;"sta"&amp;BA3&amp;CHAR(34)&amp;",","")</f>
        <v/>
      </c>
      <c r="FC3" s="48" t="str">
        <f>IF(AND(AT3&gt;0,BB3&lt;&gt;""),CHAR(34)&amp;"sta"&amp;BB3&amp;CHAR(34)&amp;",","")</f>
        <v/>
      </c>
      <c r="FD3" s="48" t="str">
        <f>IF(BV3="n",CHAR(34)&amp;"tcWHYE"&amp;CHAR(34)&amp;",",IF(BV3="y",CHAR(34)&amp;FD$1&amp;CHAR(34)&amp;",",""))</f>
        <v/>
      </c>
      <c r="FE3" s="48" t="str">
        <f>IF(COUNTIF(BL3:BT3,"BLU")=0,CHAR(34)&amp;"NO_BLU"&amp;CHAR(34)&amp;",", "")</f>
        <v/>
      </c>
      <c r="FF3" s="48" t="str">
        <f>IF(COUNTIF(BL3:BT3,"WHI")=0,CHAR(34)&amp;"NO_WHI"&amp;CHAR(34)&amp;",", "")</f>
        <v/>
      </c>
      <c r="FG3" s="48" t="str">
        <f>IF(COUNTIF(BL3:BT3,"RED")=0,CHAR(34)&amp;"NO_RED"&amp;CHAR(34)&amp;",", "")</f>
        <v/>
      </c>
      <c r="FH3" s="48" t="str">
        <f>IF(COUNTIF(BL3:BS3,"GRE")=0,CHAR(34)&amp;"NO_GRE"&amp;CHAR(34)&amp;",", "")</f>
        <v/>
      </c>
      <c r="FI3" s="48" t="str">
        <f>IF(COUNTIF(BL3:BT3,"YEL")=0,CHAR(34)&amp;"NO_YEL"&amp;CHAR(34)&amp;",", "")</f>
        <v/>
      </c>
      <c r="FJ3" s="48" t="str">
        <f>IF(COUNTIF(BL3:BT3,"BLA")=0,CHAR(34)&amp;"NO_BLA"&amp;CHAR(34)&amp;",", "")</f>
        <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
      </c>
      <c r="FQ3" s="48" t="str">
        <f>IF(LEN(BF3)=3,CHAR(34)&amp;"001"&amp;BF3&amp;CHAR(34)&amp;",","")</f>
        <v>"001GRE",</v>
      </c>
      <c r="FR3" s="48" t="str">
        <f>IF(LEN(BG3)=3,CHAR(34)&amp;"002"&amp;BG3&amp;CHAR(34)&amp;",","")</f>
        <v>"002WHI",</v>
      </c>
      <c r="FS3" s="48" t="str">
        <f>IF(LEN(BH3)=3,CHAR(34)&amp;"003"&amp;BH3&amp;CHAR(34)&amp;",","")</f>
        <v>"003BLU",</v>
      </c>
      <c r="FT3" s="48" t="str">
        <f>CHAR(34)&amp;"myr"&amp;BD3&amp;CHAR(34)&amp;","</f>
        <v>"myrEQ",</v>
      </c>
      <c r="FU3" s="48" t="str">
        <f>IF(AY3="y",CHAR(34)&amp;"island"&amp;CHAR(34)&amp;",","")</f>
        <v/>
      </c>
      <c r="FV3" s="48" t="str">
        <f>IF(BZ3="y",CHAR(34)&amp;"landlo"&amp;CHAR(34)&amp;",","")</f>
        <v/>
      </c>
      <c r="FW3" s="48" t="str">
        <f>IF(CA3="y",CHAR(34)&amp;"eunion"&amp;CHAR(34)&amp;",","")</f>
        <v/>
      </c>
      <c r="FX3" s="48" t="str">
        <f>SUBSTITUTE(IFERROR(SEARCH("[",A3),IFERROR(IF(AND(CA3&lt;&gt;"y",SEARCH("Europe",R3)&gt;0),CHAR(34)&amp;"noeuni"&amp;CHAR(34)&amp;",",""),"")),"1","")</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C3" s="48" t="str">
        <f>IFERROR(IF(SEARCH("Portuguese",CB3)&gt;0,CHAR(34)&amp;"portug"&amp;CHAR(34)&amp;",",""),"")</f>
        <v/>
      </c>
      <c r="GD3" s="48" t="str">
        <f>IFERROR(IF(SEARCH("German",CB3)&gt;0,CHAR(34)&amp;"german"&amp;CHAR(34)&amp;",",""),"")</f>
        <v/>
      </c>
      <c r="GE3" s="48" t="str">
        <f>IFERROR(IF(SEARCH("Dutch",CB3)&gt;0,CHAR(34)&amp;"dutchs"&amp;CHAR(34)&amp;",",""),"")</f>
        <v/>
      </c>
      <c r="GF3" s="48" t="str">
        <f>IFERROR(IF(SEARCH("Historical",AU3)&gt;0,CHAR(34)&amp;"histor"&amp;CHAR(34)&amp;",",""),"")</f>
        <v/>
      </c>
      <c r="GG3" s="48" t="str">
        <f>IF(BU3="y",CHAR(34)&amp;"unjack"&amp;CHAR(34)&amp;",","")</f>
        <v/>
      </c>
      <c r="GH3" s="48" t="str">
        <f>IF(CD3=1,CHAR(34)&amp;"southc"&amp;CHAR(34)&amp;",","")</f>
        <v/>
      </c>
      <c r="GI3" s="48" t="str">
        <f>IF(CE3=1,CHAR(34)&amp;"hasmap"&amp;CHAR(34)&amp;",","")</f>
        <v/>
      </c>
      <c r="GJ3" s="48" t="str">
        <f>IF(CP3="y",CHAR(34)&amp;CP$1&amp;CHAR(34)&amp;",","")</f>
        <v>"NoStar",</v>
      </c>
      <c r="GK3" s="48" t="str">
        <f>IF(GJ3="",CHAR(34)&amp;"HasSta"&amp;CHAR(34)&amp;",","")</f>
        <v/>
      </c>
      <c r="GL3" s="48" t="str">
        <f>IF(CQ3="y",CHAR(34)&amp;CQ$1&amp;CHAR(34)&amp;",","")</f>
        <v/>
      </c>
      <c r="GM3" s="48" t="str">
        <f>IF(CR3="y",CHAR(34)&amp;CR$1&amp;CHAR(34)&amp;",","")</f>
        <v/>
      </c>
      <c r="GN3" s="48" t="str">
        <f>IF(CS3="y",CHAR(34)&amp;CS$1&amp;CHAR(34)&amp;",","")</f>
        <v/>
      </c>
      <c r="GP3" s="48" t="str">
        <f>CHAR(34)&amp;AU3&amp;CHAR(34)</f>
        <v>"Autonomous Region"</v>
      </c>
      <c r="GS3" s="48" t="str">
        <f>SUBSTITUTE("["&amp;_xlfn.CONCAT(CW3:GN3)&amp;"]",",]","]")</f>
        <v>["5+Colo","words2","words3","lets26","startA","year00","allver","3Bands","Vertic","Animal","Plants","Texted","Center","Geogrh","001GRE","002WHI","003BLU","myrEQ","NoStar"]</v>
      </c>
      <c r="GT3" s="48" t="str">
        <f>IF(BL3&lt;&gt;"",CHAR(34)&amp;"cl_"&amp;BL3&amp;CHAR(34)&amp;",","")</f>
        <v>"cl_BLA",</v>
      </c>
      <c r="GU3" s="48" t="str">
        <f>IF(BM3&lt;&gt;"",CHAR(34)&amp;"cl_"&amp;BM3&amp;CHAR(34)&amp;",","")</f>
        <v>"cl_BLU",</v>
      </c>
      <c r="GV3" s="48" t="str">
        <f>IF(BN3&lt;&gt;"",CHAR(34)&amp;"cl_"&amp;BN3&amp;CHAR(34)&amp;",","")</f>
        <v>"cl_GRE",</v>
      </c>
      <c r="GW3" s="48" t="str">
        <f>IF(BO3&lt;&gt;"",CHAR(34)&amp;"cl_"&amp;BO3&amp;CHAR(34)&amp;",","")</f>
        <v>"cl_RED",</v>
      </c>
      <c r="GX3" s="48" t="str">
        <f>IF(BP3&lt;&gt;"",CHAR(34)&amp;"cl_"&amp;BP3&amp;CHAR(34)&amp;",","")</f>
        <v>"cl_YEL",</v>
      </c>
      <c r="GY3" s="48" t="str">
        <f>IF(BQ3&lt;&gt;"",CHAR(34)&amp;"cl_"&amp;BQ3&amp;CHAR(34)&amp;",","")</f>
        <v/>
      </c>
      <c r="GZ3" s="48" t="str">
        <f>IF(BR3&lt;&gt;"",CHAR(34)&amp;"cl_"&amp;BR3&amp;CHAR(34)&amp;",","")</f>
        <v/>
      </c>
      <c r="HA3" s="48" t="str">
        <f>IF(BS3&lt;&gt;"",CHAR(34)&amp;"cl_"&amp;BS3&amp;CHAR(34)&amp;",","")</f>
        <v/>
      </c>
      <c r="HB3" s="48" t="str">
        <f>IF(BT3&lt;&gt;"",CHAR(34)&amp;"cl_"&amp;BT3&amp;CHAR(34)&amp;",","")</f>
        <v>"cl_WHI",</v>
      </c>
      <c r="HC3" s="48" t="str">
        <f>SUBSTITUTE("["&amp;_xlfn.CONCAT(GT3:HB3)&amp;"]",",]","]")</f>
        <v>["cl_BLA","cl_BLU","cl_GRE","cl_RED","cl_YEL","cl_WHI"]</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{couname:"[STP] Autonomous Region of Principe",year:"2011",region:"rgn_Africa",Colors:["cl_BLA","cl_BLU","cl_GRE","cl_RED","cl_YEL","cl_WHI"],Items:["5+Colo","words2","words3","lets26","startA","year00","allver","3Bands","Vertic","Animal","Plants","Texted","Center","Geogrh","001GRE","002WHI","003BLU","myrEQ","NoStar"],Flag:"https://upload.wikimedia.org/wikipedia/commons/thumb/2/21/Flag_of_Pr%C3%ADncipe_Autonomous_Region.svg/320px-Flag_of_Pr%C3%ADncipe_Autonomous_Region.svg.png",HDFlag:"https://upload.wikimedia.org/wikipedia/commons/thumb/2/21/Flag_of_Pr%C3%ADncipe_Autonomous_Region.svg/800px-Flag_of_Pr%C3%ADncipe_Autonomous_Region.svg.png",type:"Autonomous Region", describe: "\nThe flag consists of a vertical triband of green-white-blue with the national coat of arms of São Tomé and Príncipe in the canton and in the middle of the flag in the white stripe is possibly the parrot from the national coat of arms.", isnew:".", links: "https://www.crwflags.com/fotw/flags/st-pr.html"},</v>
      </c>
      <c r="HG3" s="73" t="str">
        <f>"{couname:"&amp;CT3&amp;(IF(HK3&lt;&gt;"",",subtype:"&amp;CHAR(34)&amp;HK3&amp;CHAR(34),""))&amp;",year:"&amp;HJ3&amp;",region:"&amp;CU3&amp;",Colors:"&amp;HC3&amp;",Items:"&amp;GS3&amp;",Flag:"&amp;CV3&amp;",HDFlag:"&amp;CHAR(34)&amp;E3&amp;CHAR(34)&amp;",type:"&amp;GP3&amp;", describe: "&amp;HI3&amp;", links: "&amp;HL3&amp;"},"</f>
        <v>{couname:"[STP] Autonomous Region of Principe",year:"2011",region:"rgn_Africa",Colors:["cl_BLA","cl_BLU","cl_GRE","cl_RED","cl_YEL","cl_WHI"],Items:["5+Colo","words2","words3","lets26","startA","year00","allver","3Bands","Vertic","Animal","Plants","Texted","Center","Geogrh","001GRE","002WHI","003BLU","myrEQ","NoStar"],Flag:"https://upload.wikimedia.org/wikipedia/commons/thumb/2/21/Flag_of_Pr%C3%ADncipe_Autonomous_Region.svg/320px-Flag_of_Pr%C3%ADncipe_Autonomous_Region.svg.png",HDFlag:"https://upload.wikimedia.org/wikipedia/commons/thumb/2/21/Flag_of_Pr%C3%ADncipe_Autonomous_Region.svg/800px-Flag_of_Pr%C3%ADncipe_Autonomous_Region.svg.png",type:"Autonomous Region", describe: "\nThe flag consists of a vertical triband of green-white-blue with the national coat of arms of São Tomé and Príncipe in the canton and in the middle of the flag in the white stripe is possibly the parrot from the national coat of arms.", links: "https://www.crwflags.com/fotw/flags/st-pr.html"},</v>
      </c>
      <c r="HH3" s="48" t="str">
        <f>IF(P3&lt;&gt;"",CHAR(34)&amp;"\n"&amp;P3&amp;CHAR(34),CHAR(34)&amp;CHAR(34))</f>
        <v>"\nThe flag consists of a vertical triband of green-white-blue with the national coat of arms of São Tomé and Príncipe in the canton and in the middle of the flag in the white stripe is possibly the parrot from the national coat of arms."</v>
      </c>
      <c r="HI3" s="48" t="str">
        <f>IF(J3=0,CHAR(34)&amp;CHAR(34),HH3)</f>
        <v>"\nThe flag consists of a vertical triband of green-white-blue with the national coat of arms of São Tomé and Príncipe in the canton and in the middle of the flag in the white stripe is possibly the parrot from the national coat of arms."</v>
      </c>
      <c r="HJ3" s="48" t="str">
        <f>CHAR(34)&amp;O3&amp;CHAR(34)</f>
        <v>"2011"</v>
      </c>
      <c r="HL3" s="48" t="str">
        <f>CHAR(34)&amp;I3&amp;CHAR(34)</f>
        <v>"https://www.crwflags.com/fotw/flags/st-pr.html"</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{"couname":"[STP] Autonomous Region of Principe","year":"2011","region":"rgn_Africa","Colors":["cl_BLA","cl_BLU","cl_GRE","cl_RED","cl_YEL","cl_WHI"],"Items":["5+Colo","words2","words3","lets26","startA","year00","allver","3Bands","Vertic","Animal","Plants","Texted","Center","Geogrh","001GRE","002WHI","003BLU","myrEQ","NoStar"],"Flag":"https://upload.wikimedia.org/wikipedia/commons/thumb/2/21/Flag_of_Pr%C3%ADncipe_Autonomous_Region.svg/320px-Flag_of_Pr%C3%ADncipe_Autonomous_Region.svg.png","HDFlag":"https://upload.wikimedia.org/wikipedia/commons/thumb/2/21/Flag_of_Pr%C3%ADncipe_Autonomous_Region.svg/800px-Flag_of_Pr%C3%ADncipe_Autonomous_Region.svg.png","type":"Autonomous Region", "describe": "\nThe flag consists of a vertical triband of green-white-blue with the national coat of arms of São Tomé and Príncipe in the canton and in the middle of the flag in the white stripe is possibly the parrot from the national coat of arms.", "isnew": ".", "links": "https://www.crwflags.com/fotw/flags/st-pr.html"},</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{"couname":"[STP] Autonomous Region of Principe","year":"2011","region":"rgn_Africa","Colors":["cl_BLA","cl_BLU","cl_GRE","cl_RED","cl_YEL","cl_WHI"],"Items":["5+Colo","words2","words3","lets26","startA","year00","allver","3Bands","Vertic","Animal","Plants","Texted","Center","Geogrh","001GRE","002WHI","003BLU","myrEQ","NoStar"],"Flag":"https://upload.wikimedia.org/wikipedia/commons/thumb/2/21/Flag_of_Pr%C3%ADncipe_Autonomous_Region.svg/320px-Flag_of_Pr%C3%ADncipe_Autonomous_Region.svg.png","HDFlag":"https://upload.wikimedia.org/wikipedia/commons/thumb/2/21/Flag_of_Pr%C3%ADncipe_Autonomous_Region.svg/800px-Flag_of_Pr%C3%ADncipe_Autonomous_Region.svg.png","type":"Autonomous Region", "describe": "\nThe flag consists of a vertical triband of green-white-blue with the national coat of arms of São Tomé and Príncipe in the canton and in the middle of the flag in the white stripe is possibly the parrot from the national coat of arms.", "isnew": ".", "links": "https://www.crwflags.com/fotw/flags/st-pr.html"},</v>
      </c>
      <c r="HO3" s="75">
        <v>45583</v>
      </c>
      <c r="HP3" s="48" t="str" cm="1">
        <f t="array" ref="HP3">IF(_xlfn.TEXTJOIN(", ", TRUE, IF(ISNUMBER(SEARCH("BLA", BL3:BT3)), COLUMN(BL3:BT3) - COLUMN(BL3) + 1, ""))&lt;&gt;"","BLA","")</f>
        <v>BLA</v>
      </c>
      <c r="HQ3" s="48" t="str" cm="1">
        <f t="array" ref="HQ3">IF(_xlfn.TEXTJOIN(", ", TRUE, IF(ISNUMBER(SEARCH("BLU", BL3:BT3)), COLUMN(BL3:BT3) - COLUMN(BL3) + 1, ""))&lt;&gt;"","BLU","")</f>
        <v>BLU</v>
      </c>
      <c r="HR3" s="48" t="str" cm="1">
        <f t="array" ref="HR3">IF(_xlfn.TEXTJOIN(", ", TRUE, IF(ISNUMBER(SEARCH("GRE", BL3:BT3)), COLUMN(BL3:BT3) - COLUMN(BL3) + 1, ""))&lt;&gt;"","GRE","")</f>
        <v>GRE</v>
      </c>
      <c r="HS3" s="48" t="str" cm="1">
        <f t="array" ref="HS3">IF(_xlfn.TEXTJOIN(", ", TRUE, IF(ISNUMBER(SEARCH("RED", BL3:BT3)), COLUMN(BL3:BT3) - COLUMN(BL3) + 1, ""))&lt;&gt;"","RED","")</f>
        <v>RED</v>
      </c>
      <c r="HT3" s="48" t="str" cm="1">
        <f t="array" ref="HT3">IF(_xlfn.TEXTJOIN(", ", TRUE, IF(ISNUMBER(SEARCH("YEL", BL3:BT3)), COLUMN(BL3:BT3) - COLUMN(BL3) + 1, ""))&lt;&gt;"","YEL","")</f>
        <v>YEL</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L3" s="48">
        <f>SUM(IC3:IK3)</f>
        <v>0</v>
      </c>
      <c r="IM3" s="45">
        <f>COUNTIF(IC3:IK3,"&gt;0")-CG3</f>
        <v>-6</v>
      </c>
      <c r="IN3" s="78" t="str">
        <f>"http://mkweb.bcgsc.ca/color-summarizer/?url="&amp;D3&amp;"&amp;precision=low&amp;num_clusters="&amp;CG3&amp;"&amp;text=1"</f>
        <v>http://mkweb.bcgsc.ca/color-summarizer/?url=https://upload.wikimedia.org/wikipedia/commons/thumb/2/21/Flag_of_Pr%C3%ADncipe_Autonomous_Region.svg/320px-Flag_of_Pr%C3%ADncipe_Autonomous_Region.svg.png&amp;precision=low&amp;num_clusters=6&amp;text=1</v>
      </c>
      <c r="IO3" s="48" t="str">
        <f>IF(HP3&lt;&gt;"",CHAR(34)&amp;"black"&amp;CHAR(34),"")</f>
        <v>"black"</v>
      </c>
      <c r="IP3" s="48" t="str">
        <f>IF(HQ3&lt;&gt;"",CHAR(34)&amp;"blue"&amp;CHAR(34),"")</f>
        <v>"blue"</v>
      </c>
      <c r="IQ3" s="48" t="str">
        <f>IF(HR3&lt;&gt;"",CHAR(34)&amp;"green"&amp;CHAR(34),"")</f>
        <v>"green"</v>
      </c>
      <c r="IR3" s="48" t="str">
        <f>IF(HS3&lt;&gt;"",CHAR(34)&amp;"red"&amp;CHAR(34),"")</f>
        <v>"red"</v>
      </c>
      <c r="IS3" s="48" t="str">
        <f>IF(HT3&lt;&gt;"",CHAR(34)&amp;"yellow"&amp;CHAR(34),"")</f>
        <v>"yellow"</v>
      </c>
      <c r="IT3" s="48" t="str">
        <f>IF(HU3&lt;&gt;"",CHAR(34)&amp;"orange"&amp;CHAR(34),"")</f>
        <v/>
      </c>
      <c r="IU3" s="48" t="str">
        <f>IF(HV3&lt;&gt;"",CHAR(34)&amp;"brown"&amp;CHAR(34),"")</f>
        <v/>
      </c>
      <c r="IV3" s="48" t="str">
        <f>IF(HW3&lt;&gt;"",CHAR(34)&amp;"purple"&amp;CHAR(34),"")</f>
        <v/>
      </c>
      <c r="IW3" s="48" t="str">
        <f>IF(HX3&lt;&gt;"",CHAR(34)&amp;"white"&amp;CHAR(34),"")</f>
        <v>"white"</v>
      </c>
      <c r="IX3" s="48" t="str">
        <f>"{"&amp;CHAR(34)&amp;"url"&amp;CHAR(34)&amp;":"&amp;CHAR(34)&amp;IN3&amp;CHAR(34)&amp;","&amp;CHAR(34)&amp;"name"&amp;CHAR(34)&amp;":"&amp;CHAR(34)&amp;A3&amp;CHAR(34)&amp;"},"</f>
        <v>{"url":"http://mkweb.bcgsc.ca/color-summarizer/?url=https://upload.wikimedia.org/wikipedia/commons/thumb/2/21/Flag_of_Pr%C3%ADncipe_Autonomous_Region.svg/320px-Flag_of_Pr%C3%ADncipe_Autonomous_Region.svg.png&amp;precision=low&amp;num_clusters=6&amp;text=1","name":"[STP] Autonomous Region of Principe"},</v>
      </c>
      <c r="IY3" s="48">
        <v>783</v>
      </c>
    </row>
    <row r="4" spans="1:259" ht="38.4" customHeight="1" x14ac:dyDescent="0.3">
      <c r="F4" s="82"/>
      <c r="G4" s="82"/>
      <c r="H4" s="82"/>
      <c r="I4" s="82"/>
      <c r="J4" s="82"/>
      <c r="K4" s="82"/>
    </row>
    <row r="5" spans="1:259" ht="38.4" customHeight="1" x14ac:dyDescent="0.3">
      <c r="F5" s="82"/>
      <c r="G5" s="82"/>
      <c r="H5" s="82"/>
      <c r="I5" s="82"/>
      <c r="J5" s="82"/>
      <c r="K5" s="82"/>
    </row>
    <row r="6" spans="1:259" ht="38.4" customHeight="1" x14ac:dyDescent="0.3">
      <c r="K6" s="81"/>
      <c r="L6" s="81"/>
      <c r="M6" s="81"/>
    </row>
    <row r="7" spans="1:259" ht="38.4" customHeight="1" x14ac:dyDescent="0.3">
      <c r="K7" s="81"/>
      <c r="L7" s="81"/>
      <c r="M7" s="81"/>
    </row>
    <row r="8" spans="1:259" ht="38.4" customHeight="1" x14ac:dyDescent="0.3">
      <c r="K8" s="81"/>
      <c r="L8" s="81"/>
      <c r="M8" s="81"/>
    </row>
    <row r="9" spans="1:259" ht="38.4" customHeight="1" x14ac:dyDescent="0.3">
      <c r="K9" s="81"/>
      <c r="L9" s="81"/>
      <c r="M9" s="81"/>
    </row>
  </sheetData>
  <autoFilter ref="A1:IY1" xr:uid="{A1051193-A95B-4CFB-A73C-F0184620C81F}">
    <sortState xmlns:xlrd2="http://schemas.microsoft.com/office/spreadsheetml/2017/richdata2" ref="A2:IY5">
      <sortCondition ref="AW1"/>
    </sortState>
  </autoFilter>
  <conditionalFormatting sqref="H1 CW1:GS1 IA1:IB1">
    <cfRule type="cellIs" dxfId="1204" priority="118" operator="greaterThan">
      <formula>0</formula>
    </cfRule>
  </conditionalFormatting>
  <conditionalFormatting sqref="H1 H10:H1048576">
    <cfRule type="cellIs" dxfId="1203" priority="84" stopIfTrue="1" operator="notEqual">
      <formula>""</formula>
    </cfRule>
  </conditionalFormatting>
  <conditionalFormatting sqref="T1:BK1">
    <cfRule type="cellIs" dxfId="1202" priority="121" operator="greaterThan">
      <formula>0</formula>
    </cfRule>
  </conditionalFormatting>
  <conditionalFormatting sqref="BV1:BW1 BV4:BW1048576">
    <cfRule type="cellIs" dxfId="1201" priority="120" operator="equal">
      <formula>"nc"</formula>
    </cfRule>
  </conditionalFormatting>
  <conditionalFormatting sqref="HF1:HG1">
    <cfRule type="cellIs" dxfId="1200" priority="122" operator="greaterThan">
      <formula>0</formula>
    </cfRule>
  </conditionalFormatting>
  <conditionalFormatting sqref="HK1">
    <cfRule type="cellIs" dxfId="1199" priority="119" operator="greaterThan">
      <formula>0</formula>
    </cfRule>
  </conditionalFormatting>
  <conditionalFormatting sqref="HP1:HX1">
    <cfRule type="cellIs" dxfId="1198" priority="96" operator="equal">
      <formula>"PIN"</formula>
    </cfRule>
    <cfRule type="cellIs" dxfId="1197" priority="97" operator="equal">
      <formula>"ORA"</formula>
    </cfRule>
    <cfRule type="cellIs" dxfId="1196" priority="98" operator="equal">
      <formula>"GRA"</formula>
    </cfRule>
    <cfRule type="cellIs" dxfId="1195" priority="99" operator="equal">
      <formula>"PUR"</formula>
    </cfRule>
    <cfRule type="cellIs" dxfId="1194" priority="100" operator="equal">
      <formula>"BRO"</formula>
    </cfRule>
    <cfRule type="cellIs" dxfId="1193" priority="101" operator="equal">
      <formula>"YEL"</formula>
    </cfRule>
    <cfRule type="cellIs" dxfId="1192" priority="102" operator="equal">
      <formula>"BLU"</formula>
    </cfRule>
    <cfRule type="cellIs" dxfId="1191" priority="103" operator="equal">
      <formula>"WHI"</formula>
    </cfRule>
    <cfRule type="cellIs" dxfId="1190" priority="104" operator="equal">
      <formula>"GRE"</formula>
    </cfRule>
    <cfRule type="cellIs" dxfId="1189" priority="105" operator="equal">
      <formula>"RED"</formula>
    </cfRule>
    <cfRule type="cellIs" dxfId="1188" priority="106" operator="equal">
      <formula>"BLA"</formula>
    </cfRule>
  </conditionalFormatting>
  <conditionalFormatting sqref="IC1:IK1">
    <cfRule type="cellIs" dxfId="1187" priority="107" operator="equal">
      <formula>"PIN"</formula>
    </cfRule>
    <cfRule type="cellIs" dxfId="1186" priority="108" operator="equal">
      <formula>"ORA"</formula>
    </cfRule>
    <cfRule type="cellIs" dxfId="1185" priority="109" operator="equal">
      <formula>"GRA"</formula>
    </cfRule>
    <cfRule type="cellIs" dxfId="1184" priority="110" operator="equal">
      <formula>"PUR"</formula>
    </cfRule>
    <cfRule type="cellIs" dxfId="1183" priority="111" operator="equal">
      <formula>"BRO"</formula>
    </cfRule>
    <cfRule type="cellIs" dxfId="1182" priority="112" operator="equal">
      <formula>"YEL"</formula>
    </cfRule>
    <cfRule type="cellIs" dxfId="1181" priority="113" operator="equal">
      <formula>"BLU"</formula>
    </cfRule>
    <cfRule type="cellIs" dxfId="1180" priority="114" operator="equal">
      <formula>"WHI"</formula>
    </cfRule>
    <cfRule type="cellIs" dxfId="1179" priority="115" operator="equal">
      <formula>"GRE"</formula>
    </cfRule>
    <cfRule type="cellIs" dxfId="1178" priority="116" operator="equal">
      <formula>"RED"</formula>
    </cfRule>
    <cfRule type="cellIs" dxfId="1177" priority="117" operator="equal">
      <formula>"BLA"</formula>
    </cfRule>
  </conditionalFormatting>
  <conditionalFormatting sqref="IO1:IW1">
    <cfRule type="cellIs" dxfId="1176" priority="85" operator="equal">
      <formula>"PIN"</formula>
    </cfRule>
    <cfRule type="cellIs" dxfId="1175" priority="86" operator="equal">
      <formula>"ORA"</formula>
    </cfRule>
    <cfRule type="cellIs" dxfId="1174" priority="87" operator="equal">
      <formula>"GRA"</formula>
    </cfRule>
    <cfRule type="cellIs" dxfId="1173" priority="88" operator="equal">
      <formula>"PUR"</formula>
    </cfRule>
    <cfRule type="cellIs" dxfId="1172" priority="89" operator="equal">
      <formula>"BRO"</formula>
    </cfRule>
    <cfRule type="cellIs" dxfId="1171" priority="90" operator="equal">
      <formula>"YEL"</formula>
    </cfRule>
    <cfRule type="cellIs" dxfId="1170" priority="91" operator="equal">
      <formula>"BLU"</formula>
    </cfRule>
    <cfRule type="cellIs" dxfId="1169" priority="92" operator="equal">
      <formula>"WHI"</formula>
    </cfRule>
    <cfRule type="cellIs" dxfId="1168" priority="93" operator="equal">
      <formula>"GRE"</formula>
    </cfRule>
    <cfRule type="cellIs" dxfId="1167" priority="94" operator="equal">
      <formula>"RED"</formula>
    </cfRule>
    <cfRule type="cellIs" dxfId="1166" priority="95" operator="equal">
      <formula>"BLA"</formula>
    </cfRule>
  </conditionalFormatting>
  <conditionalFormatting sqref="H2">
    <cfRule type="cellIs" dxfId="1165" priority="77" stopIfTrue="1" operator="notEqual">
      <formula>""</formula>
    </cfRule>
  </conditionalFormatting>
  <conditionalFormatting sqref="R2 CU2">
    <cfRule type="cellIs" dxfId="1164" priority="79" operator="greaterThan">
      <formula>0</formula>
    </cfRule>
  </conditionalFormatting>
  <conditionalFormatting sqref="T2:AS2 CH2:CS2">
    <cfRule type="cellIs" dxfId="1163" priority="74" stopIfTrue="1" operator="equal">
      <formula>"n"</formula>
    </cfRule>
    <cfRule type="cellIs" dxfId="1162" priority="75" stopIfTrue="1" operator="equal">
      <formula>"y"</formula>
    </cfRule>
    <cfRule type="cellIs" dxfId="1161" priority="76" operator="greaterThan">
      <formula>0</formula>
    </cfRule>
  </conditionalFormatting>
  <conditionalFormatting sqref="AZ2:BB2">
    <cfRule type="expression" dxfId="1160" priority="61">
      <formula>$AT2=0</formula>
    </cfRule>
  </conditionalFormatting>
  <conditionalFormatting sqref="AZ2:BU2">
    <cfRule type="cellIs" dxfId="1159" priority="62" operator="equal">
      <formula>"PIN"</formula>
    </cfRule>
    <cfRule type="cellIs" dxfId="1158" priority="63" operator="equal">
      <formula>"ORA"</formula>
    </cfRule>
    <cfRule type="cellIs" dxfId="1157" priority="64" operator="equal">
      <formula>"GRA"</formula>
    </cfRule>
    <cfRule type="cellIs" dxfId="1156" priority="65" operator="equal">
      <formula>"PUR"</formula>
    </cfRule>
    <cfRule type="cellIs" dxfId="1155" priority="66" operator="equal">
      <formula>"BRO"</formula>
    </cfRule>
    <cfRule type="cellIs" dxfId="1154" priority="67" operator="equal">
      <formula>"YEL"</formula>
    </cfRule>
    <cfRule type="cellIs" dxfId="1153" priority="68" operator="equal">
      <formula>"BLU"</formula>
    </cfRule>
    <cfRule type="cellIs" dxfId="1152" priority="69" operator="equal">
      <formula>"WHI"</formula>
    </cfRule>
    <cfRule type="cellIs" dxfId="1151" priority="70" operator="equal">
      <formula>"GRE"</formula>
    </cfRule>
    <cfRule type="cellIs" dxfId="1150" priority="71" operator="equal">
      <formula>"RED"</formula>
    </cfRule>
    <cfRule type="cellIs" dxfId="1149" priority="72" operator="equal">
      <formula>"BLA"</formula>
    </cfRule>
  </conditionalFormatting>
  <conditionalFormatting sqref="BV2">
    <cfRule type="cellIs" dxfId="1148" priority="78" operator="equal">
      <formula>"nc"</formula>
    </cfRule>
  </conditionalFormatting>
  <conditionalFormatting sqref="CD2:CF2 BZ2:CA2">
    <cfRule type="cellIs" dxfId="1147" priority="73" operator="greaterThan">
      <formula>0</formula>
    </cfRule>
  </conditionalFormatting>
  <conditionalFormatting sqref="IC2:IK2">
    <cfRule type="expression" dxfId="1146" priority="60">
      <formula>$IL2&gt;0</formula>
    </cfRule>
  </conditionalFormatting>
  <conditionalFormatting sqref="BX2:CA2 CD2:CF2">
    <cfRule type="cellIs" dxfId="1145" priority="48" operator="equal">
      <formula>"y"</formula>
    </cfRule>
    <cfRule type="cellIs" dxfId="1144" priority="49" operator="equal">
      <formula>"PIN"</formula>
    </cfRule>
    <cfRule type="cellIs" dxfId="1143" priority="50" operator="equal">
      <formula>"ORA"</formula>
    </cfRule>
    <cfRule type="cellIs" dxfId="1142" priority="51" operator="equal">
      <formula>"GRA"</formula>
    </cfRule>
    <cfRule type="cellIs" dxfId="1141" priority="52" operator="equal">
      <formula>"PUR"</formula>
    </cfRule>
    <cfRule type="cellIs" dxfId="1140" priority="53" operator="equal">
      <formula>"BRO"</formula>
    </cfRule>
    <cfRule type="cellIs" dxfId="1139" priority="54" operator="equal">
      <formula>"YEL"</formula>
    </cfRule>
    <cfRule type="cellIs" dxfId="1138" priority="55" operator="equal">
      <formula>"BLU"</formula>
    </cfRule>
    <cfRule type="cellIs" dxfId="1137" priority="56" operator="equal">
      <formula>"WHI"</formula>
    </cfRule>
    <cfRule type="cellIs" dxfId="1136" priority="57" operator="equal">
      <formula>"GRE"</formula>
    </cfRule>
    <cfRule type="cellIs" dxfId="1135" priority="58" operator="equal">
      <formula>"RED"</formula>
    </cfRule>
    <cfRule type="cellIs" dxfId="1134" priority="59" operator="equal">
      <formula>"BLA"</formula>
    </cfRule>
  </conditionalFormatting>
  <conditionalFormatting sqref="J2">
    <cfRule type="colorScale" priority="80">
      <colorScale>
        <cfvo type="min"/>
        <cfvo type="percentile" val="50"/>
        <cfvo type="max"/>
        <color rgb="FFF8696B"/>
        <color rgb="FFFFEB84"/>
        <color rgb="FF63BE7B"/>
      </colorScale>
    </cfRule>
  </conditionalFormatting>
  <conditionalFormatting sqref="S2">
    <cfRule type="colorScale" priority="81">
      <colorScale>
        <cfvo type="min"/>
        <cfvo type="max"/>
        <color rgb="FFFCFCFF"/>
        <color rgb="FF754BFB"/>
      </colorScale>
    </cfRule>
  </conditionalFormatting>
  <conditionalFormatting sqref="AT2">
    <cfRule type="colorScale" priority="82">
      <colorScale>
        <cfvo type="min"/>
        <cfvo type="max"/>
        <color rgb="FFFCFCFF"/>
        <color theme="8" tint="0.39997558519241921"/>
      </colorScale>
    </cfRule>
  </conditionalFormatting>
  <conditionalFormatting sqref="CG2">
    <cfRule type="colorScale" priority="83">
      <colorScale>
        <cfvo type="min"/>
        <cfvo type="max"/>
        <color rgb="FFFCFCFF"/>
        <color rgb="FF63BE7B"/>
      </colorScale>
    </cfRule>
  </conditionalFormatting>
  <conditionalFormatting sqref="H3">
    <cfRule type="cellIs" dxfId="1133" priority="40" stopIfTrue="1" operator="notEqual">
      <formula>""</formula>
    </cfRule>
  </conditionalFormatting>
  <conditionalFormatting sqref="R3 CU3">
    <cfRule type="cellIs" dxfId="1132" priority="43" operator="greaterThan">
      <formula>0</formula>
    </cfRule>
  </conditionalFormatting>
  <conditionalFormatting sqref="T3:AS3 CH3:CS3">
    <cfRule type="cellIs" dxfId="1131" priority="37" stopIfTrue="1" operator="equal">
      <formula>"n"</formula>
    </cfRule>
    <cfRule type="cellIs" dxfId="1130" priority="38" stopIfTrue="1" operator="equal">
      <formula>"y"</formula>
    </cfRule>
    <cfRule type="cellIs" dxfId="1129" priority="39" operator="greaterThan">
      <formula>0</formula>
    </cfRule>
  </conditionalFormatting>
  <conditionalFormatting sqref="AZ3:BB3">
    <cfRule type="expression" dxfId="1128" priority="24">
      <formula>$AT3=0</formula>
    </cfRule>
  </conditionalFormatting>
  <conditionalFormatting sqref="CD3:CF3 BX3:CA3 AZ3:BU3">
    <cfRule type="cellIs" dxfId="1127" priority="25" operator="equal">
      <formula>"PIN"</formula>
    </cfRule>
    <cfRule type="cellIs" dxfId="1126" priority="26" operator="equal">
      <formula>"ORA"</formula>
    </cfRule>
    <cfRule type="cellIs" dxfId="1125" priority="27" operator="equal">
      <formula>"GRA"</formula>
    </cfRule>
    <cfRule type="cellIs" dxfId="1124" priority="28" operator="equal">
      <formula>"PUR"</formula>
    </cfRule>
    <cfRule type="cellIs" dxfId="1123" priority="29" operator="equal">
      <formula>"BRO"</formula>
    </cfRule>
    <cfRule type="cellIs" dxfId="1122" priority="30" operator="equal">
      <formula>"YEL"</formula>
    </cfRule>
    <cfRule type="cellIs" dxfId="1121" priority="31" operator="equal">
      <formula>"BLU"</formula>
    </cfRule>
    <cfRule type="cellIs" dxfId="1120" priority="32" operator="equal">
      <formula>"WHI"</formula>
    </cfRule>
    <cfRule type="cellIs" dxfId="1119" priority="33" operator="equal">
      <formula>"GRE"</formula>
    </cfRule>
    <cfRule type="cellIs" dxfId="1118" priority="34" operator="equal">
      <formula>"RED"</formula>
    </cfRule>
    <cfRule type="cellIs" dxfId="1117" priority="35" operator="equal">
      <formula>"BLA"</formula>
    </cfRule>
  </conditionalFormatting>
  <conditionalFormatting sqref="BV3">
    <cfRule type="cellIs" dxfId="1116" priority="42" operator="equal">
      <formula>"nc"</formula>
    </cfRule>
  </conditionalFormatting>
  <conditionalFormatting sqref="CD3:CF3 BX3:CA3">
    <cfRule type="cellIs" dxfId="1115" priority="41" operator="equal">
      <formula>"y"</formula>
    </cfRule>
  </conditionalFormatting>
  <conditionalFormatting sqref="CD3:CF3 BZ3:CA3">
    <cfRule type="cellIs" dxfId="1114" priority="36" operator="greaterThan">
      <formula>0</formula>
    </cfRule>
  </conditionalFormatting>
  <conditionalFormatting sqref="IC3:IK3">
    <cfRule type="expression" dxfId="1113" priority="23">
      <formula>$IL3&gt;0</formula>
    </cfRule>
  </conditionalFormatting>
  <conditionalFormatting sqref="IC3">
    <cfRule type="cellIs" dxfId="1112" priority="17" stopIfTrue="1" operator="greaterThan">
      <formula>0</formula>
    </cfRule>
  </conditionalFormatting>
  <conditionalFormatting sqref="ID3">
    <cfRule type="cellIs" dxfId="1111" priority="15" stopIfTrue="1" operator="greaterThan">
      <formula>0</formula>
    </cfRule>
  </conditionalFormatting>
  <conditionalFormatting sqref="II3 IE3:IF3">
    <cfRule type="cellIs" dxfId="1110" priority="22" operator="greaterThan">
      <formula>0</formula>
    </cfRule>
  </conditionalFormatting>
  <conditionalFormatting sqref="II3 IF3">
    <cfRule type="cellIs" dxfId="1109" priority="16" stopIfTrue="1" operator="greaterThan">
      <formula>0</formula>
    </cfRule>
  </conditionalFormatting>
  <conditionalFormatting sqref="IG3">
    <cfRule type="cellIs" dxfId="1108" priority="21" operator="greaterThan">
      <formula>0</formula>
    </cfRule>
  </conditionalFormatting>
  <conditionalFormatting sqref="IH3:II3">
    <cfRule type="cellIs" dxfId="1107" priority="20" operator="greaterThan">
      <formula>0</formula>
    </cfRule>
  </conditionalFormatting>
  <conditionalFormatting sqref="IJ3">
    <cfRule type="cellIs" dxfId="1106" priority="19" operator="greaterThan">
      <formula>0</formula>
    </cfRule>
  </conditionalFormatting>
  <conditionalFormatting sqref="IK3">
    <cfRule type="cellIs" dxfId="1105" priority="18" operator="greaterThan">
      <formula>0</formula>
    </cfRule>
  </conditionalFormatting>
  <conditionalFormatting sqref="IF3">
    <cfRule type="cellIs" dxfId="1104" priority="14" stopIfTrue="1" operator="greaterThan">
      <formula>0</formula>
    </cfRule>
  </conditionalFormatting>
  <conditionalFormatting sqref="IM3">
    <cfRule type="cellIs" dxfId="1103" priority="13" operator="equal">
      <formula>0</formula>
    </cfRule>
  </conditionalFormatting>
  <conditionalFormatting sqref="BX3:CA3 CD3:CF3">
    <cfRule type="cellIs" dxfId="1102" priority="1" operator="equal">
      <formula>"y"</formula>
    </cfRule>
    <cfRule type="cellIs" dxfId="1101" priority="2" operator="equal">
      <formula>"PIN"</formula>
    </cfRule>
    <cfRule type="cellIs" dxfId="1100" priority="3" operator="equal">
      <formula>"ORA"</formula>
    </cfRule>
    <cfRule type="cellIs" dxfId="1099" priority="4" operator="equal">
      <formula>"GRA"</formula>
    </cfRule>
    <cfRule type="cellIs" dxfId="1098" priority="5" operator="equal">
      <formula>"PUR"</formula>
    </cfRule>
    <cfRule type="cellIs" dxfId="1097" priority="6" operator="equal">
      <formula>"BRO"</formula>
    </cfRule>
    <cfRule type="cellIs" dxfId="1096" priority="7" operator="equal">
      <formula>"YEL"</formula>
    </cfRule>
    <cfRule type="cellIs" dxfId="1095" priority="8" operator="equal">
      <formula>"BLU"</formula>
    </cfRule>
    <cfRule type="cellIs" dxfId="1094" priority="9" operator="equal">
      <formula>"WHI"</formula>
    </cfRule>
    <cfRule type="cellIs" dxfId="1093" priority="10" operator="equal">
      <formula>"GRE"</formula>
    </cfRule>
    <cfRule type="cellIs" dxfId="1092" priority="11" operator="equal">
      <formula>"RED"</formula>
    </cfRule>
    <cfRule type="cellIs" dxfId="1091" priority="12" operator="equal">
      <formula>"BLA"</formula>
    </cfRule>
  </conditionalFormatting>
  <conditionalFormatting sqref="AT3">
    <cfRule type="colorScale" priority="44">
      <colorScale>
        <cfvo type="min"/>
        <cfvo type="max"/>
        <color rgb="FFFCFCFF"/>
        <color theme="8" tint="0.39997558519241921"/>
      </colorScale>
    </cfRule>
  </conditionalFormatting>
  <conditionalFormatting sqref="S3">
    <cfRule type="colorScale" priority="45">
      <colorScale>
        <cfvo type="min"/>
        <cfvo type="max"/>
        <color rgb="FFFCFCFF"/>
        <color rgb="FF754BFB"/>
      </colorScale>
    </cfRule>
  </conditionalFormatting>
  <conditionalFormatting sqref="J3">
    <cfRule type="colorScale" priority="46">
      <colorScale>
        <cfvo type="min"/>
        <cfvo type="percentile" val="50"/>
        <cfvo type="max"/>
        <color rgb="FFF8696B"/>
        <color rgb="FFFFEB84"/>
        <color rgb="FF63BE7B"/>
      </colorScale>
    </cfRule>
  </conditionalFormatting>
  <conditionalFormatting sqref="CG3">
    <cfRule type="colorScale" priority="47">
      <colorScale>
        <cfvo type="min"/>
        <cfvo type="max"/>
        <color rgb="FFFCFCFF"/>
        <color rgb="FF63BE7B"/>
      </colorScale>
    </cfRule>
  </conditionalFormatting>
  <hyperlinks>
    <hyperlink ref="A2" r:id="rId1" display="https://fbref.com/en/country/STP/Sao-Tome-e-Principe-Football" xr:uid="{899D2053-420C-4D78-ACC2-906B61A39AA9}"/>
    <hyperlink ref="E2" r:id="rId2" xr:uid="{AE0D502A-E87B-41EE-8605-E676C3C5A5CC}"/>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6385" r:id="rId6"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16386" r:id="rId7"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16387" r:id="rId8"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A55145-26FE-4C02-94B3-BCFEA8E767BB}">
  <sheetPr codeName="Sheet28"/>
  <dimension ref="A1:IY6"/>
  <sheetViews>
    <sheetView zoomScale="70" zoomScaleNormal="70" workbookViewId="0">
      <pane xSplit="5" ySplit="1" topLeftCell="F2" activePane="bottomRight" state="frozen"/>
      <selection pane="topRight" activeCell="F1" sqref="F1"/>
      <selection pane="bottomLeft" activeCell="A2" sqref="A2"/>
      <selection pane="bottomRight" activeCell="A3" sqref="A3"/>
    </sheetView>
  </sheetViews>
  <sheetFormatPr defaultRowHeight="38.4" customHeight="1" x14ac:dyDescent="0.3"/>
  <cols>
    <col min="1" max="1" width="52.44140625" style="81" bestFit="1" customWidth="1"/>
    <col min="2" max="2" width="10.109375" style="81" customWidth="1"/>
    <col min="3" max="3" width="7.44140625" style="82" customWidth="1"/>
    <col min="4" max="4" width="4.77734375" style="83" customWidth="1"/>
    <col min="5" max="5" width="4.5546875" style="83" customWidth="1"/>
    <col min="6" max="6" width="5.77734375" style="83" customWidth="1"/>
    <col min="7" max="7" width="7.44140625" style="81" customWidth="1"/>
    <col min="8" max="8" width="11.44140625" style="81" customWidth="1"/>
    <col min="9" max="9" width="10" style="81" customWidth="1"/>
    <col min="10" max="10" width="4.21875" style="81" customWidth="1"/>
    <col min="11" max="11" width="5.6640625" style="83" customWidth="1"/>
    <col min="12" max="12" width="2.88671875" style="83" customWidth="1"/>
    <col min="13" max="13" width="6.44140625" style="83" customWidth="1"/>
    <col min="14" max="14" width="4.5546875" style="83" customWidth="1"/>
    <col min="15" max="15" width="10.5546875" style="84" customWidth="1"/>
    <col min="16" max="16" width="6.88671875" style="83" customWidth="1"/>
    <col min="17" max="17" width="4.77734375" style="83" customWidth="1"/>
    <col min="18" max="18" width="13.109375" style="82" customWidth="1"/>
    <col min="19" max="19" width="6.77734375" style="82" customWidth="1"/>
    <col min="20" max="46" width="8.44140625" style="81" customWidth="1"/>
    <col min="47" max="47" width="24.5546875" style="81" customWidth="1"/>
    <col min="48" max="51" width="16.6640625" style="81" customWidth="1"/>
    <col min="52" max="52" width="6.5546875" style="81" customWidth="1"/>
    <col min="53" max="54" width="5.88671875" style="81" customWidth="1"/>
    <col min="55" max="55" width="1.33203125" style="81" customWidth="1"/>
    <col min="56" max="56" width="7.44140625" style="81" customWidth="1"/>
    <col min="57" max="57" width="2.33203125" style="81" customWidth="1"/>
    <col min="58" max="62" width="6.109375" style="81" customWidth="1"/>
    <col min="63" max="63" width="2.33203125" style="81" customWidth="1"/>
    <col min="64" max="64" width="7" style="81" bestFit="1" customWidth="1"/>
    <col min="65" max="65" width="6.44140625" style="81" bestFit="1" customWidth="1"/>
    <col min="66" max="66" width="7.109375" style="81" bestFit="1" customWidth="1"/>
    <col min="67" max="71" width="6.44140625" style="81" bestFit="1" customWidth="1"/>
    <col min="72" max="73" width="6.44140625" style="81" customWidth="1"/>
    <col min="74" max="75" width="13.44140625" style="81" customWidth="1"/>
    <col min="76" max="84" width="14.6640625" style="81" customWidth="1"/>
    <col min="85" max="85" width="6.44140625" style="81" customWidth="1"/>
    <col min="86" max="87" width="11.6640625" style="81" bestFit="1" customWidth="1"/>
    <col min="88" max="88" width="11.6640625" style="81" customWidth="1"/>
    <col min="89" max="89" width="12.77734375" style="81" bestFit="1" customWidth="1"/>
    <col min="90" max="90" width="16.44140625" style="82" bestFit="1" customWidth="1"/>
    <col min="91" max="92" width="14.88671875" style="82" bestFit="1" customWidth="1"/>
    <col min="93" max="93" width="16" style="82" bestFit="1" customWidth="1"/>
    <col min="94" max="97" width="7.77734375" style="81" customWidth="1"/>
    <col min="98" max="98" width="33.21875" style="81" customWidth="1"/>
    <col min="99" max="99" width="18" style="81" customWidth="1"/>
    <col min="100" max="100" width="75.6640625" style="81" customWidth="1"/>
    <col min="101" max="125" width="33" style="81" customWidth="1"/>
    <col min="126" max="126" width="8.88671875" style="81"/>
    <col min="127" max="128" width="9.44140625" style="81" bestFit="1" customWidth="1"/>
    <col min="129" max="129" width="10.77734375" style="81" bestFit="1" customWidth="1"/>
    <col min="130" max="134" width="10.77734375" style="81" customWidth="1"/>
    <col min="135" max="135" width="10.109375" style="81" bestFit="1" customWidth="1"/>
    <col min="136" max="136" width="7.77734375" style="81" bestFit="1" customWidth="1"/>
    <col min="137" max="137" width="7.77734375" style="81" customWidth="1"/>
    <col min="138" max="138" width="9" style="81" bestFit="1" customWidth="1"/>
    <col min="139" max="139" width="11.33203125" style="81" bestFit="1" customWidth="1"/>
    <col min="140" max="140" width="9.109375" style="81" bestFit="1" customWidth="1"/>
    <col min="141" max="141" width="9" style="81" bestFit="1" customWidth="1"/>
    <col min="142" max="142" width="12" style="81" bestFit="1" customWidth="1"/>
    <col min="143" max="166" width="12" style="81" customWidth="1"/>
    <col min="167" max="167" width="17.21875" style="81" customWidth="1"/>
    <col min="168" max="191" width="12" style="81" customWidth="1"/>
    <col min="192" max="192" width="8.5546875" style="81" bestFit="1" customWidth="1"/>
    <col min="193" max="193" width="8.5546875" style="81" customWidth="1"/>
    <col min="194" max="194" width="7.109375" style="81" bestFit="1" customWidth="1"/>
    <col min="195" max="195" width="7.5546875" style="81" bestFit="1" customWidth="1"/>
    <col min="196" max="196" width="8.5546875" style="81" bestFit="1" customWidth="1"/>
    <col min="197" max="200" width="8.5546875" style="81" customWidth="1"/>
    <col min="201" max="201" width="188.88671875" style="81" customWidth="1"/>
    <col min="202" max="202" width="9.5546875" style="81" bestFit="1" customWidth="1"/>
    <col min="203" max="203" width="10.44140625" style="81" bestFit="1" customWidth="1"/>
    <col min="204" max="204" width="11.109375" style="81" bestFit="1" customWidth="1"/>
    <col min="205" max="205" width="10.44140625" style="81" bestFit="1" customWidth="1"/>
    <col min="206" max="210" width="10.44140625" style="81" customWidth="1"/>
    <col min="211" max="211" width="45.44140625" style="81" customWidth="1"/>
    <col min="212" max="212" width="47.5546875" style="81" bestFit="1" customWidth="1"/>
    <col min="213" max="213" width="9.33203125" style="85" customWidth="1"/>
    <col min="214" max="214" width="119.5546875" style="81" customWidth="1"/>
    <col min="215" max="215" width="69.6640625" style="81" customWidth="1"/>
    <col min="216" max="218" width="8.88671875" style="81"/>
    <col min="219" max="219" width="37.109375" style="81" customWidth="1"/>
    <col min="220" max="220" width="16.33203125" style="81" customWidth="1"/>
    <col min="221" max="222" width="8.88671875" style="81"/>
    <col min="223" max="223" width="10.109375" style="81" bestFit="1" customWidth="1"/>
    <col min="224" max="232" width="10.88671875" style="81" customWidth="1"/>
    <col min="233" max="234" width="30.77734375" style="81" customWidth="1"/>
    <col min="235" max="235" width="5.109375" style="81" customWidth="1"/>
    <col min="236" max="236" width="3" style="81" customWidth="1"/>
    <col min="237" max="245" width="6.77734375" style="86" customWidth="1"/>
    <col min="246" max="247" width="8.88671875" style="81"/>
    <col min="248" max="248" width="61.5546875" style="81" customWidth="1"/>
    <col min="249" max="253" width="8.88671875" style="81"/>
    <col min="254" max="254" width="9" style="81" customWidth="1"/>
    <col min="255" max="16384" width="8.88671875" style="8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472</v>
      </c>
      <c r="B2" s="40" t="e" vm="117">
        <v>#VALUE!</v>
      </c>
      <c r="C2" s="41">
        <v>1</v>
      </c>
      <c r="D2" s="42" t="s">
        <v>473</v>
      </c>
      <c r="E2" s="43" t="s">
        <v>474</v>
      </c>
      <c r="F2" s="44" t="s">
        <v>163</v>
      </c>
      <c r="G2" s="45">
        <f>COUNTIF($A$1:$A$8377,A2)</f>
        <v>1</v>
      </c>
      <c r="H2" s="46"/>
      <c r="I2" s="47" t="s">
        <v>469</v>
      </c>
      <c r="J2" s="48" t="str">
        <f>""</f>
        <v/>
      </c>
      <c r="K2" s="49">
        <v>1202000</v>
      </c>
      <c r="L2" s="50">
        <v>1226000</v>
      </c>
      <c r="M2" s="50" t="s">
        <v>479</v>
      </c>
      <c r="N2" s="51" t="s">
        <v>180</v>
      </c>
      <c r="O2" s="52" t="s">
        <v>475</v>
      </c>
      <c r="P2" s="53" t="s">
        <v>476</v>
      </c>
      <c r="Q2" s="54">
        <v>1</v>
      </c>
      <c r="R2" s="55" t="s">
        <v>180</v>
      </c>
      <c r="S2" s="56">
        <v>5</v>
      </c>
      <c r="T2" s="57" t="s">
        <v>164</v>
      </c>
      <c r="U2" s="58" t="s">
        <v>164</v>
      </c>
      <c r="V2" s="58" t="s">
        <v>167</v>
      </c>
      <c r="W2" s="58" t="s">
        <v>164</v>
      </c>
      <c r="X2" s="58" t="s">
        <v>164</v>
      </c>
      <c r="Y2" s="58" t="s">
        <v>164</v>
      </c>
      <c r="Z2" s="58" t="s">
        <v>167</v>
      </c>
      <c r="AA2" s="58" t="s">
        <v>164</v>
      </c>
      <c r="AB2" s="58" t="s">
        <v>164</v>
      </c>
      <c r="AC2" s="58" t="s">
        <v>167</v>
      </c>
      <c r="AD2" s="58" t="s">
        <v>164</v>
      </c>
      <c r="AE2" s="58" t="s">
        <v>164</v>
      </c>
      <c r="AF2" s="59" t="s">
        <v>164</v>
      </c>
      <c r="AG2" s="59" t="s">
        <v>167</v>
      </c>
      <c r="AH2" s="59" t="s">
        <v>167</v>
      </c>
      <c r="AI2" s="59" t="s">
        <v>164</v>
      </c>
      <c r="AJ2" s="59" t="s">
        <v>164</v>
      </c>
      <c r="AK2" s="59" t="s">
        <v>164</v>
      </c>
      <c r="AL2" s="59" t="s">
        <v>167</v>
      </c>
      <c r="AM2" s="59" t="s">
        <v>164</v>
      </c>
      <c r="AN2" s="59" t="s">
        <v>164</v>
      </c>
      <c r="AO2" s="59" t="s">
        <v>164</v>
      </c>
      <c r="AP2" s="59" t="s">
        <v>164</v>
      </c>
      <c r="AQ2" s="59" t="s">
        <v>164</v>
      </c>
      <c r="AR2" s="59" t="s">
        <v>164</v>
      </c>
      <c r="AS2" s="59" t="s">
        <v>164</v>
      </c>
      <c r="AT2" s="60">
        <v>0</v>
      </c>
      <c r="AU2" s="59"/>
      <c r="AV2" s="59" t="str">
        <f>IF(LEFT(A2,1)="[",LEFT(A2,5)&amp;AU2&amp;A2,"")</f>
        <v/>
      </c>
      <c r="AW2" s="59" t="str">
        <f t="shared" ref="AW2" si="0">C2&amp;H2&amp;A2</f>
        <v>1Eswatini</v>
      </c>
      <c r="AX2" s="61" t="str">
        <f>_xlfn.TEXTJOIN(";",TRUE,AU2:AW2)</f>
        <v>1Eswatini</v>
      </c>
      <c r="AY2" s="61"/>
      <c r="AZ2" s="62"/>
      <c r="BA2" s="62"/>
      <c r="BB2" s="62"/>
      <c r="BC2" s="63"/>
      <c r="BD2" s="64" t="s">
        <v>152</v>
      </c>
      <c r="BE2" s="47"/>
      <c r="BF2" s="64" t="s">
        <v>152</v>
      </c>
      <c r="BG2" s="64" t="s">
        <v>154</v>
      </c>
      <c r="BH2" s="64" t="s">
        <v>152</v>
      </c>
      <c r="BI2" s="64" t="s">
        <v>155</v>
      </c>
      <c r="BJ2" s="64"/>
      <c r="BK2" s="47"/>
      <c r="BL2" s="64" t="s">
        <v>152</v>
      </c>
      <c r="BM2" s="64" t="s">
        <v>155</v>
      </c>
      <c r="BN2" s="64" t="s">
        <v>154</v>
      </c>
      <c r="BO2" s="64" t="s">
        <v>151</v>
      </c>
      <c r="BP2" s="64" t="s">
        <v>159</v>
      </c>
      <c r="BQ2" s="64"/>
      <c r="BR2" s="64"/>
      <c r="BS2" s="64"/>
      <c r="BT2" s="64"/>
      <c r="BU2" s="65"/>
      <c r="BV2" s="66" t="s">
        <v>167</v>
      </c>
      <c r="BW2" s="66" t="s">
        <v>166</v>
      </c>
      <c r="BX2" s="47"/>
      <c r="BZ2" s="48" t="s">
        <v>167</v>
      </c>
      <c r="CB2" s="6" t="s">
        <v>477</v>
      </c>
      <c r="CC2" s="6"/>
      <c r="CD2" s="67">
        <v>0</v>
      </c>
      <c r="CE2" s="67">
        <v>0</v>
      </c>
      <c r="CF2" s="67" t="e">
        <v>#REF!</v>
      </c>
      <c r="CG2" s="68" cm="1">
        <f t="array" ref="CG2">SUMPRODUCT(--(LEN(TRIM(BL2:BT2))&gt;0))</f>
        <v>5</v>
      </c>
      <c r="CH2" s="59" t="str">
        <f>IF(CG2=2,"y","n")</f>
        <v>n</v>
      </c>
      <c r="CI2" s="59" t="str">
        <f>IF(CG2=3,"y","n")</f>
        <v>n</v>
      </c>
      <c r="CJ2" s="59" t="str">
        <f>IF(CG2=4,"y","n")</f>
        <v>n</v>
      </c>
      <c r="CK2" s="59" t="str">
        <f>IF(CG2&gt;4,"y","n")</f>
        <v>y</v>
      </c>
      <c r="CL2" s="59" t="str">
        <f>IF(S2=0,"y","n")</f>
        <v>n</v>
      </c>
      <c r="CM2" s="59" t="str">
        <f>IF(S2=2,"y","n")</f>
        <v>n</v>
      </c>
      <c r="CN2" s="59" t="str">
        <f>IF(S2=3,"y","n")</f>
        <v>n</v>
      </c>
      <c r="CO2" s="59" t="str">
        <f>IF(S2&gt;=4,"y","n")</f>
        <v>y</v>
      </c>
      <c r="CP2" s="59" t="str">
        <f>IF(AT2=0,"y","n")</f>
        <v>y</v>
      </c>
      <c r="CQ2" s="59" t="str">
        <f>IF(AT2=1,"y","n")</f>
        <v>n</v>
      </c>
      <c r="CR2" s="59" t="str">
        <f>IF(AT2=2,"y","n")</f>
        <v>n</v>
      </c>
      <c r="CS2" s="59" t="str">
        <f>IF(AT2&gt;=3,"y","n")</f>
        <v>n</v>
      </c>
      <c r="CT2" s="69" t="str">
        <f>CHAR(34)&amp;A2&amp;CHAR(34)</f>
        <v>"Eswatini"</v>
      </c>
      <c r="CU2" s="70" t="str">
        <f>CHAR(34)&amp;"rgn_"&amp;R2&amp;CHAR(34)</f>
        <v>"rgn_Africa"</v>
      </c>
      <c r="CV2" s="48" t="str">
        <f>CHAR(34)&amp;D2&amp;CHAR(34)</f>
        <v>"https://upload.wikimedia.org/wikipedia/commons/thumb/f/fb/Flag_of_Eswatini.svg/383px-Flag_of_Eswatini.svg.png"</v>
      </c>
      <c r="CW2" s="48" t="str">
        <f>IF(CH2="y",CHAR(34)&amp;CH$1&amp;CHAR(34)&amp;",","")</f>
        <v/>
      </c>
      <c r="CX2" s="48" t="str">
        <f>IF(CI2="y",CHAR(34)&amp;CI$1&amp;CHAR(34)&amp;",","")</f>
        <v/>
      </c>
      <c r="CY2" s="48" t="str">
        <f>IF(CJ2="y",CHAR(34)&amp;CJ$1&amp;CHAR(34)&amp;",","")</f>
        <v/>
      </c>
      <c r="CZ2" s="48" t="str">
        <f>IF(CK2="y",CHAR(34)&amp;CK$1&amp;CHAR(34)&amp;",","")</f>
        <v>"5+Colo",</v>
      </c>
      <c r="DA2" s="48" t="str">
        <f>IF(Q2&gt;1,CHAR(34)&amp;"words2"&amp;CHAR(34)&amp;",","")</f>
        <v/>
      </c>
      <c r="DB2" s="48" t="str">
        <f>IF(Q2&gt;2,CHAR(34)&amp;"words3"&amp;CHAR(34)&amp;",","")</f>
        <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"lets08",</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"startE",</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"with_w",</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"year00",</v>
      </c>
      <c r="DQ2" s="6" t="str">
        <f>IF(CC2="y",CHAR(34)&amp;"soviet"&amp;CHAR(34)&amp;",","")</f>
        <v/>
      </c>
      <c r="DR2" s="6" t="str">
        <f>IF(BY2="y",CHAR(34)&amp;"dgband"&amp;CHAR(34)&amp;",","")</f>
        <v/>
      </c>
      <c r="DS2" s="6" t="str">
        <f>IF(W2="y",IF(AND(V2="n",BY2&lt;&gt;"y"),CHAR(34)&amp;"allver"&amp;CHAR(34)&amp;",",""),"")</f>
        <v/>
      </c>
      <c r="DT2" s="6" t="str">
        <f>IF(V2="y",IF(AND(W2="n",BY2&lt;&gt;"y"),CHAR(34)&amp;"allhor"&amp;CHAR(34)&amp;",",""),"")</f>
        <v>"allhor",</v>
      </c>
      <c r="DU2" s="6" t="str">
        <f>IF(BY2="y",IF(AND(W2="n",V2="n"),CHAR(34)&amp;"alldia"&amp;CHAR(34)&amp;",",""),"")</f>
        <v/>
      </c>
      <c r="DV2" s="48" t="str">
        <f>IF(IA2&lt;&gt;"",(IF(IA2="y",CHAR(34)&amp;"largec"&amp;CHAR(34)&amp;",",CHAR(34)&amp;"smallc"&amp;CHAR(34)&amp;",")),"")</f>
        <v/>
      </c>
      <c r="DW2" s="48" t="str">
        <f>IF(CL2="y",CHAR(34)&amp;CL$1&amp;CHAR(34)&amp;",","")</f>
        <v/>
      </c>
      <c r="DX2" s="48" t="str">
        <f>IF(CM2="y",CHAR(34)&amp;CM$1&amp;CHAR(34)&amp;",","")</f>
        <v/>
      </c>
      <c r="DY2" s="48" t="str">
        <f>IF(CN2="y",CHAR(34)&amp;CN$1&amp;CHAR(34)&amp;",","")</f>
        <v/>
      </c>
      <c r="DZ2" s="48" t="str">
        <f>IF(CO2="y",CHAR(34)&amp;CO$1&amp;CHAR(34)&amp;",","")</f>
        <v>"4+Band",</v>
      </c>
      <c r="EA2" s="48" t="str">
        <f>IF(T2="y",CHAR(34)&amp;T$1&amp;CHAR(34)&amp;",","")</f>
        <v/>
      </c>
      <c r="EB2" s="48" t="str">
        <f>IF(U2="y",CHAR(34)&amp;U$1&amp;CHAR(34)&amp;",","")</f>
        <v/>
      </c>
      <c r="EC2" s="48" t="str">
        <f>IF(V2="y",CHAR(34)&amp;V$1&amp;CHAR(34)&amp;",","")</f>
        <v>"Horizo",</v>
      </c>
      <c r="ED2" s="48" t="str">
        <f>IF(W2="y",CHAR(34)&amp;W$1&amp;CHAR(34)&amp;",","")</f>
        <v/>
      </c>
      <c r="EE2" s="48" t="str">
        <f>IF(X2="y",CHAR(34)&amp;X$1&amp;CHAR(34)&amp;",","")</f>
        <v/>
      </c>
      <c r="EF2" s="48" t="str">
        <f>IF(AND(Y2&lt;&gt;"n",Y2&lt;&gt;""),CHAR(34)&amp;Y$1&amp;CHAR(34)&amp;",","")</f>
        <v/>
      </c>
      <c r="EG2" s="48" t="str">
        <f>IF(Z2="y",CHAR(34)&amp;Z$1&amp;CHAR(34)&amp;",","")</f>
        <v>"Bird",</v>
      </c>
      <c r="EH2" s="48" t="str">
        <f>IF(AA2="y",CHAR(34)&amp;AA$1&amp;CHAR(34)&amp;",","")</f>
        <v/>
      </c>
      <c r="EI2" s="48" t="str">
        <f>IF(AB2="y",CHAR(34)&amp;AB$1&amp;CHAR(34)&amp;",","")</f>
        <v/>
      </c>
      <c r="EJ2" s="48" t="str">
        <f>IF(AC2="y",CHAR(34)&amp;AC$1&amp;CHAR(34)&amp;",","")</f>
        <v>"Weapon",</v>
      </c>
      <c r="EK2" s="48" t="str">
        <f>IF(AD2="y",CHAR(34)&amp;AD$1&amp;CHAR(34)&amp;",","")</f>
        <v/>
      </c>
      <c r="EL2" s="48" t="str">
        <f>IF(AE2="y",CHAR(34)&amp;AE$1&amp;CHAR(34)&amp;",","")</f>
        <v/>
      </c>
      <c r="EM2" s="48" t="str">
        <f>IF(AF2="y",CHAR(34)&amp;AF$1&amp;CHAR(34)&amp;",","")</f>
        <v/>
      </c>
      <c r="EN2" s="48" t="str">
        <f>IF(AG2="y",CHAR(34)&amp;AG$1&amp;CHAR(34)&amp;",","")</f>
        <v>"Unequa",</v>
      </c>
      <c r="EO2" s="48" t="str">
        <f>IF(AH2="y",CHAR(34)&amp;AH$1&amp;CHAR(34)&amp;",","")</f>
        <v>"Center",</v>
      </c>
      <c r="EP2" s="48" t="str">
        <f>IF(AI2="y",CHAR(34)&amp;AI$1&amp;CHAR(34)&amp;",","")</f>
        <v/>
      </c>
      <c r="EQ2" s="48" t="str">
        <f>IF(AJ2="y",CHAR(34)&amp;AJ$1&amp;CHAR(34)&amp;",","")</f>
        <v/>
      </c>
      <c r="ER2" s="48" t="str">
        <f>IF(AK2="y",CHAR(34)&amp;AK$1&amp;CHAR(34)&amp;",","")</f>
        <v/>
      </c>
      <c r="ES2" s="48" t="str">
        <f>IF(AL2="y",CHAR(34)&amp;AL$1&amp;CHAR(34)&amp;",","")</f>
        <v>"Wavess",</v>
      </c>
      <c r="ET2" s="48" t="str">
        <f>IF(AM2="y",CHAR(34)&amp;AM$1&amp;CHAR(34)&amp;",","")</f>
        <v/>
      </c>
      <c r="EU2" s="48" t="str">
        <f>IF(AN2="y",CHAR(34)&amp;AN$1&amp;CHAR(34)&amp;",","")</f>
        <v/>
      </c>
      <c r="EV2" s="48" t="str">
        <f>IF(AO2="y",CHAR(34)&amp;AO$1&amp;CHAR(34)&amp;",","")</f>
        <v/>
      </c>
      <c r="EW2" s="48" t="str">
        <f>IF(AP2="y",CHAR(34)&amp;AP$1&amp;CHAR(34)&amp;",","")</f>
        <v/>
      </c>
      <c r="EX2" s="48" t="str">
        <f>IF(AQ2="y",CHAR(34)&amp;AQ$1&amp;CHAR(34)&amp;",","")</f>
        <v/>
      </c>
      <c r="EY2" s="48" t="str">
        <f>IF(AR2="y",CHAR(34)&amp;AR$1&amp;CHAR(34)&amp;",","")</f>
        <v/>
      </c>
      <c r="EZ2" s="48" t="str">
        <f>IF(AS2="y",CHAR(34)&amp;AS$1&amp;CHAR(34)&amp;",","")</f>
        <v/>
      </c>
      <c r="FA2" s="48" t="str">
        <f>IF(AT2&gt;0,CHAR(34)&amp;"sta"&amp;AZ2&amp;CHAR(34)&amp;",","")</f>
        <v/>
      </c>
      <c r="FB2" s="48" t="str">
        <f>IF(AND(AT2&gt;0,BA2&lt;&gt;""),CHAR(34)&amp;"sta"&amp;BA2&amp;CHAR(34)&amp;",","")</f>
        <v/>
      </c>
      <c r="FC2" s="48" t="str">
        <f>IF(AND(AT2&gt;0,BB2&lt;&gt;""),CHAR(34)&amp;"sta"&amp;BB2&amp;CHAR(34)&amp;",","")</f>
        <v/>
      </c>
      <c r="FD2" s="48" t="str">
        <f>IF(BV2="n",CHAR(34)&amp;"tcWHYE"&amp;CHAR(34)&amp;",",IF(BV2="y",CHAR(34)&amp;FD$1&amp;CHAR(34)&amp;",",""))</f>
        <v>"ntWHYE",</v>
      </c>
      <c r="FE2" s="48" t="str">
        <f>IF(COUNTIF(BL2:BT2,"BLU")=0,CHAR(34)&amp;"NO_BLU"&amp;CHAR(34)&amp;",", "")</f>
        <v/>
      </c>
      <c r="FF2" s="48" t="str">
        <f>IF(COUNTIF(BL2:BT2,"WHI")=0,CHAR(34)&amp;"NO_WHI"&amp;CHAR(34)&amp;",", "")</f>
        <v/>
      </c>
      <c r="FG2" s="48" t="str">
        <f>IF(COUNTIF(BL2:BT2,"RED")=0,CHAR(34)&amp;"NO_RED"&amp;CHAR(34)&amp;",", "")</f>
        <v/>
      </c>
      <c r="FH2" s="48" t="str">
        <f>IF(COUNTIF(BL2:BS2,"GRE")=0,CHAR(34)&amp;"NO_GRE"&amp;CHAR(34)&amp;",", "")</f>
        <v>"NO_GRE",</v>
      </c>
      <c r="FI2" s="48" t="str">
        <f>IF(COUNTIF(BL2:BT2,"YEL")=0,CHAR(34)&amp;"NO_YEL"&amp;CHAR(34)&amp;",", "")</f>
        <v/>
      </c>
      <c r="FJ2" s="48" t="str">
        <f>IF(COUNTIF(BL2:BT2,"BLA")=0,CHAR(34)&amp;"NO_BLA"&amp;CHAR(34)&amp;",", "")</f>
        <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
      </c>
      <c r="FP2" s="48" t="str">
        <f>IF(AND(FF2&lt;&gt;"",FF2&lt;&gt;""),CHAR(34)&amp;"WHRENO"&amp;CHAR(34)&amp;",","")</f>
        <v/>
      </c>
      <c r="FQ2" s="48" t="str">
        <f>IF(LEN(BF2)=3,CHAR(34)&amp;"001"&amp;BF2&amp;CHAR(34)&amp;",","")</f>
        <v>"001BLU",</v>
      </c>
      <c r="FR2" s="48" t="str">
        <f>IF(LEN(BG2)=3,CHAR(34)&amp;"002"&amp;BG2&amp;CHAR(34)&amp;",","")</f>
        <v>"002RED",</v>
      </c>
      <c r="FS2" s="48" t="str">
        <f>IF(LEN(BH2)=3,CHAR(34)&amp;"003"&amp;BH2&amp;CHAR(34)&amp;",","")</f>
        <v>"003BLU",</v>
      </c>
      <c r="FT2" s="48" t="str">
        <f>CHAR(34)&amp;"myr"&amp;BD2&amp;CHAR(34)&amp;","</f>
        <v>"myrBLU",</v>
      </c>
      <c r="FU2" s="48" t="str">
        <f>IF(AY2="y",CHAR(34)&amp;"island"&amp;CHAR(34)&amp;",","")</f>
        <v/>
      </c>
      <c r="FV2" s="48" t="str">
        <f>IF(BZ2="y",CHAR(34)&amp;"landlo"&amp;CHAR(34)&amp;",","")</f>
        <v>"landlo",</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"englis",</v>
      </c>
      <c r="GA2" s="48" t="str">
        <f>IFERROR(IF(SEARCH("French",CB2)&gt;0,CHAR(34)&amp;"french"&amp;CHAR(34)&amp;",",""),"")</f>
        <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"NoStar",</v>
      </c>
      <c r="GK2" s="48" t="str">
        <f>IF(GJ2="",CHAR(34)&amp;"HasSta"&amp;CHAR(34)&amp;",","")</f>
        <v/>
      </c>
      <c r="GL2" s="48" t="str">
        <f>IF(CQ2="y",CHAR(34)&amp;CQ$1&amp;CHAR(34)&amp;",","")</f>
        <v/>
      </c>
      <c r="GM2" s="48" t="str">
        <f>IF(CR2="y",CHAR(34)&amp;CR$1&amp;CHAR(34)&amp;",","")</f>
        <v/>
      </c>
      <c r="GN2" s="48" t="str">
        <f>IF(CS2="y",CHAR(34)&amp;CS$1&amp;CHAR(34)&amp;",","")</f>
        <v/>
      </c>
      <c r="GP2" s="48" t="str">
        <f>CHAR(34)&amp;AU2&amp;CHAR(34)</f>
        <v>""</v>
      </c>
      <c r="GS2" s="48" t="str">
        <f>SUBSTITUTE("["&amp;_xlfn.CONCAT(CW2:GN2)&amp;"]",",]","]")</f>
        <v>["5+Colo","lets08","startE","with_w","year19","year00","allhor","4+Band","Horizo","Bird","Weapon","Unequa","Center","Wavess","ntWHYE","NO_GRE","001BLU","002RED","003BLU","myrBLU","landlo","englis","NoStar"]</v>
      </c>
      <c r="GT2" s="48" t="str">
        <f>IF(BL2&lt;&gt;"",CHAR(34)&amp;"cl_"&amp;BL2&amp;CHAR(34)&amp;",","")</f>
        <v>"cl_BLU",</v>
      </c>
      <c r="GU2" s="48" t="str">
        <f>IF(BM2&lt;&gt;"",CHAR(34)&amp;"cl_"&amp;BM2&amp;CHAR(34)&amp;",","")</f>
        <v>"cl_YEL",</v>
      </c>
      <c r="GV2" s="48" t="str">
        <f>IF(BN2&lt;&gt;"",CHAR(34)&amp;"cl_"&amp;BN2&amp;CHAR(34)&amp;",","")</f>
        <v>"cl_RED",</v>
      </c>
      <c r="GW2" s="48" t="str">
        <f>IF(BO2&lt;&gt;"",CHAR(34)&amp;"cl_"&amp;BO2&amp;CHAR(34)&amp;",","")</f>
        <v>"cl_BLA",</v>
      </c>
      <c r="GX2" s="48" t="str">
        <f>IF(BP2&lt;&gt;"",CHAR(34)&amp;"cl_"&amp;BP2&amp;CHAR(34)&amp;",","")</f>
        <v>"cl_WHI",</v>
      </c>
      <c r="GY2" s="48" t="str">
        <f>IF(BQ2&lt;&gt;"",CHAR(34)&amp;"cl_"&amp;BQ2&amp;CHAR(34)&amp;",","")</f>
        <v/>
      </c>
      <c r="GZ2" s="48" t="str">
        <f>IF(BR2&lt;&gt;"",CHAR(34)&amp;"cl_"&amp;BR2&amp;CHAR(34)&amp;",","")</f>
        <v/>
      </c>
      <c r="HA2" s="48" t="str">
        <f>IF(BS2&lt;&gt;"",CHAR(34)&amp;"cl_"&amp;BS2&amp;CHAR(34)&amp;",","")</f>
        <v/>
      </c>
      <c r="HB2" s="48" t="str">
        <f>IF(BT2&lt;&gt;"",CHAR(34)&amp;"cl_"&amp;BT2&amp;CHAR(34)&amp;",","")</f>
        <v/>
      </c>
      <c r="HC2" s="48" t="str">
        <f>SUBSTITUTE("["&amp;_xlfn.CONCAT(GT2:HB2)&amp;"]",",]","]")</f>
        <v>["cl_BLU","cl_YEL","cl_RED","cl_BLA","cl_WHI"]</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{couname:"Eswatini",year:"1968, 2011 ",region:"rgn_Africa",Colors:["cl_BLU","cl_YEL","cl_RED","cl_BLA","cl_WHI"],Items:["5+Colo","lets08","startE","with_w","year19","year00","allhor","4+Band","Horizo","Bird","Weapon","Unequa","Center","Wavess","ntWHYE","NO_GRE","001BLU","002RED","003BLU","myrBLU","landlo","englis","NoStar"],Flag:"https://upload.wikimedia.org/wikipedia/commons/thumb/f/fb/Flag_of_Eswatini.svg/383px-Flag_of_Eswatini.svg.png",HDFlag:"https://upload.wikimedia.org/wikipedia/commons/thumb/f/fb/Flag_of_Eswatini.svg/2560px-Flag_of_Eswatini.svg.png",type:"", describe: "\nThe red stands for past battles, the blue for peace and stability, and the yellow for the resources of Eswatini. The central focus of the flag is a Nguni shield and two spears, symbolizing protection from the country's enemies. Its color is meant to show that white and black people live in peaceful coexistence in Eswatini.", isnew:".", links: "https://en.wikipedia.org/wiki/Flag_of_Eswatini"},</v>
      </c>
      <c r="HG2" s="73" t="str">
        <f>"{couname:"&amp;CT2&amp;(IF(HK2&lt;&gt;"",",subtype:"&amp;CHAR(34)&amp;HK2&amp;CHAR(34),""))&amp;",year:"&amp;HJ2&amp;",region:"&amp;CU2&amp;",Colors:"&amp;HC2&amp;",Items:"&amp;GS2&amp;",Flag:"&amp;CV2&amp;",HDFlag:"&amp;CHAR(34)&amp;E2&amp;CHAR(34)&amp;",type:"&amp;GP2&amp;", describe: "&amp;HI2&amp;", links: "&amp;HL2&amp;"},"</f>
        <v>{couname:"Eswatini",year:"1968, 2011 ",region:"rgn_Africa",Colors:["cl_BLU","cl_YEL","cl_RED","cl_BLA","cl_WHI"],Items:["5+Colo","lets08","startE","with_w","year19","year00","allhor","4+Band","Horizo","Bird","Weapon","Unequa","Center","Wavess","ntWHYE","NO_GRE","001BLU","002RED","003BLU","myrBLU","landlo","englis","NoStar"],Flag:"https://upload.wikimedia.org/wikipedia/commons/thumb/f/fb/Flag_of_Eswatini.svg/383px-Flag_of_Eswatini.svg.png",HDFlag:"https://upload.wikimedia.org/wikipedia/commons/thumb/f/fb/Flag_of_Eswatini.svg/2560px-Flag_of_Eswatini.svg.png",type:"", describe: "\nThe red stands for past battles, the blue for peace and stability, and the yellow for the resources of Eswatini. The central focus of the flag is a Nguni shield and two spears, symbolizing protection from the country's enemies. Its color is meant to show that white and black people live in peaceful coexistence in Eswatini.", links: "https://en.wikipedia.org/wiki/Flag_of_Eswatini"},</v>
      </c>
      <c r="HH2" s="48" t="str">
        <f>IF(P2&lt;&gt;"",CHAR(34)&amp;"\n"&amp;P2&amp;CHAR(34),CHAR(34)&amp;CHAR(34))</f>
        <v>"\nThe red stands for past battles, the blue for peace and stability, and the yellow for the resources of Eswatini. The central focus of the flag is a Nguni shield and two spears, symbolizing protection from the country's enemies. Its color is meant to show that white and black people live in peaceful coexistence in Eswatini."</v>
      </c>
      <c r="HI2" s="48" t="str">
        <f>IF(J2=0,CHAR(34)&amp;CHAR(34),HH2)</f>
        <v>"\nThe red stands for past battles, the blue for peace and stability, and the yellow for the resources of Eswatini. The central focus of the flag is a Nguni shield and two spears, symbolizing protection from the country's enemies. Its color is meant to show that white and black people live in peaceful coexistence in Eswatini."</v>
      </c>
      <c r="HJ2" s="48" t="str">
        <f>CHAR(34)&amp;O2&amp;CHAR(34)</f>
        <v>"1968, 2011 "</v>
      </c>
      <c r="HL2" s="48" t="str">
        <f>CHAR(34)&amp;I2&amp;CHAR(34)</f>
        <v>"https://en.wikipedia.org/wiki/Flag_of_Eswatini"</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{"couname":"Eswatini","year":"1968, 2011 ","region":"rgn_Africa","Colors":["cl_BLU","cl_YEL","cl_RED","cl_BLA","cl_WHI"],"Items":["5+Colo","lets08","startE","with_w","year19","year00","allhor","4+Band","Horizo","Bird","Weapon","Unequa","Center","Wavess","ntWHYE","NO_GRE","001BLU","002RED","003BLU","myrBLU","landlo","englis","NoStar"],"Flag":"https://upload.wikimedia.org/wikipedia/commons/thumb/f/fb/Flag_of_Eswatini.svg/383px-Flag_of_Eswatini.svg.png","HDFlag":"https://upload.wikimedia.org/wikipedia/commons/thumb/f/fb/Flag_of_Eswatini.svg/2560px-Flag_of_Eswatini.svg.png","type":"", "describe": "\nThe red stands for past battles, the blue for peace and stability, and the yellow for the resources of Eswatini. The central focus of the flag is a Nguni shield and two spears, symbolizing protection from the country's enemies. Its color is meant to show that white and black people live in peaceful coexistence in Eswatini.", "isnew": ".", "links": "https://en.wikipedia.org/wiki/Flag_of_Eswatini"},</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{"couname":"Eswatini","year":"1968, 2011 ","region":"rgn_Africa","Colors":["cl_BLU","cl_YEL","cl_RED","cl_BLA","cl_WHI"],"Items":["5+Colo","lets08","startE","with_w","year19","year00","allhor","4+Band","Horizo","Bird","Weapon","Unequa","Center","Wavess","ntWHYE","NO_GRE","001BLU","002RED","003BLU","myrBLU","landlo","englis","NoStar"],"Flag":"https://upload.wikimedia.org/wikipedia/commons/thumb/f/fb/Flag_of_Eswatini.svg/383px-Flag_of_Eswatini.svg.png","HDFlag":"https://upload.wikimedia.org/wikipedia/commons/thumb/f/fb/Flag_of_Eswatini.svg/2560px-Flag_of_Eswatini.svg.png","type":"", "describe": "\nThe red stands for past battles, the blue for peace and stability, and the yellow for the resources of Eswatini. The central focus of the flag is a Nguni shield and two spears, symbolizing protection from the country's enemies. Its color is meant to show that white and black people live in peaceful coexistence in Eswatini.", "isnew": ".", "links": "https://en.wikipedia.org/wiki/Flag_of_Eswatini"},</v>
      </c>
      <c r="HO2" s="75"/>
      <c r="HP2" s="48" t="str" cm="1">
        <f t="array" ref="HP2">IF(_xlfn.TEXTJOIN(", ", TRUE, IF(ISNUMBER(SEARCH("BLA", BL2:BT2)), COLUMN(BL2:BT2) - COLUMN(BL2) + 1, ""))&lt;&gt;"","BLA","")</f>
        <v>BLA</v>
      </c>
      <c r="HQ2" s="48" t="str" cm="1">
        <f t="array" ref="HQ2">IF(_xlfn.TEXTJOIN(", ", TRUE, IF(ISNUMBER(SEARCH("BLU", BL2:BT2)), COLUMN(BL2:BT2) - COLUMN(BL2) + 1, ""))&lt;&gt;"","BLU","")</f>
        <v>BLU</v>
      </c>
      <c r="HR2" s="48" t="str" cm="1">
        <f t="array" ref="HR2">IF(_xlfn.TEXTJOIN(", ", TRUE, IF(ISNUMBER(SEARCH("GRE", BL2:BT2)), COLUMN(BL2:BT2) - COLUMN(BL2) + 1, ""))&lt;&gt;"","GRE","")</f>
        <v/>
      </c>
      <c r="HS2" s="48" t="str" cm="1">
        <f t="array" ref="HS2">IF(_xlfn.TEXTJOIN(", ", TRUE, IF(ISNUMBER(SEARCH("RED", BL2:BT2)), COLUMN(BL2:BT2) - COLUMN(BL2) + 1, ""))&lt;&gt;"","RED","")</f>
        <v>RED</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c r="IB2" s="6"/>
      <c r="IC2" s="77"/>
      <c r="ID2" s="77"/>
      <c r="IE2" s="77"/>
      <c r="IF2" s="77"/>
      <c r="IG2" s="77"/>
      <c r="IH2" s="77"/>
      <c r="II2" s="77"/>
      <c r="IJ2" s="77"/>
      <c r="IK2" s="77"/>
      <c r="IL2" s="48">
        <f>SUM(IC2:IK2)</f>
        <v>0</v>
      </c>
      <c r="IM2" s="45">
        <f>COUNTIF(IC2:IK2,"&gt;0")-CG2</f>
        <v>-5</v>
      </c>
      <c r="IN2" s="78" t="str">
        <f>"http://mkweb.bcgsc.ca/color-summarizer/?url="&amp;D2&amp;"&amp;precision=low&amp;num_clusters="&amp;CG2&amp;"&amp;text=1"</f>
        <v>http://mkweb.bcgsc.ca/color-summarizer/?url=https://upload.wikimedia.org/wikipedia/commons/thumb/f/fb/Flag_of_Eswatini.svg/383px-Flag_of_Eswatini.svg.png&amp;precision=low&amp;num_clusters=5&amp;text=1</v>
      </c>
      <c r="IO2" s="48" t="str">
        <f>IF(HP2&lt;&gt;"",CHAR(34)&amp;"black"&amp;CHAR(34),"")</f>
        <v>"black"</v>
      </c>
      <c r="IP2" s="48" t="str">
        <f>IF(HQ2&lt;&gt;"",CHAR(34)&amp;"blue"&amp;CHAR(34),"")</f>
        <v>"blue"</v>
      </c>
      <c r="IQ2" s="48" t="str">
        <f>IF(HR2&lt;&gt;"",CHAR(34)&amp;"green"&amp;CHAR(34),"")</f>
        <v/>
      </c>
      <c r="IR2" s="48" t="str">
        <f>IF(HS2&lt;&gt;"",CHAR(34)&amp;"red"&amp;CHAR(34),"")</f>
        <v>"red"</v>
      </c>
      <c r="IS2" s="48" t="str">
        <f>IF(HT2&lt;&gt;"",CHAR(34)&amp;"yellow"&amp;CHAR(34),"")</f>
        <v>"yellow"</v>
      </c>
      <c r="IT2" s="48" t="str">
        <f>IF(HU2&lt;&gt;"",CHAR(34)&amp;"orange"&amp;CHAR(34),"")</f>
        <v/>
      </c>
      <c r="IU2" s="48" t="str">
        <f>IF(HV2&lt;&gt;"",CHAR(34)&amp;"brown"&amp;CHAR(34),"")</f>
        <v/>
      </c>
      <c r="IV2" s="48" t="str">
        <f>IF(HW2&lt;&gt;"",CHAR(34)&amp;"purple"&amp;CHAR(34),"")</f>
        <v/>
      </c>
      <c r="IW2" s="48" t="str">
        <f>IF(HX2&lt;&gt;"",CHAR(34)&amp;"white"&amp;CHAR(34),"")</f>
        <v>"white"</v>
      </c>
      <c r="IX2" s="48" t="str">
        <f>"{"&amp;CHAR(34)&amp;"url"&amp;CHAR(34)&amp;":"&amp;CHAR(34)&amp;IN2&amp;CHAR(34)&amp;","&amp;CHAR(34)&amp;"name"&amp;CHAR(34)&amp;":"&amp;CHAR(34)&amp;A2&amp;CHAR(34)&amp;"},"</f>
        <v>{"url":"http://mkweb.bcgsc.ca/color-summarizer/?url=https://upload.wikimedia.org/wikipedia/commons/thumb/f/fb/Flag_of_Eswatini.svg/383px-Flag_of_Eswatini.svg.png&amp;precision=low&amp;num_clusters=5&amp;text=1","name":"Eswatini"},</v>
      </c>
      <c r="IY2" s="48">
        <v>71</v>
      </c>
    </row>
    <row r="3" spans="1:259" s="48" customFormat="1" ht="38.4" customHeight="1" thickBot="1" x14ac:dyDescent="0.35">
      <c r="A3" s="80" t="s">
        <v>466</v>
      </c>
      <c r="B3" s="40" t="e" vm="118">
        <v>#VALUE!</v>
      </c>
      <c r="C3" s="41" t="s">
        <v>173</v>
      </c>
      <c r="D3" s="42" t="s">
        <v>467</v>
      </c>
      <c r="E3" s="43" t="s">
        <v>468</v>
      </c>
      <c r="F3" s="44" t="s">
        <v>404</v>
      </c>
      <c r="G3" s="45">
        <f>COUNTIF($A$1:$A$8391,A3)</f>
        <v>1</v>
      </c>
      <c r="H3" s="46" t="s">
        <v>478</v>
      </c>
      <c r="I3" s="47" t="s">
        <v>469</v>
      </c>
      <c r="J3" s="48" t="str">
        <f>""</f>
        <v/>
      </c>
      <c r="K3" s="49"/>
      <c r="L3" s="50"/>
      <c r="M3" s="50"/>
      <c r="N3" s="51" t="s">
        <v>180</v>
      </c>
      <c r="O3" s="52" t="s">
        <v>470</v>
      </c>
      <c r="P3" s="53" t="s">
        <v>471</v>
      </c>
      <c r="Q3" s="54">
        <v>1</v>
      </c>
      <c r="R3" s="55" t="s">
        <v>180</v>
      </c>
      <c r="S3" s="56">
        <v>2</v>
      </c>
      <c r="T3" s="57" t="s">
        <v>167</v>
      </c>
      <c r="U3" s="58" t="s">
        <v>164</v>
      </c>
      <c r="V3" s="58" t="s">
        <v>164</v>
      </c>
      <c r="W3" s="58" t="s">
        <v>164</v>
      </c>
      <c r="X3" s="58" t="s">
        <v>164</v>
      </c>
      <c r="Y3" s="58" t="s">
        <v>164</v>
      </c>
      <c r="Z3" s="58" t="s">
        <v>164</v>
      </c>
      <c r="AA3" s="58" t="s">
        <v>164</v>
      </c>
      <c r="AB3" s="58" t="s">
        <v>164</v>
      </c>
      <c r="AC3" s="58" t="s">
        <v>167</v>
      </c>
      <c r="AD3" s="58" t="s">
        <v>164</v>
      </c>
      <c r="AE3" s="58" t="s">
        <v>164</v>
      </c>
      <c r="AF3" s="59" t="s">
        <v>164</v>
      </c>
      <c r="AG3" s="59" t="s">
        <v>164</v>
      </c>
      <c r="AH3" s="59" t="s">
        <v>164</v>
      </c>
      <c r="AI3" s="59" t="s">
        <v>167</v>
      </c>
      <c r="AJ3" s="59" t="s">
        <v>164</v>
      </c>
      <c r="AK3" s="59" t="s">
        <v>164</v>
      </c>
      <c r="AL3" s="59" t="s">
        <v>164</v>
      </c>
      <c r="AM3" s="59" t="s">
        <v>164</v>
      </c>
      <c r="AN3" s="59" t="s">
        <v>164</v>
      </c>
      <c r="AO3" s="59" t="s">
        <v>164</v>
      </c>
      <c r="AP3" s="59" t="s">
        <v>164</v>
      </c>
      <c r="AQ3" s="59" t="s">
        <v>164</v>
      </c>
      <c r="AR3" s="59" t="s">
        <v>164</v>
      </c>
      <c r="AS3" s="59" t="s">
        <v>164</v>
      </c>
      <c r="AT3" s="60">
        <v>0</v>
      </c>
      <c r="AU3" s="59" t="s">
        <v>174</v>
      </c>
      <c r="AV3" s="59" t="str">
        <f>IF(LEFT(A3,1)="[",LEFT(A3,5)&amp;AU3&amp;A3,"")</f>
        <v>[SWZ]Historical[SWZ] Swaziland (1890-1894)</v>
      </c>
      <c r="AW3" s="59" t="str">
        <f t="shared" ref="AW3" si="1">C3&amp;H3&amp;A3</f>
        <v>3b[SWZ] Other[SWZ] Swaziland (1890-1894)</v>
      </c>
      <c r="AX3" s="61"/>
      <c r="AY3" s="61"/>
      <c r="AZ3" s="62"/>
      <c r="BA3" s="62"/>
      <c r="BB3" s="62"/>
      <c r="BC3" s="63"/>
      <c r="BD3" s="64" t="s">
        <v>152</v>
      </c>
      <c r="BE3" s="47"/>
      <c r="BF3" s="64" t="s">
        <v>152</v>
      </c>
      <c r="BG3" s="64"/>
      <c r="BH3" s="64" t="s">
        <v>152</v>
      </c>
      <c r="BI3" s="64"/>
      <c r="BJ3" s="64"/>
      <c r="BK3" s="47"/>
      <c r="BL3" s="64" t="s">
        <v>152</v>
      </c>
      <c r="BM3" s="64" t="s">
        <v>159</v>
      </c>
      <c r="BN3" s="64" t="s">
        <v>151</v>
      </c>
      <c r="BO3" s="64"/>
      <c r="BP3" s="64"/>
      <c r="BQ3" s="64"/>
      <c r="BR3" s="64"/>
      <c r="BS3" s="64"/>
      <c r="BT3" s="64"/>
      <c r="BU3" s="65" t="s">
        <v>164</v>
      </c>
      <c r="BV3" s="66"/>
      <c r="BW3" s="66">
        <v>0</v>
      </c>
      <c r="BX3" s="47"/>
      <c r="BY3" s="48" t="s">
        <v>167</v>
      </c>
      <c r="CB3" s="6"/>
      <c r="CC3" s="6"/>
      <c r="CD3" s="67">
        <v>0</v>
      </c>
      <c r="CE3" s="67">
        <v>0</v>
      </c>
      <c r="CF3" s="67" t="e">
        <v>#REF!</v>
      </c>
      <c r="CG3" s="68" cm="1">
        <f t="array" ref="CG3">SUMPRODUCT(--(LEN(TRIM(BL3:BT3))&gt;0))</f>
        <v>3</v>
      </c>
      <c r="CH3" s="59" t="str">
        <f>IF(CG3=2,"y","n")</f>
        <v>n</v>
      </c>
      <c r="CI3" s="59" t="str">
        <f>IF(CG3=3,"y","n")</f>
        <v>y</v>
      </c>
      <c r="CJ3" s="59" t="str">
        <f>IF(CG3=4,"y","n")</f>
        <v>n</v>
      </c>
      <c r="CK3" s="59" t="str">
        <f>IF(CG3&gt;4,"y","n")</f>
        <v>n</v>
      </c>
      <c r="CL3" s="59" t="str">
        <f>IF(S3=0,"y","n")</f>
        <v>n</v>
      </c>
      <c r="CM3" s="59" t="str">
        <f>IF(S3=2,"y","n")</f>
        <v>y</v>
      </c>
      <c r="CN3" s="59" t="str">
        <f>IF(S3=3,"y","n")</f>
        <v>n</v>
      </c>
      <c r="CO3" s="59" t="str">
        <f>IF(S3&gt;=4,"y","n")</f>
        <v>n</v>
      </c>
      <c r="CP3" s="59" t="str">
        <f>IF(AT3=0,"y","n")</f>
        <v>y</v>
      </c>
      <c r="CQ3" s="59" t="str">
        <f>IF(AT3=1,"y","n")</f>
        <v>n</v>
      </c>
      <c r="CR3" s="59" t="str">
        <f>IF(AT3=2,"y","n")</f>
        <v>n</v>
      </c>
      <c r="CS3" s="59" t="str">
        <f>IF(AT3&gt;=3,"y","n")</f>
        <v>n</v>
      </c>
      <c r="CT3" s="69" t="str">
        <f>CHAR(34)&amp;A3&amp;CHAR(34)</f>
        <v>"[SWZ] Swaziland (1890-1894)"</v>
      </c>
      <c r="CU3" s="70" t="str">
        <f>CHAR(34)&amp;"rgn_"&amp;R3&amp;CHAR(34)</f>
        <v>"rgn_Africa"</v>
      </c>
      <c r="CV3" s="48" t="str">
        <f>CHAR(34)&amp;D3&amp;CHAR(34)</f>
        <v>"https://upload.wikimedia.org/wikipedia/commons/thumb/d/da/Flag_of_Swaziland_%28c._1890-1894%29.svg/640px-Flag_of_Swaziland_%28c._1890-1894%29.svg.png"</v>
      </c>
      <c r="CW3" s="48" t="str">
        <f>IF(CH3="y",CHAR(34)&amp;CH$1&amp;CHAR(34)&amp;",","")</f>
        <v/>
      </c>
      <c r="CX3" s="48" t="str">
        <f>IF(CI3="y",CHAR(34)&amp;CI$1&amp;CHAR(34)&amp;",","")</f>
        <v>"3Color",</v>
      </c>
      <c r="CY3" s="48" t="str">
        <f>IF(CJ3="y",CHAR(34)&amp;CJ$1&amp;CHAR(34)&amp;",","")</f>
        <v/>
      </c>
      <c r="CZ3" s="48" t="str">
        <f>IF(CK3="y",CHAR(34)&amp;CK$1&amp;CHAR(34)&amp;",","")</f>
        <v/>
      </c>
      <c r="DA3" s="48" t="str">
        <f>IF(Q3&gt;1,CHAR(34)&amp;"words2"&amp;CHAR(34)&amp;",","")</f>
        <v/>
      </c>
      <c r="DB3" s="48" t="str">
        <f>IF(Q3&gt;2,CHAR(34)&amp;"words3"&amp;CHAR(34)&amp;",","")</f>
        <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"lets19",</v>
      </c>
      <c r="DE3" s="48" t="str">
        <f>CHAR(34)&amp;"start"&amp;IFERROR(LEFT(SUBSTITUTE(A3,"["&amp;MID(A3,FIND("[",A3)+1,FIND("]",A3)-FIND("[",A3)-1)&amp;"] ",""),1),LEFT(A3,1))&amp;CHAR(34)&amp;","</f>
        <v>"startS",</v>
      </c>
      <c r="DF3" s="48" t="str">
        <f>IFERROR(IF(SEARCH("tan",A3)&gt;0,CHAR(34)&amp;"withtn"&amp;CHAR(34)&amp;",",""),"")</f>
        <v/>
      </c>
      <c r="DG3" s="48" t="str">
        <f>IFERROR(IF(SEARCH("q",A3)&gt;0,CHAR(34)&amp;"with_q"&amp;CHAR(34)&amp;",",""),"")</f>
        <v/>
      </c>
      <c r="DH3" s="48" t="str">
        <f>IFERROR(IF(SEARCH("v",A3)&gt;0,CHAR(34)&amp;"with_v"&amp;CHAR(34)&amp;",",""),"")</f>
        <v/>
      </c>
      <c r="DI3" s="48" t="str">
        <f>IFERROR(IF(SEARCH("w",A3)&gt;0,CHAR(34)&amp;"with_w"&amp;CHAR(34)&amp;",",""),"")</f>
        <v>"with_w",</v>
      </c>
      <c r="DJ3" s="48" t="str">
        <f>IFERROR(IF(SEARCH("y",A3)&gt;0,CHAR(34)&amp;"with_y"&amp;CHAR(34)&amp;",",""),"")</f>
        <v/>
      </c>
      <c r="DK3" s="48" t="str">
        <f>IFERROR(IF(SEARCH("z",A3)&gt;0,CHAR(34)&amp;"with_z"&amp;CHAR(34)&amp;",",""),"")</f>
        <v>"with_z",</v>
      </c>
      <c r="DL3" s="48" t="str">
        <f>IF(CG3=2, CHAR(34) &amp; _xlfn.TEXTJOIN("", TRUE, _xlfn._xlws.SORT(HP3:HX3)) &amp; CHAR(34) &amp; ",", "")</f>
        <v/>
      </c>
      <c r="DM3" s="48" t="str" cm="1">
        <f t="array" ref="DM3">IF(CG3=3,CHAR(34) &amp; _xlfn.TEXTJOIN("", TRUE, RIGHT(HP3:HX3, 2)) &amp; CHAR(34) &amp; ",", "")</f>
        <v>"LALUHI",</v>
      </c>
      <c r="DN3" s="48" t="str">
        <f>IF(AND(ISNUMBER(SEARCH("18", O3)), ISERROR(SEARCH("1918", O3)), ISERROR(SEARCH("2018", O3))), CHAR(34) &amp; "year18" &amp; CHAR(34) &amp; ",", "")</f>
        <v>"year18",</v>
      </c>
      <c r="DO3" s="48" t="str">
        <f>IF(AND(ISNUMBER(SEARCH("19", O3)), ISERROR(SEARCH("1819", O3)),  ISERROR(SEARCH("1219", O3)),ISERROR(SEARCH("1119", O3)),ISERROR(SEARCH("1190", O3)),ISERROR(SEARCH("2019", O3))), CHAR(34) &amp; "year19" &amp; CHAR(34) &amp; ",", "")</f>
        <v/>
      </c>
      <c r="DP3" s="6" t="str">
        <f>IF(AND(ISNUMBER(SEARCH("20", O3)), ISERROR(SEARCH("1920", O3))), CHAR(34)&amp;"year00"&amp;CHAR(34)&amp;",", "")</f>
        <v/>
      </c>
      <c r="DQ3" s="6" t="str">
        <f>IF(CC3="y",CHAR(34)&amp;"soviet"&amp;CHAR(34)&amp;",","")</f>
        <v/>
      </c>
      <c r="DR3" s="6" t="str">
        <f>IF(BY3="y",CHAR(34)&amp;"dgband"&amp;CHAR(34)&amp;",","")</f>
        <v>"dgband",</v>
      </c>
      <c r="DS3" s="6" t="str">
        <f>IF(W3="y",IF(AND(V3="n",BY3&lt;&gt;"y"),CHAR(34)&amp;"allver"&amp;CHAR(34)&amp;",",""),"")</f>
        <v/>
      </c>
      <c r="DT3" s="6" t="str">
        <f>IF(V3="y",IF(AND(W3="n",BY3&lt;&gt;"y"),CHAR(34)&amp;"allhor"&amp;CHAR(34)&amp;",",""),"")</f>
        <v/>
      </c>
      <c r="DU3" s="6" t="str">
        <f>IF(BY3="y",IF(AND(W3="n",V3="n"),CHAR(34)&amp;"alldia"&amp;CHAR(34)&amp;",",""),"")</f>
        <v>"alldia",</v>
      </c>
      <c r="DW3" s="48" t="str">
        <f>IF(CL3="y",CHAR(34)&amp;CL$1&amp;CHAR(34)&amp;",","")</f>
        <v/>
      </c>
      <c r="DX3" s="48" t="str">
        <f>IF(CM3="y",CHAR(34)&amp;CM$1&amp;CHAR(34)&amp;",","")</f>
        <v>"2Bands",</v>
      </c>
      <c r="DY3" s="48" t="str">
        <f>IF(CN3="y",CHAR(34)&amp;CN$1&amp;CHAR(34)&amp;",","")</f>
        <v/>
      </c>
      <c r="DZ3" s="48" t="str">
        <f>IF(CO3="y",CHAR(34)&amp;CO$1&amp;CHAR(34)&amp;",","")</f>
        <v/>
      </c>
      <c r="EA3" s="48" t="str">
        <f>IF(T3="y",CHAR(34)&amp;T$1&amp;CHAR(34)&amp;",","")</f>
        <v>"Diagon",</v>
      </c>
      <c r="EB3" s="48" t="str">
        <f>IF(U3="y",CHAR(34)&amp;U$1&amp;CHAR(34)&amp;",","")</f>
        <v/>
      </c>
      <c r="EC3" s="48" t="str">
        <f>IF(V3="y",CHAR(34)&amp;V$1&amp;CHAR(34)&amp;",","")</f>
        <v/>
      </c>
      <c r="ED3" s="48" t="str">
        <f>IF(W3="y",CHAR(34)&amp;W$1&amp;CHAR(34)&amp;",","")</f>
        <v/>
      </c>
      <c r="EE3" s="48" t="str">
        <f>IF(X3="y",CHAR(34)&amp;X$1&amp;CHAR(34)&amp;",","")</f>
        <v/>
      </c>
      <c r="EF3" s="48" t="str">
        <f>IF(AND(Y3&lt;&gt;"n",Y3&lt;&gt;""),CHAR(34)&amp;Y$1&amp;CHAR(34)&amp;",","")</f>
        <v/>
      </c>
      <c r="EG3" s="48" t="str">
        <f>IF(Z3="y",CHAR(34)&amp;Z$1&amp;CHAR(34)&amp;",","")</f>
        <v/>
      </c>
      <c r="EH3" s="48" t="str">
        <f>IF(AA3="y",CHAR(34)&amp;AA$1&amp;CHAR(34)&amp;",","")</f>
        <v/>
      </c>
      <c r="EI3" s="48" t="str">
        <f>IF(AB3="y",CHAR(34)&amp;AB$1&amp;CHAR(34)&amp;",","")</f>
        <v/>
      </c>
      <c r="EJ3" s="48" t="str">
        <f>IF(AC3="y",CHAR(34)&amp;AC$1&amp;CHAR(34)&amp;",","")</f>
        <v>"Weapon",</v>
      </c>
      <c r="EK3" s="48" t="str">
        <f>IF(AD3="y",CHAR(34)&amp;AD$1&amp;CHAR(34)&amp;",","")</f>
        <v/>
      </c>
      <c r="EL3" s="48" t="str">
        <f>IF(AE3="y",CHAR(34)&amp;AE$1&amp;CHAR(34)&amp;",","")</f>
        <v/>
      </c>
      <c r="EM3" s="48" t="str">
        <f>IF(AF3="y",CHAR(34)&amp;AF$1&amp;CHAR(34)&amp;",","")</f>
        <v/>
      </c>
      <c r="EN3" s="48" t="str">
        <f>IF(AG3="y",CHAR(34)&amp;AG$1&amp;CHAR(34)&amp;",","")</f>
        <v/>
      </c>
      <c r="EO3" s="48" t="str">
        <f>IF(AH3="y",CHAR(34)&amp;AH$1&amp;CHAR(34)&amp;",","")</f>
        <v/>
      </c>
      <c r="EP3" s="48" t="str">
        <f>IF(AI3="y",CHAR(34)&amp;AI$1&amp;CHAR(34)&amp;",","")</f>
        <v>"Canton",</v>
      </c>
      <c r="EQ3" s="48" t="str">
        <f>IF(AJ3="y",CHAR(34)&amp;AJ$1&amp;CHAR(34)&amp;",","")</f>
        <v/>
      </c>
      <c r="ER3" s="48" t="str">
        <f>IF(AK3="y",CHAR(34)&amp;AK$1&amp;CHAR(34)&amp;",","")</f>
        <v/>
      </c>
      <c r="ES3" s="48" t="str">
        <f>IF(AL3="y",CHAR(34)&amp;AL$1&amp;CHAR(34)&amp;",","")</f>
        <v/>
      </c>
      <c r="ET3" s="48" t="str">
        <f>IF(AM3="y",CHAR(34)&amp;AM$1&amp;CHAR(34)&amp;",","")</f>
        <v/>
      </c>
      <c r="EU3" s="48" t="str">
        <f>IF(AN3="y",CHAR(34)&amp;AN$1&amp;CHAR(34)&amp;",","")</f>
        <v/>
      </c>
      <c r="EV3" s="48" t="str">
        <f>IF(AO3="y",CHAR(34)&amp;AO$1&amp;CHAR(34)&amp;",","")</f>
        <v/>
      </c>
      <c r="EW3" s="48" t="str">
        <f>IF(AP3="y",CHAR(34)&amp;AP$1&amp;CHAR(34)&amp;",","")</f>
        <v/>
      </c>
      <c r="EX3" s="48" t="str">
        <f>IF(AQ3="y",CHAR(34)&amp;AQ$1&amp;CHAR(34)&amp;",","")</f>
        <v/>
      </c>
      <c r="EY3" s="48" t="str">
        <f>IF(AR3="y",CHAR(34)&amp;AR$1&amp;CHAR(34)&amp;",","")</f>
        <v/>
      </c>
      <c r="EZ3" s="48" t="str">
        <f>IF(AS3="y",CHAR(34)&amp;AS$1&amp;CHAR(34)&amp;",","")</f>
        <v/>
      </c>
      <c r="FA3" s="48" t="str">
        <f>IF(AT3&gt;0,CHAR(34)&amp;"sta"&amp;AZ3&amp;CHAR(34)&amp;",","")</f>
        <v/>
      </c>
      <c r="FB3" s="48" t="str">
        <f>IF(AND(AT3&gt;0,BA3&lt;&gt;""),CHAR(34)&amp;"sta"&amp;BA3&amp;CHAR(34)&amp;",","")</f>
        <v/>
      </c>
      <c r="FD3" s="48" t="str">
        <f>IF(BV3="n",CHAR(34)&amp;"tcWHYE"&amp;CHAR(34)&amp;",",IF(BV3="y",CHAR(34)&amp;FD$1&amp;CHAR(34)&amp;",",""))</f>
        <v/>
      </c>
      <c r="FE3" s="48" t="str">
        <f>IF(COUNTIF(BL3:BT3,"BLU")=0,CHAR(34)&amp;"NO_BLU"&amp;CHAR(34)&amp;",", "")</f>
        <v/>
      </c>
      <c r="FF3" s="48" t="str">
        <f>IF(COUNTIF(BL3:BT3,"WHI")=0,CHAR(34)&amp;"NO_WHI"&amp;CHAR(34)&amp;",", "")</f>
        <v/>
      </c>
      <c r="FG3" s="48" t="str">
        <f>IF(COUNTIF(BL3:BT3,"RED")=0,CHAR(34)&amp;"NO_RED"&amp;CHAR(34)&amp;",", "")</f>
        <v>"NO_RED",</v>
      </c>
      <c r="FH3" s="48" t="str">
        <f>IF(COUNTIF(BL3:BS3,"GRE")=0,CHAR(34)&amp;"NO_GRE"&amp;CHAR(34)&amp;",", "")</f>
        <v>"NO_GRE",</v>
      </c>
      <c r="FI3" s="48" t="str">
        <f>IF(COUNTIF(BL3:BT3,"YEL")=0,CHAR(34)&amp;"NO_YEL"&amp;CHAR(34)&amp;",", "")</f>
        <v>"NO_YEL",</v>
      </c>
      <c r="FJ3" s="48" t="str">
        <f>IF(COUNTIF(BL3:BT3,"BLA")=0,CHAR(34)&amp;"NO_BLA"&amp;CHAR(34)&amp;",", "")</f>
        <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
      </c>
      <c r="FQ3" s="48" t="str">
        <f>IF(LEN(BF3)=3,CHAR(34)&amp;"001"&amp;BF3&amp;CHAR(34)&amp;",","")</f>
        <v>"001BLU",</v>
      </c>
      <c r="FR3" s="48" t="str">
        <f>IF(LEN(BG3)=3,CHAR(34)&amp;"002"&amp;BG3&amp;CHAR(34)&amp;",","")</f>
        <v/>
      </c>
      <c r="FS3" s="48" t="str">
        <f>IF(LEN(BH3)=3,CHAR(34)&amp;"003"&amp;BH3&amp;CHAR(34)&amp;",","")</f>
        <v>"003BLU",</v>
      </c>
      <c r="FT3" s="48" t="str">
        <f>CHAR(34)&amp;"myr"&amp;BD3&amp;CHAR(34)&amp;","</f>
        <v>"myrBLU",</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"histor",</v>
      </c>
      <c r="GG3" s="48" t="str">
        <f>IF(BU3="y",CHAR(34)&amp;"unjack"&amp;CHAR(34)&amp;",","")</f>
        <v/>
      </c>
      <c r="GH3" s="48" t="str">
        <f>IF(CD3=1,CHAR(34)&amp;"southc"&amp;CHAR(34)&amp;",","")</f>
        <v/>
      </c>
      <c r="GI3" s="48" t="str">
        <f>IF(CE3=1,CHAR(34)&amp;"hasmap"&amp;CHAR(34)&amp;",","")</f>
        <v/>
      </c>
      <c r="GJ3" s="48" t="str">
        <f>IF(CP3="y",CHAR(34)&amp;CP$1&amp;CHAR(34)&amp;",","")</f>
        <v>"NoStar",</v>
      </c>
      <c r="GK3" s="48" t="str">
        <f>IF(GJ3="",CHAR(34)&amp;"HasSta"&amp;CHAR(34)&amp;",","")</f>
        <v/>
      </c>
      <c r="GL3" s="48" t="str">
        <f>IF(CQ3="y",CHAR(34)&amp;CQ$1&amp;CHAR(34)&amp;",","")</f>
        <v/>
      </c>
      <c r="GM3" s="48" t="str">
        <f>IF(CR3="y",CHAR(34)&amp;CR$1&amp;CHAR(34)&amp;",","")</f>
        <v/>
      </c>
      <c r="GN3" s="48" t="str">
        <f>IF(CS3="y",CHAR(34)&amp;CS$1&amp;CHAR(34)&amp;",","")</f>
        <v/>
      </c>
      <c r="GP3" s="48" t="str">
        <f>CHAR(34)&amp;AU3&amp;CHAR(34)</f>
        <v>"Historical"</v>
      </c>
      <c r="GS3" s="48" t="str">
        <f>SUBSTITUTE("["&amp;_xlfn.CONCAT(CW3:GN3)&amp;"]",",]","]")</f>
        <v>["3Color","lets19","startS","with_w","with_z","LALUHI","year18","dgband","alldia","2Bands","Diagon","Weapon","Canton","NO_RED","NO_GRE","NO_YEL","001BLU","003BLU","myrBLU","histor","NoStar"]</v>
      </c>
      <c r="GT3" s="48" t="str">
        <f>IF(BL3&lt;&gt;"",CHAR(34)&amp;"cl_"&amp;BL3&amp;CHAR(34)&amp;",","")</f>
        <v>"cl_BLU",</v>
      </c>
      <c r="GU3" s="48" t="str">
        <f>IF(BM3&lt;&gt;"",CHAR(34)&amp;"cl_"&amp;BM3&amp;CHAR(34)&amp;",","")</f>
        <v>"cl_WHI",</v>
      </c>
      <c r="GV3" s="48" t="str">
        <f>IF(BN3&lt;&gt;"",CHAR(34)&amp;"cl_"&amp;BN3&amp;CHAR(34)&amp;",","")</f>
        <v>"cl_BLA",</v>
      </c>
      <c r="GW3" s="48" t="str">
        <f>IF(BO3&lt;&gt;"",CHAR(34)&amp;"cl_"&amp;BO3&amp;CHAR(34)&amp;",","")</f>
        <v/>
      </c>
      <c r="GX3" s="48" t="str">
        <f>IF(BP3&lt;&gt;"",CHAR(34)&amp;"cl_"&amp;BP3&amp;CHAR(34)&amp;",","")</f>
        <v/>
      </c>
      <c r="GY3" s="48" t="str">
        <f>IF(BQ3&lt;&gt;"",CHAR(34)&amp;"cl_"&amp;BQ3&amp;CHAR(34)&amp;",","")</f>
        <v/>
      </c>
      <c r="GZ3" s="48" t="str">
        <f>IF(BR3&lt;&gt;"",CHAR(34)&amp;"cl_"&amp;BR3&amp;CHAR(34)&amp;",","")</f>
        <v/>
      </c>
      <c r="HA3" s="48" t="str">
        <f>IF(BS3&lt;&gt;"",CHAR(34)&amp;"cl_"&amp;BS3&amp;CHAR(34)&amp;",","")</f>
        <v/>
      </c>
      <c r="HB3" s="48" t="str">
        <f>IF(BT3&lt;&gt;"",CHAR(34)&amp;"cl_"&amp;BT3&amp;CHAR(34)&amp;",","")</f>
        <v/>
      </c>
      <c r="HC3" s="48" t="str">
        <f>SUBSTITUTE("["&amp;_xlfn.CONCAT(GT3:HB3)&amp;"]",",]","]")</f>
        <v>["cl_BLU","cl_WHI","cl_BLA"]</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{couname:"[SWZ] Swaziland (1890-1894)",year:"1890",region:"rgn_Africa",Colors:["cl_BLU","cl_WHI","cl_BLA"],Items:["3Color","lets19","startS","with_w","with_z","LALUHI","year18","dgband","alldia","2Bands","Diagon","Weapon","Canton","NO_RED","NO_GRE","NO_YEL","001BLU","003BLU","myrBLU","histor","NoStar"],Flag:"https://upload.wikimedia.org/wikipedia/commons/thumb/d/da/Flag_of_Swaziland_%28c._1890-1894%29.svg/640px-Flag_of_Swaziland_%28c._1890-1894%29.svg.png",HDFlag:"https://upload.wikimedia.org/wikipedia/commons/thumb/d/da/Flag_of_Swaziland_%28c._1890-1894%29.svg/2560px-Flag_of_Swaziland_%28c._1890-1894%29.svg.png",type:"Historical", describe: "\n The Swazis established their kingdom in the mid-18th century under the leadership of Ngwane III. The country and the Swazi take their names from Mswati II, the 19th-century king under whose rule the country was expanded and unified; its boundaries were drawn up in 1881 in the midst of the Scramble for Africa.", isnew:"www", links: "https://en.wikipedia.org/wiki/Flag_of_Eswatini"},</v>
      </c>
      <c r="HG3" s="73" t="str">
        <f>"{couname:"&amp;CT3&amp;(IF(HK3&lt;&gt;"",",subtype:"&amp;CHAR(34)&amp;HK3&amp;CHAR(34),""))&amp;",year:"&amp;HJ3&amp;",region:"&amp;CU3&amp;",Colors:"&amp;HC3&amp;",Items:"&amp;GS3&amp;",Flag:"&amp;CV3&amp;",HDFlag:"&amp;CHAR(34)&amp;E3&amp;CHAR(34)&amp;",type:"&amp;GP3&amp;", describe: "&amp;HI3&amp;", links: "&amp;HL3&amp;"},"</f>
        <v>{couname:"[SWZ] Swaziland (1890-1894)",year:"1890",region:"rgn_Africa",Colors:["cl_BLU","cl_WHI","cl_BLA"],Items:["3Color","lets19","startS","with_w","with_z","LALUHI","year18","dgband","alldia","2Bands","Diagon","Weapon","Canton","NO_RED","NO_GRE","NO_YEL","001BLU","003BLU","myrBLU","histor","NoStar"],Flag:"https://upload.wikimedia.org/wikipedia/commons/thumb/d/da/Flag_of_Swaziland_%28c._1890-1894%29.svg/640px-Flag_of_Swaziland_%28c._1890-1894%29.svg.png",HDFlag:"https://upload.wikimedia.org/wikipedia/commons/thumb/d/da/Flag_of_Swaziland_%28c._1890-1894%29.svg/2560px-Flag_of_Swaziland_%28c._1890-1894%29.svg.png",type:"Historical", describe: "\n The Swazis established their kingdom in the mid-18th century under the leadership of Ngwane III. The country and the Swazi take their names from Mswati II, the 19th-century king under whose rule the country was expanded and unified; its boundaries were drawn up in 1881 in the midst of the Scramble for Africa.", links: "https://en.wikipedia.org/wiki/Flag_of_Eswatini"},</v>
      </c>
      <c r="HH3" s="48" t="str">
        <f>IF(P3&lt;&gt;"",CHAR(34)&amp;"\n"&amp;P3&amp;CHAR(34),CHAR(34)&amp;CHAR(34))</f>
        <v>"\n The Swazis established their kingdom in the mid-18th century under the leadership of Ngwane III. The country and the Swazi take their names from Mswati II, the 19th-century king under whose rule the country was expanded and unified; its boundaries were drawn up in 1881 in the midst of the Scramble for Africa."</v>
      </c>
      <c r="HI3" s="48" t="str">
        <f>IF(J3=0,CHAR(34)&amp;CHAR(34),HH3)</f>
        <v>"\n The Swazis established their kingdom in the mid-18th century under the leadership of Ngwane III. The country and the Swazi take their names from Mswati II, the 19th-century king under whose rule the country was expanded and unified; its boundaries were drawn up in 1881 in the midst of the Scramble for Africa."</v>
      </c>
      <c r="HJ3" s="48" t="str">
        <f>CHAR(34)&amp;O3&amp;CHAR(34)</f>
        <v>"1890"</v>
      </c>
      <c r="HL3" s="48" t="str">
        <f>CHAR(34)&amp;I3&amp;CHAR(34)</f>
        <v>"https://en.wikipedia.org/wiki/Flag_of_Eswatini"</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{"couname":"[SWZ] Swaziland (1890-1894)","subtype":"[SWZ] Other","year":"1890","region":"rgn_Africa","Colors":["cl_BLU","cl_WHI","cl_BLA"],"Items":["3Color","lets19","startS","with_w","with_z","LALUHI","year18","dgband","alldia","2Bands","Diagon","Weapon","Canton","NO_RED","NO_GRE","NO_YEL","001BLU","003BLU","myrBLU","histor","NoStar"],"Flag":"https://upload.wikimedia.org/wikipedia/commons/thumb/d/da/Flag_of_Swaziland_%28c._1890-1894%29.svg/640px-Flag_of_Swaziland_%28c._1890-1894%29.svg.png","HDFlag":"https://upload.wikimedia.org/wikipedia/commons/thumb/d/da/Flag_of_Swaziland_%28c._1890-1894%29.svg/2560px-Flag_of_Swaziland_%28c._1890-1894%29.svg.png","type":"Historical", "describe": "\n The Swazis established their kingdom in the mid-18th century under the leadership of Ngwane III. The country and the Swazi take their names from Mswati II, the 19th-century king under whose rule the country was expanded and unified; its boundaries were drawn up in 1881 in the midst of the Scramble for Africa.", "isnew": "www", "links": "https://en.wikipedia.org/wiki/Flag_of_Eswatini"},</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{"couname":"[SWZ] Swaziland (1890-1894)","subtype":"[SWZ] Other","year":"1890","region":"rgn_Africa","Colors":["cl_BLU","cl_WHI","cl_BLA"],"Items":["3Color","lets19","startS","with_w","with_z","LALUHI","year18","dgband","alldia","2Bands","Diagon","Weapon","Canton","NO_RED","NO_GRE","NO_YEL","001BLU","003BLU","myrBLU","histor","NoStar"],"Flag":"https://upload.wikimedia.org/wikipedia/commons/thumb/d/da/Flag_of_Swaziland_%28c._1890-1894%29.svg/640px-Flag_of_Swaziland_%28c._1890-1894%29.svg.png","HDFlag":"https://upload.wikimedia.org/wikipedia/commons/thumb/d/da/Flag_of_Swaziland_%28c._1890-1894%29.svg/2560px-Flag_of_Swaziland_%28c._1890-1894%29.svg.png","type":"Historical", "describe": "\n The Swazis established their kingdom in the mid-18th century under the leadership of Ngwane III. The country and the Swazi take their names from Mswati II, the 19th-century king under whose rule the country was expanded and unified; its boundaries were drawn up in 1881 in the midst of the Scramble for Africa.", "isnew": "www", "links": "https://en.wikipedia.org/wiki/Flag_of_Eswatini"},</v>
      </c>
      <c r="HO3" s="75">
        <v>45653</v>
      </c>
      <c r="HP3" s="48" t="str" cm="1">
        <f t="array" ref="HP3">IF(_xlfn.TEXTJOIN(", ", TRUE, IF(ISNUMBER(SEARCH("BLA", BL3:BT3)), COLUMN(BL3:BT3) - COLUMN(BL3) + 1, ""))&lt;&gt;"","BLA","")</f>
        <v>BLA</v>
      </c>
      <c r="HQ3" s="48" t="str" cm="1">
        <f t="array" ref="HQ3">IF(_xlfn.TEXTJOIN(", ", TRUE, IF(ISNUMBER(SEARCH("BLU", BL3:BT3)), COLUMN(BL3:BT3) - COLUMN(BL3) + 1, ""))&lt;&gt;"","BLU","")</f>
        <v>BLU</v>
      </c>
      <c r="HR3" s="48" t="str" cm="1">
        <f t="array" ref="HR3">IF(_xlfn.TEXTJOIN(", ", TRUE, IF(ISNUMBER(SEARCH("GRE", BL3:BT3)), COLUMN(BL3:BT3) - COLUMN(BL3) + 1, ""))&lt;&gt;"","GRE","")</f>
        <v/>
      </c>
      <c r="HS3" s="48" t="str" cm="1">
        <f t="array" ref="HS3">IF(_xlfn.TEXTJOIN(", ", TRUE, IF(ISNUMBER(SEARCH("RED", BL3:BT3)), COLUMN(BL3:BT3) - COLUMN(BL3) + 1, ""))&lt;&gt;"","RED","")</f>
        <v/>
      </c>
      <c r="HT3" s="48" t="str" cm="1">
        <f t="array" ref="HT3">IF(_xlfn.TEXTJOIN(", ", TRUE, IF(ISNUMBER(SEARCH("YEL", BL3:BT3)), COLUMN(BL3:BT3) - COLUMN(BL3) + 1, ""))&lt;&gt;"","YEL","")</f>
        <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M3" s="45">
        <f>COUNTIF(IC3:IK3,"&gt;0")-CG3</f>
        <v>-3</v>
      </c>
      <c r="IN3" s="78" t="str">
        <f>"http://mkweb.bcgsc.ca/color-summarizer/?url="&amp;D3&amp;"&amp;precision=low&amp;num_clusters="&amp;CG3&amp;"&amp;text=1"</f>
        <v>http://mkweb.bcgsc.ca/color-summarizer/?url=https://upload.wikimedia.org/wikipedia/commons/thumb/d/da/Flag_of_Swaziland_%28c._1890-1894%29.svg/640px-Flag_of_Swaziland_%28c._1890-1894%29.svg.png&amp;precision=low&amp;num_clusters=3&amp;text=1</v>
      </c>
      <c r="IO3" s="48" t="str">
        <f>IF(HP3&lt;&gt;"",CHAR(34)&amp;"black"&amp;CHAR(34),"")</f>
        <v>"black"</v>
      </c>
      <c r="IP3" s="48" t="str">
        <f>IF(HQ3&lt;&gt;"",CHAR(34)&amp;"blue"&amp;CHAR(34),"")</f>
        <v>"blue"</v>
      </c>
      <c r="IQ3" s="48" t="str">
        <f>IF(HR3&lt;&gt;"",CHAR(34)&amp;"green"&amp;CHAR(34),"")</f>
        <v/>
      </c>
      <c r="IR3" s="48" t="str">
        <f>IF(HS3&lt;&gt;"",CHAR(34)&amp;"red"&amp;CHAR(34),"")</f>
        <v/>
      </c>
      <c r="IS3" s="48" t="str">
        <f>IF(HT3&lt;&gt;"",CHAR(34)&amp;"yellow"&amp;CHAR(34),"")</f>
        <v/>
      </c>
      <c r="IT3" s="48" t="str">
        <f>IF(HU3&lt;&gt;"",CHAR(34)&amp;"orange"&amp;CHAR(34),"")</f>
        <v/>
      </c>
      <c r="IU3" s="48" t="str">
        <f>IF(HV3&lt;&gt;"",CHAR(34)&amp;"brown"&amp;CHAR(34),"")</f>
        <v/>
      </c>
      <c r="IV3" s="48" t="str">
        <f>IF(HW3&lt;&gt;"",CHAR(34)&amp;"purple"&amp;CHAR(34),"")</f>
        <v/>
      </c>
      <c r="IW3" s="48" t="str">
        <f>IF(HX3&lt;&gt;"",CHAR(34)&amp;"white"&amp;CHAR(34),"")</f>
        <v>"white"</v>
      </c>
      <c r="IX3" s="48" t="str">
        <f>"{"&amp;CHAR(34)&amp;"url"&amp;CHAR(34)&amp;":"&amp;CHAR(34)&amp;IN3&amp;CHAR(34)&amp;","&amp;CHAR(34)&amp;"name"&amp;CHAR(34)&amp;":"&amp;CHAR(34)&amp;A3&amp;CHAR(34)&amp;"},"</f>
        <v>{"url":"http://mkweb.bcgsc.ca/color-summarizer/?url=https://upload.wikimedia.org/wikipedia/commons/thumb/d/da/Flag_of_Swaziland_%28c._1890-1894%29.svg/640px-Flag_of_Swaziland_%28c._1890-1894%29.svg.png&amp;precision=low&amp;num_clusters=3&amp;text=1","name":"[SWZ] Swaziland (1890-1894)"},</v>
      </c>
      <c r="IY3" s="48">
        <v>1503</v>
      </c>
    </row>
    <row r="4" spans="1:259" ht="38.4" customHeight="1" x14ac:dyDescent="0.3">
      <c r="F4" s="82"/>
      <c r="G4" s="82"/>
      <c r="H4" s="82"/>
      <c r="I4" s="82"/>
      <c r="J4" s="82"/>
      <c r="K4" s="82"/>
    </row>
    <row r="5" spans="1:259" ht="38.4" customHeight="1" x14ac:dyDescent="0.3">
      <c r="F5" s="82"/>
      <c r="G5" s="82"/>
      <c r="H5" s="82"/>
      <c r="I5" s="82"/>
      <c r="J5" s="82"/>
      <c r="K5" s="82"/>
    </row>
    <row r="6" spans="1:259" ht="38.4" customHeight="1" x14ac:dyDescent="0.3">
      <c r="F6" s="82"/>
      <c r="G6" s="82"/>
      <c r="H6" s="82"/>
      <c r="I6" s="82"/>
      <c r="J6" s="82"/>
      <c r="K6" s="82"/>
    </row>
  </sheetData>
  <autoFilter ref="A1:IY1" xr:uid="{A1051193-A95B-4CFB-A73C-F0184620C81F}">
    <sortState xmlns:xlrd2="http://schemas.microsoft.com/office/spreadsheetml/2017/richdata2" ref="A2:IY5">
      <sortCondition ref="AW1"/>
    </sortState>
  </autoFilter>
  <conditionalFormatting sqref="H1 CW1:GS1 IA1:IB1">
    <cfRule type="cellIs" dxfId="1090" priority="118" operator="greaterThan">
      <formula>0</formula>
    </cfRule>
  </conditionalFormatting>
  <conditionalFormatting sqref="H1 H7:H1048576">
    <cfRule type="cellIs" dxfId="1089" priority="84" stopIfTrue="1" operator="notEqual">
      <formula>""</formula>
    </cfRule>
  </conditionalFormatting>
  <conditionalFormatting sqref="T1:BK1">
    <cfRule type="cellIs" dxfId="1088" priority="121" operator="greaterThan">
      <formula>0</formula>
    </cfRule>
  </conditionalFormatting>
  <conditionalFormatting sqref="BV1:BW1 BV4:BW1048576">
    <cfRule type="cellIs" dxfId="1087" priority="120" operator="equal">
      <formula>"nc"</formula>
    </cfRule>
  </conditionalFormatting>
  <conditionalFormatting sqref="HF1:HG1">
    <cfRule type="cellIs" dxfId="1086" priority="122" operator="greaterThan">
      <formula>0</formula>
    </cfRule>
  </conditionalFormatting>
  <conditionalFormatting sqref="HK1">
    <cfRule type="cellIs" dxfId="1085" priority="119" operator="greaterThan">
      <formula>0</formula>
    </cfRule>
  </conditionalFormatting>
  <conditionalFormatting sqref="HP1:HX1">
    <cfRule type="cellIs" dxfId="1084" priority="96" operator="equal">
      <formula>"PIN"</formula>
    </cfRule>
    <cfRule type="cellIs" dxfId="1083" priority="97" operator="equal">
      <formula>"ORA"</formula>
    </cfRule>
    <cfRule type="cellIs" dxfId="1082" priority="98" operator="equal">
      <formula>"GRA"</formula>
    </cfRule>
    <cfRule type="cellIs" dxfId="1081" priority="99" operator="equal">
      <formula>"PUR"</formula>
    </cfRule>
    <cfRule type="cellIs" dxfId="1080" priority="100" operator="equal">
      <formula>"BRO"</formula>
    </cfRule>
    <cfRule type="cellIs" dxfId="1079" priority="101" operator="equal">
      <formula>"YEL"</formula>
    </cfRule>
    <cfRule type="cellIs" dxfId="1078" priority="102" operator="equal">
      <formula>"BLU"</formula>
    </cfRule>
    <cfRule type="cellIs" dxfId="1077" priority="103" operator="equal">
      <formula>"WHI"</formula>
    </cfRule>
    <cfRule type="cellIs" dxfId="1076" priority="104" operator="equal">
      <formula>"GRE"</formula>
    </cfRule>
    <cfRule type="cellIs" dxfId="1075" priority="105" operator="equal">
      <formula>"RED"</formula>
    </cfRule>
    <cfRule type="cellIs" dxfId="1074" priority="106" operator="equal">
      <formula>"BLA"</formula>
    </cfRule>
  </conditionalFormatting>
  <conditionalFormatting sqref="IC1:IK1">
    <cfRule type="cellIs" dxfId="1073" priority="107" operator="equal">
      <formula>"PIN"</formula>
    </cfRule>
    <cfRule type="cellIs" dxfId="1072" priority="108" operator="equal">
      <formula>"ORA"</formula>
    </cfRule>
    <cfRule type="cellIs" dxfId="1071" priority="109" operator="equal">
      <formula>"GRA"</formula>
    </cfRule>
    <cfRule type="cellIs" dxfId="1070" priority="110" operator="equal">
      <formula>"PUR"</formula>
    </cfRule>
    <cfRule type="cellIs" dxfId="1069" priority="111" operator="equal">
      <formula>"BRO"</formula>
    </cfRule>
    <cfRule type="cellIs" dxfId="1068" priority="112" operator="equal">
      <formula>"YEL"</formula>
    </cfRule>
    <cfRule type="cellIs" dxfId="1067" priority="113" operator="equal">
      <formula>"BLU"</formula>
    </cfRule>
    <cfRule type="cellIs" dxfId="1066" priority="114" operator="equal">
      <formula>"WHI"</formula>
    </cfRule>
    <cfRule type="cellIs" dxfId="1065" priority="115" operator="equal">
      <formula>"GRE"</formula>
    </cfRule>
    <cfRule type="cellIs" dxfId="1064" priority="116" operator="equal">
      <formula>"RED"</formula>
    </cfRule>
    <cfRule type="cellIs" dxfId="1063" priority="117" operator="equal">
      <formula>"BLA"</formula>
    </cfRule>
  </conditionalFormatting>
  <conditionalFormatting sqref="IO1:IW1">
    <cfRule type="cellIs" dxfId="1062" priority="85" operator="equal">
      <formula>"PIN"</formula>
    </cfRule>
    <cfRule type="cellIs" dxfId="1061" priority="86" operator="equal">
      <formula>"ORA"</formula>
    </cfRule>
    <cfRule type="cellIs" dxfId="1060" priority="87" operator="equal">
      <formula>"GRA"</formula>
    </cfRule>
    <cfRule type="cellIs" dxfId="1059" priority="88" operator="equal">
      <formula>"PUR"</formula>
    </cfRule>
    <cfRule type="cellIs" dxfId="1058" priority="89" operator="equal">
      <formula>"BRO"</formula>
    </cfRule>
    <cfRule type="cellIs" dxfId="1057" priority="90" operator="equal">
      <formula>"YEL"</formula>
    </cfRule>
    <cfRule type="cellIs" dxfId="1056" priority="91" operator="equal">
      <formula>"BLU"</formula>
    </cfRule>
    <cfRule type="cellIs" dxfId="1055" priority="92" operator="equal">
      <formula>"WHI"</formula>
    </cfRule>
    <cfRule type="cellIs" dxfId="1054" priority="93" operator="equal">
      <formula>"GRE"</formula>
    </cfRule>
    <cfRule type="cellIs" dxfId="1053" priority="94" operator="equal">
      <formula>"RED"</formula>
    </cfRule>
    <cfRule type="cellIs" dxfId="1052" priority="95" operator="equal">
      <formula>"BLA"</formula>
    </cfRule>
  </conditionalFormatting>
  <conditionalFormatting sqref="H3">
    <cfRule type="cellIs" dxfId="1051" priority="76" stopIfTrue="1" operator="notEqual">
      <formula>""</formula>
    </cfRule>
  </conditionalFormatting>
  <conditionalFormatting sqref="R3 CU3">
    <cfRule type="cellIs" dxfId="1050" priority="79" operator="greaterThan">
      <formula>0</formula>
    </cfRule>
  </conditionalFormatting>
  <conditionalFormatting sqref="T3:AS3 CH3:CS3">
    <cfRule type="cellIs" dxfId="1049" priority="73" stopIfTrue="1" operator="equal">
      <formula>"n"</formula>
    </cfRule>
    <cfRule type="cellIs" dxfId="1048" priority="74" stopIfTrue="1" operator="equal">
      <formula>"y"</formula>
    </cfRule>
    <cfRule type="cellIs" dxfId="1047" priority="75" operator="greaterThan">
      <formula>0</formula>
    </cfRule>
  </conditionalFormatting>
  <conditionalFormatting sqref="AZ3:BB3">
    <cfRule type="expression" dxfId="1046" priority="60">
      <formula>$AT3=0</formula>
    </cfRule>
  </conditionalFormatting>
  <conditionalFormatting sqref="CD3:CF3 BX3:CA3 AZ3:BU3">
    <cfRule type="cellIs" dxfId="1045" priority="61" operator="equal">
      <formula>"PIN"</formula>
    </cfRule>
    <cfRule type="cellIs" dxfId="1044" priority="62" operator="equal">
      <formula>"ORA"</formula>
    </cfRule>
    <cfRule type="cellIs" dxfId="1043" priority="63" operator="equal">
      <formula>"GRA"</formula>
    </cfRule>
    <cfRule type="cellIs" dxfId="1042" priority="64" operator="equal">
      <formula>"PUR"</formula>
    </cfRule>
    <cfRule type="cellIs" dxfId="1041" priority="65" operator="equal">
      <formula>"BRO"</formula>
    </cfRule>
    <cfRule type="cellIs" dxfId="1040" priority="66" operator="equal">
      <formula>"YEL"</formula>
    </cfRule>
    <cfRule type="cellIs" dxfId="1039" priority="67" operator="equal">
      <formula>"BLU"</formula>
    </cfRule>
    <cfRule type="cellIs" dxfId="1038" priority="68" operator="equal">
      <formula>"WHI"</formula>
    </cfRule>
    <cfRule type="cellIs" dxfId="1037" priority="69" operator="equal">
      <formula>"GRE"</formula>
    </cfRule>
    <cfRule type="cellIs" dxfId="1036" priority="70" operator="equal">
      <formula>"RED"</formula>
    </cfRule>
    <cfRule type="cellIs" dxfId="1035" priority="71" operator="equal">
      <formula>"BLA"</formula>
    </cfRule>
  </conditionalFormatting>
  <conditionalFormatting sqref="BV3">
    <cfRule type="cellIs" dxfId="1034" priority="78" operator="equal">
      <formula>"nc"</formula>
    </cfRule>
  </conditionalFormatting>
  <conditionalFormatting sqref="CD3:CF3 BX3:CA3">
    <cfRule type="cellIs" dxfId="1033" priority="77" operator="equal">
      <formula>"y"</formula>
    </cfRule>
  </conditionalFormatting>
  <conditionalFormatting sqref="CD3:CF3 BZ3:CA3">
    <cfRule type="cellIs" dxfId="1032" priority="72" operator="greaterThan">
      <formula>0</formula>
    </cfRule>
  </conditionalFormatting>
  <conditionalFormatting sqref="IC3:IK3">
    <cfRule type="expression" dxfId="1031" priority="59">
      <formula>$IL3&gt;0</formula>
    </cfRule>
  </conditionalFormatting>
  <conditionalFormatting sqref="IC3">
    <cfRule type="cellIs" dxfId="1030" priority="53" stopIfTrue="1" operator="greaterThan">
      <formula>0</formula>
    </cfRule>
  </conditionalFormatting>
  <conditionalFormatting sqref="ID3">
    <cfRule type="cellIs" dxfId="1029" priority="51" stopIfTrue="1" operator="greaterThan">
      <formula>0</formula>
    </cfRule>
  </conditionalFormatting>
  <conditionalFormatting sqref="II3 IE3:IF3">
    <cfRule type="cellIs" dxfId="1028" priority="58" operator="greaterThan">
      <formula>0</formula>
    </cfRule>
  </conditionalFormatting>
  <conditionalFormatting sqref="II3 IF3">
    <cfRule type="cellIs" dxfId="1027" priority="52" stopIfTrue="1" operator="greaterThan">
      <formula>0</formula>
    </cfRule>
  </conditionalFormatting>
  <conditionalFormatting sqref="IG3">
    <cfRule type="cellIs" dxfId="1026" priority="57" operator="greaterThan">
      <formula>0</formula>
    </cfRule>
  </conditionalFormatting>
  <conditionalFormatting sqref="IH3:II3">
    <cfRule type="cellIs" dxfId="1025" priority="56" operator="greaterThan">
      <formula>0</formula>
    </cfRule>
  </conditionalFormatting>
  <conditionalFormatting sqref="IJ3">
    <cfRule type="cellIs" dxfId="1024" priority="55" operator="greaterThan">
      <formula>0</formula>
    </cfRule>
  </conditionalFormatting>
  <conditionalFormatting sqref="IK3">
    <cfRule type="cellIs" dxfId="1023" priority="54" operator="greaterThan">
      <formula>0</formula>
    </cfRule>
  </conditionalFormatting>
  <conditionalFormatting sqref="IF3">
    <cfRule type="cellIs" dxfId="1022" priority="50" stopIfTrue="1" operator="greaterThan">
      <formula>0</formula>
    </cfRule>
  </conditionalFormatting>
  <conditionalFormatting sqref="IM3">
    <cfRule type="cellIs" dxfId="1021" priority="49" operator="equal">
      <formula>0</formula>
    </cfRule>
  </conditionalFormatting>
  <conditionalFormatting sqref="BX3:CA3 CD3:CF3">
    <cfRule type="cellIs" dxfId="1020" priority="37" operator="equal">
      <formula>"y"</formula>
    </cfRule>
    <cfRule type="cellIs" dxfId="1019" priority="38" operator="equal">
      <formula>"PIN"</formula>
    </cfRule>
    <cfRule type="cellIs" dxfId="1018" priority="39" operator="equal">
      <formula>"ORA"</formula>
    </cfRule>
    <cfRule type="cellIs" dxfId="1017" priority="40" operator="equal">
      <formula>"GRA"</formula>
    </cfRule>
    <cfRule type="cellIs" dxfId="1016" priority="41" operator="equal">
      <formula>"PUR"</formula>
    </cfRule>
    <cfRule type="cellIs" dxfId="1015" priority="42" operator="equal">
      <formula>"BRO"</formula>
    </cfRule>
    <cfRule type="cellIs" dxfId="1014" priority="43" operator="equal">
      <formula>"YEL"</formula>
    </cfRule>
    <cfRule type="cellIs" dxfId="1013" priority="44" operator="equal">
      <formula>"BLU"</formula>
    </cfRule>
    <cfRule type="cellIs" dxfId="1012" priority="45" operator="equal">
      <formula>"WHI"</formula>
    </cfRule>
    <cfRule type="cellIs" dxfId="1011" priority="46" operator="equal">
      <formula>"GRE"</formula>
    </cfRule>
    <cfRule type="cellIs" dxfId="1010" priority="47" operator="equal">
      <formula>"RED"</formula>
    </cfRule>
    <cfRule type="cellIs" dxfId="1009" priority="48" operator="equal">
      <formula>"BLA"</formula>
    </cfRule>
  </conditionalFormatting>
  <conditionalFormatting sqref="AT3">
    <cfRule type="colorScale" priority="80">
      <colorScale>
        <cfvo type="min"/>
        <cfvo type="max"/>
        <color rgb="FFFCFCFF"/>
        <color theme="8" tint="0.39997558519241921"/>
      </colorScale>
    </cfRule>
  </conditionalFormatting>
  <conditionalFormatting sqref="S3">
    <cfRule type="colorScale" priority="81">
      <colorScale>
        <cfvo type="min"/>
        <cfvo type="max"/>
        <color rgb="FFFCFCFF"/>
        <color rgb="FF754BFB"/>
      </colorScale>
    </cfRule>
  </conditionalFormatting>
  <conditionalFormatting sqref="J3">
    <cfRule type="colorScale" priority="82">
      <colorScale>
        <cfvo type="min"/>
        <cfvo type="percentile" val="50"/>
        <cfvo type="max"/>
        <color rgb="FFF8696B"/>
        <color rgb="FFFFEB84"/>
        <color rgb="FF63BE7B"/>
      </colorScale>
    </cfRule>
  </conditionalFormatting>
  <conditionalFormatting sqref="CG3">
    <cfRule type="colorScale" priority="83">
      <colorScale>
        <cfvo type="min"/>
        <cfvo type="max"/>
        <color rgb="FFFCFCFF"/>
        <color rgb="FF63BE7B"/>
      </colorScale>
    </cfRule>
  </conditionalFormatting>
  <conditionalFormatting sqref="H2">
    <cfRule type="cellIs" dxfId="1008" priority="30" stopIfTrue="1" operator="notEqual">
      <formula>""</formula>
    </cfRule>
  </conditionalFormatting>
  <conditionalFormatting sqref="R2 CU2">
    <cfRule type="cellIs" dxfId="1007" priority="32" operator="greaterThan">
      <formula>0</formula>
    </cfRule>
  </conditionalFormatting>
  <conditionalFormatting sqref="T2:AS2 CH2:CS2">
    <cfRule type="cellIs" dxfId="1006" priority="27" stopIfTrue="1" operator="equal">
      <formula>"n"</formula>
    </cfRule>
    <cfRule type="cellIs" dxfId="1005" priority="28" stopIfTrue="1" operator="equal">
      <formula>"y"</formula>
    </cfRule>
    <cfRule type="cellIs" dxfId="1004" priority="29" operator="greaterThan">
      <formula>0</formula>
    </cfRule>
  </conditionalFormatting>
  <conditionalFormatting sqref="AZ2:BB2">
    <cfRule type="expression" dxfId="1003" priority="14">
      <formula>$AT2=0</formula>
    </cfRule>
  </conditionalFormatting>
  <conditionalFormatting sqref="AZ2:BU2">
    <cfRule type="cellIs" dxfId="1002" priority="15" operator="equal">
      <formula>"PIN"</formula>
    </cfRule>
    <cfRule type="cellIs" dxfId="1001" priority="16" operator="equal">
      <formula>"ORA"</formula>
    </cfRule>
    <cfRule type="cellIs" dxfId="1000" priority="17" operator="equal">
      <formula>"GRA"</formula>
    </cfRule>
    <cfRule type="cellIs" dxfId="999" priority="18" operator="equal">
      <formula>"PUR"</formula>
    </cfRule>
    <cfRule type="cellIs" dxfId="998" priority="19" operator="equal">
      <formula>"BRO"</formula>
    </cfRule>
    <cfRule type="cellIs" dxfId="997" priority="20" operator="equal">
      <formula>"YEL"</formula>
    </cfRule>
    <cfRule type="cellIs" dxfId="996" priority="21" operator="equal">
      <formula>"BLU"</formula>
    </cfRule>
    <cfRule type="cellIs" dxfId="995" priority="22" operator="equal">
      <formula>"WHI"</formula>
    </cfRule>
    <cfRule type="cellIs" dxfId="994" priority="23" operator="equal">
      <formula>"GRE"</formula>
    </cfRule>
    <cfRule type="cellIs" dxfId="993" priority="24" operator="equal">
      <formula>"RED"</formula>
    </cfRule>
    <cfRule type="cellIs" dxfId="992" priority="25" operator="equal">
      <formula>"BLA"</formula>
    </cfRule>
  </conditionalFormatting>
  <conditionalFormatting sqref="BV2">
    <cfRule type="cellIs" dxfId="991" priority="31" operator="equal">
      <formula>"nc"</formula>
    </cfRule>
  </conditionalFormatting>
  <conditionalFormatting sqref="CD2:CF2 BZ2:CA2">
    <cfRule type="cellIs" dxfId="990" priority="26" operator="greaterThan">
      <formula>0</formula>
    </cfRule>
  </conditionalFormatting>
  <conditionalFormatting sqref="IC2:IK2">
    <cfRule type="expression" dxfId="989" priority="13">
      <formula>$IL2&gt;0</formula>
    </cfRule>
  </conditionalFormatting>
  <conditionalFormatting sqref="BX2:CA2 CD2:CF2">
    <cfRule type="cellIs" dxfId="988" priority="1" operator="equal">
      <formula>"y"</formula>
    </cfRule>
    <cfRule type="cellIs" dxfId="987" priority="2" operator="equal">
      <formula>"PIN"</formula>
    </cfRule>
    <cfRule type="cellIs" dxfId="986" priority="3" operator="equal">
      <formula>"ORA"</formula>
    </cfRule>
    <cfRule type="cellIs" dxfId="985" priority="4" operator="equal">
      <formula>"GRA"</formula>
    </cfRule>
    <cfRule type="cellIs" dxfId="984" priority="5" operator="equal">
      <formula>"PUR"</formula>
    </cfRule>
    <cfRule type="cellIs" dxfId="983" priority="6" operator="equal">
      <formula>"BRO"</formula>
    </cfRule>
    <cfRule type="cellIs" dxfId="982" priority="7" operator="equal">
      <formula>"YEL"</formula>
    </cfRule>
    <cfRule type="cellIs" dxfId="981" priority="8" operator="equal">
      <formula>"BLU"</formula>
    </cfRule>
    <cfRule type="cellIs" dxfId="980" priority="9" operator="equal">
      <formula>"WHI"</formula>
    </cfRule>
    <cfRule type="cellIs" dxfId="979" priority="10" operator="equal">
      <formula>"GRE"</formula>
    </cfRule>
    <cfRule type="cellIs" dxfId="978" priority="11" operator="equal">
      <formula>"RED"</formula>
    </cfRule>
    <cfRule type="cellIs" dxfId="977" priority="12" operator="equal">
      <formula>"BLA"</formula>
    </cfRule>
  </conditionalFormatting>
  <conditionalFormatting sqref="J2">
    <cfRule type="colorScale" priority="33">
      <colorScale>
        <cfvo type="min"/>
        <cfvo type="percentile" val="50"/>
        <cfvo type="max"/>
        <color rgb="FFF8696B"/>
        <color rgb="FFFFEB84"/>
        <color rgb="FF63BE7B"/>
      </colorScale>
    </cfRule>
  </conditionalFormatting>
  <conditionalFormatting sqref="S2">
    <cfRule type="colorScale" priority="34">
      <colorScale>
        <cfvo type="min"/>
        <cfvo type="max"/>
        <color rgb="FFFCFCFF"/>
        <color rgb="FF754BFB"/>
      </colorScale>
    </cfRule>
  </conditionalFormatting>
  <conditionalFormatting sqref="AT2">
    <cfRule type="colorScale" priority="35">
      <colorScale>
        <cfvo type="min"/>
        <cfvo type="max"/>
        <color rgb="FFFCFCFF"/>
        <color theme="8" tint="0.39997558519241921"/>
      </colorScale>
    </cfRule>
  </conditionalFormatting>
  <conditionalFormatting sqref="CG2">
    <cfRule type="colorScale" priority="36">
      <colorScale>
        <cfvo type="min"/>
        <cfvo type="max"/>
        <color rgb="FFFCFCFF"/>
        <color rgb="FF63BE7B"/>
      </colorScale>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15362" r:id="rId5"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15363" r:id="rId6"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7CABC-46C1-4094-B619-98EAD1ECA907}">
  <sheetPr codeName="Sheet27"/>
  <dimension ref="A1:IY10"/>
  <sheetViews>
    <sheetView zoomScale="70" zoomScaleNormal="70" workbookViewId="0">
      <pane xSplit="5" ySplit="1" topLeftCell="F2" activePane="bottomRight" state="frozen"/>
      <selection pane="topRight" activeCell="F1" sqref="F1"/>
      <selection pane="bottomLeft" activeCell="A2" sqref="A2"/>
      <selection pane="bottomRight" activeCell="A3" sqref="A3"/>
    </sheetView>
  </sheetViews>
  <sheetFormatPr defaultRowHeight="38.4" customHeight="1" x14ac:dyDescent="0.3"/>
  <cols>
    <col min="1" max="1" width="52.44140625" style="81" bestFit="1" customWidth="1"/>
    <col min="2" max="2" width="10.109375" style="81" customWidth="1"/>
    <col min="3" max="3" width="7.44140625" style="82" customWidth="1"/>
    <col min="4" max="4" width="4.77734375" style="83" customWidth="1"/>
    <col min="5" max="5" width="4.5546875" style="83" customWidth="1"/>
    <col min="6" max="6" width="5.77734375" style="83" customWidth="1"/>
    <col min="7" max="7" width="7.44140625" style="81" customWidth="1"/>
    <col min="8" max="8" width="11.44140625" style="81" customWidth="1"/>
    <col min="9" max="9" width="10" style="81" customWidth="1"/>
    <col min="10" max="10" width="4.21875" style="81" customWidth="1"/>
    <col min="11" max="11" width="5.6640625" style="83" customWidth="1"/>
    <col min="12" max="12" width="2.88671875" style="83" customWidth="1"/>
    <col min="13" max="13" width="6.44140625" style="83" customWidth="1"/>
    <col min="14" max="14" width="4.5546875" style="83" customWidth="1"/>
    <col min="15" max="15" width="10.5546875" style="84" customWidth="1"/>
    <col min="16" max="16" width="6.88671875" style="83" customWidth="1"/>
    <col min="17" max="17" width="4.77734375" style="83" customWidth="1"/>
    <col min="18" max="18" width="13.109375" style="82" customWidth="1"/>
    <col min="19" max="19" width="6.77734375" style="82" customWidth="1"/>
    <col min="20" max="46" width="8.44140625" style="81" customWidth="1"/>
    <col min="47" max="47" width="24.5546875" style="81" customWidth="1"/>
    <col min="48" max="51" width="16.6640625" style="81" customWidth="1"/>
    <col min="52" max="52" width="6.5546875" style="81" customWidth="1"/>
    <col min="53" max="54" width="5.88671875" style="81" customWidth="1"/>
    <col min="55" max="55" width="1.33203125" style="81" customWidth="1"/>
    <col min="56" max="56" width="7.44140625" style="81" customWidth="1"/>
    <col min="57" max="57" width="2.33203125" style="81" customWidth="1"/>
    <col min="58" max="62" width="6.109375" style="81" customWidth="1"/>
    <col min="63" max="63" width="2.33203125" style="81" customWidth="1"/>
    <col min="64" max="64" width="7" style="81" bestFit="1" customWidth="1"/>
    <col min="65" max="65" width="6.44140625" style="81" bestFit="1" customWidth="1"/>
    <col min="66" max="66" width="7.109375" style="81" bestFit="1" customWidth="1"/>
    <col min="67" max="71" width="6.44140625" style="81" bestFit="1" customWidth="1"/>
    <col min="72" max="73" width="6.44140625" style="81" customWidth="1"/>
    <col min="74" max="75" width="13.44140625" style="81" customWidth="1"/>
    <col min="76" max="84" width="14.6640625" style="81" customWidth="1"/>
    <col min="85" max="85" width="6.44140625" style="81" customWidth="1"/>
    <col min="86" max="87" width="11.6640625" style="81" bestFit="1" customWidth="1"/>
    <col min="88" max="88" width="11.6640625" style="81" customWidth="1"/>
    <col min="89" max="89" width="12.77734375" style="81" bestFit="1" customWidth="1"/>
    <col min="90" max="90" width="16.44140625" style="82" bestFit="1" customWidth="1"/>
    <col min="91" max="92" width="14.88671875" style="82" bestFit="1" customWidth="1"/>
    <col min="93" max="93" width="16" style="82" bestFit="1" customWidth="1"/>
    <col min="94" max="97" width="7.77734375" style="81" customWidth="1"/>
    <col min="98" max="98" width="33.21875" style="81" customWidth="1"/>
    <col min="99" max="99" width="18" style="81" customWidth="1"/>
    <col min="100" max="100" width="75.6640625" style="81" customWidth="1"/>
    <col min="101" max="125" width="33" style="81" customWidth="1"/>
    <col min="126" max="126" width="8.88671875" style="81"/>
    <col min="127" max="128" width="9.44140625" style="81" bestFit="1" customWidth="1"/>
    <col min="129" max="129" width="10.77734375" style="81" bestFit="1" customWidth="1"/>
    <col min="130" max="134" width="10.77734375" style="81" customWidth="1"/>
    <col min="135" max="135" width="10.109375" style="81" bestFit="1" customWidth="1"/>
    <col min="136" max="136" width="7.77734375" style="81" bestFit="1" customWidth="1"/>
    <col min="137" max="137" width="7.77734375" style="81" customWidth="1"/>
    <col min="138" max="138" width="9" style="81" bestFit="1" customWidth="1"/>
    <col min="139" max="139" width="11.33203125" style="81" bestFit="1" customWidth="1"/>
    <col min="140" max="140" width="9.109375" style="81" bestFit="1" customWidth="1"/>
    <col min="141" max="141" width="9" style="81" bestFit="1" customWidth="1"/>
    <col min="142" max="142" width="12" style="81" bestFit="1" customWidth="1"/>
    <col min="143" max="166" width="12" style="81" customWidth="1"/>
    <col min="167" max="167" width="17.21875" style="81" customWidth="1"/>
    <col min="168" max="191" width="12" style="81" customWidth="1"/>
    <col min="192" max="192" width="8.5546875" style="81" bestFit="1" customWidth="1"/>
    <col min="193" max="193" width="8.5546875" style="81" customWidth="1"/>
    <col min="194" max="194" width="7.109375" style="81" bestFit="1" customWidth="1"/>
    <col min="195" max="195" width="7.5546875" style="81" bestFit="1" customWidth="1"/>
    <col min="196" max="196" width="8.5546875" style="81" bestFit="1" customWidth="1"/>
    <col min="197" max="200" width="8.5546875" style="81" customWidth="1"/>
    <col min="201" max="201" width="188.88671875" style="81" customWidth="1"/>
    <col min="202" max="202" width="9.5546875" style="81" bestFit="1" customWidth="1"/>
    <col min="203" max="203" width="10.44140625" style="81" bestFit="1" customWidth="1"/>
    <col min="204" max="204" width="11.109375" style="81" bestFit="1" customWidth="1"/>
    <col min="205" max="205" width="10.44140625" style="81" bestFit="1" customWidth="1"/>
    <col min="206" max="210" width="10.44140625" style="81" customWidth="1"/>
    <col min="211" max="211" width="45.44140625" style="81" customWidth="1"/>
    <col min="212" max="212" width="47.5546875" style="81" bestFit="1" customWidth="1"/>
    <col min="213" max="213" width="9.33203125" style="85" customWidth="1"/>
    <col min="214" max="214" width="119.5546875" style="81" customWidth="1"/>
    <col min="215" max="215" width="69.6640625" style="81" customWidth="1"/>
    <col min="216" max="218" width="8.88671875" style="81"/>
    <col min="219" max="219" width="37.109375" style="81" customWidth="1"/>
    <col min="220" max="220" width="16.33203125" style="81" customWidth="1"/>
    <col min="221" max="222" width="8.88671875" style="81"/>
    <col min="223" max="223" width="10.109375" style="81" bestFit="1" customWidth="1"/>
    <col min="224" max="232" width="10.88671875" style="81" customWidth="1"/>
    <col min="233" max="234" width="30.77734375" style="81" customWidth="1"/>
    <col min="235" max="235" width="5.109375" style="81" customWidth="1"/>
    <col min="236" max="236" width="3" style="81" customWidth="1"/>
    <col min="237" max="245" width="6.77734375" style="86" customWidth="1"/>
    <col min="246" max="247" width="8.88671875" style="81"/>
    <col min="248" max="248" width="61.5546875" style="81" customWidth="1"/>
    <col min="249" max="253" width="8.88671875" style="81"/>
    <col min="254" max="254" width="9" style="81" customWidth="1"/>
    <col min="255" max="16384" width="8.88671875" style="8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447</v>
      </c>
      <c r="B2" s="40" t="e" vm="119">
        <v>#VALUE!</v>
      </c>
      <c r="C2" s="41">
        <v>1</v>
      </c>
      <c r="D2" s="42" t="s">
        <v>448</v>
      </c>
      <c r="E2" s="43" t="s">
        <v>449</v>
      </c>
      <c r="F2" s="44" t="s">
        <v>163</v>
      </c>
      <c r="G2" s="45">
        <f>COUNTIF($A$1:$A$8377,A2)</f>
        <v>1</v>
      </c>
      <c r="H2" s="46"/>
      <c r="I2" s="47" t="s">
        <v>450</v>
      </c>
      <c r="J2" s="48" t="str">
        <f>""</f>
        <v/>
      </c>
      <c r="K2" s="49">
        <v>107660</v>
      </c>
      <c r="L2" s="50">
        <v>350879</v>
      </c>
      <c r="M2" s="50" t="s">
        <v>465</v>
      </c>
      <c r="N2" s="51" t="s">
        <v>180</v>
      </c>
      <c r="O2" s="52" t="s">
        <v>346</v>
      </c>
      <c r="P2" s="53" t="s">
        <v>451</v>
      </c>
      <c r="Q2" s="54">
        <v>1</v>
      </c>
      <c r="R2" s="55" t="s">
        <v>180</v>
      </c>
      <c r="S2" s="56">
        <v>5</v>
      </c>
      <c r="T2" s="57" t="s">
        <v>167</v>
      </c>
      <c r="U2" s="58" t="s">
        <v>164</v>
      </c>
      <c r="V2" s="58" t="s">
        <v>164</v>
      </c>
      <c r="W2" s="58" t="s">
        <v>164</v>
      </c>
      <c r="X2" s="58" t="s">
        <v>164</v>
      </c>
      <c r="Y2" s="58" t="s">
        <v>164</v>
      </c>
      <c r="Z2" s="58" t="s">
        <v>164</v>
      </c>
      <c r="AA2" s="58" t="s">
        <v>164</v>
      </c>
      <c r="AB2" s="58" t="s">
        <v>164</v>
      </c>
      <c r="AC2" s="58" t="s">
        <v>164</v>
      </c>
      <c r="AD2" s="58" t="s">
        <v>164</v>
      </c>
      <c r="AE2" s="58" t="s">
        <v>164</v>
      </c>
      <c r="AF2" s="59" t="s">
        <v>164</v>
      </c>
      <c r="AG2" s="59" t="s">
        <v>164</v>
      </c>
      <c r="AH2" s="59" t="s">
        <v>164</v>
      </c>
      <c r="AI2" s="59" t="s">
        <v>164</v>
      </c>
      <c r="AJ2" s="59" t="s">
        <v>164</v>
      </c>
      <c r="AK2" s="59" t="s">
        <v>167</v>
      </c>
      <c r="AL2" s="59" t="s">
        <v>164</v>
      </c>
      <c r="AM2" s="59" t="s">
        <v>164</v>
      </c>
      <c r="AN2" s="59" t="s">
        <v>164</v>
      </c>
      <c r="AO2" s="59" t="s">
        <v>164</v>
      </c>
      <c r="AP2" s="59" t="s">
        <v>164</v>
      </c>
      <c r="AQ2" s="59" t="s">
        <v>164</v>
      </c>
      <c r="AR2" s="59" t="s">
        <v>164</v>
      </c>
      <c r="AS2" s="59" t="s">
        <v>164</v>
      </c>
      <c r="AT2" s="60">
        <v>0</v>
      </c>
      <c r="AU2" s="59"/>
      <c r="AV2" s="59" t="str">
        <f>IF(LEFT(A2,1)="[",LEFT(A2,5)&amp;AU2&amp;A2,"")</f>
        <v/>
      </c>
      <c r="AW2" s="59" t="str">
        <f t="shared" ref="AW2:AW4" si="0">C2&amp;H2&amp;A2</f>
        <v>1Seychelles</v>
      </c>
      <c r="AX2" s="61" t="str">
        <f>_xlfn.TEXTJOIN(";",TRUE,AU2:AW2)</f>
        <v>1Seychelles</v>
      </c>
      <c r="AY2" s="61" t="s">
        <v>167</v>
      </c>
      <c r="AZ2" s="62"/>
      <c r="BA2" s="62"/>
      <c r="BB2" s="62"/>
      <c r="BC2" s="63"/>
      <c r="BD2" s="64" t="s">
        <v>154</v>
      </c>
      <c r="BE2" s="47"/>
      <c r="BF2" s="64" t="s">
        <v>152</v>
      </c>
      <c r="BG2" s="64" t="s">
        <v>154</v>
      </c>
      <c r="BH2" s="64" t="s">
        <v>153</v>
      </c>
      <c r="BI2" s="64" t="s">
        <v>155</v>
      </c>
      <c r="BJ2" s="64" t="s">
        <v>159</v>
      </c>
      <c r="BK2" s="47"/>
      <c r="BL2" s="64" t="s">
        <v>152</v>
      </c>
      <c r="BM2" s="64" t="s">
        <v>155</v>
      </c>
      <c r="BN2" s="64" t="s">
        <v>154</v>
      </c>
      <c r="BO2" s="64" t="s">
        <v>159</v>
      </c>
      <c r="BP2" s="64" t="s">
        <v>153</v>
      </c>
      <c r="BQ2" s="64"/>
      <c r="BR2" s="64"/>
      <c r="BS2" s="64"/>
      <c r="BT2" s="64"/>
      <c r="BU2" s="65"/>
      <c r="BV2" s="66" t="s">
        <v>167</v>
      </c>
      <c r="BW2" s="66" t="s">
        <v>166</v>
      </c>
      <c r="BX2" s="47"/>
      <c r="BY2" s="48" t="s">
        <v>167</v>
      </c>
      <c r="CB2" s="6" t="s">
        <v>452</v>
      </c>
      <c r="CC2" s="6"/>
      <c r="CD2" s="67">
        <v>0</v>
      </c>
      <c r="CE2" s="67">
        <v>0</v>
      </c>
      <c r="CF2" s="67" t="e">
        <v>#REF!</v>
      </c>
      <c r="CG2" s="68" cm="1">
        <f t="array" ref="CG2">SUMPRODUCT(--(LEN(TRIM(BL2:BT2))&gt;0))</f>
        <v>5</v>
      </c>
      <c r="CH2" s="59" t="str">
        <f>IF(CG2=2,"y","n")</f>
        <v>n</v>
      </c>
      <c r="CI2" s="59" t="str">
        <f>IF(CG2=3,"y","n")</f>
        <v>n</v>
      </c>
      <c r="CJ2" s="59" t="str">
        <f>IF(CG2=4,"y","n")</f>
        <v>n</v>
      </c>
      <c r="CK2" s="59" t="str">
        <f>IF(CG2&gt;4,"y","n")</f>
        <v>y</v>
      </c>
      <c r="CL2" s="59" t="str">
        <f>IF(S2=0,"y","n")</f>
        <v>n</v>
      </c>
      <c r="CM2" s="59" t="str">
        <f>IF(S2=2,"y","n")</f>
        <v>n</v>
      </c>
      <c r="CN2" s="59" t="str">
        <f>IF(S2=3,"y","n")</f>
        <v>n</v>
      </c>
      <c r="CO2" s="59" t="str">
        <f>IF(S2&gt;=4,"y","n")</f>
        <v>y</v>
      </c>
      <c r="CP2" s="59" t="str">
        <f>IF(AT2=0,"y","n")</f>
        <v>y</v>
      </c>
      <c r="CQ2" s="59" t="str">
        <f>IF(AT2=1,"y","n")</f>
        <v>n</v>
      </c>
      <c r="CR2" s="59" t="str">
        <f>IF(AT2=2,"y","n")</f>
        <v>n</v>
      </c>
      <c r="CS2" s="59" t="str">
        <f>IF(AT2&gt;=3,"y","n")</f>
        <v>n</v>
      </c>
      <c r="CT2" s="69" t="str">
        <f>CHAR(34)&amp;A2&amp;CHAR(34)</f>
        <v>"Seychelles"</v>
      </c>
      <c r="CU2" s="70" t="str">
        <f>CHAR(34)&amp;"rgn_"&amp;R2&amp;CHAR(34)</f>
        <v>"rgn_Africa"</v>
      </c>
      <c r="CV2" s="48" t="str">
        <f>CHAR(34)&amp;D2&amp;CHAR(34)</f>
        <v>"https://i.ibb.co/Wc1xM5r/Seychelles-Flag.png"</v>
      </c>
      <c r="CW2" s="48" t="str">
        <f>IF(CH2="y",CHAR(34)&amp;CH$1&amp;CHAR(34)&amp;",","")</f>
        <v/>
      </c>
      <c r="CX2" s="48" t="str">
        <f>IF(CI2="y",CHAR(34)&amp;CI$1&amp;CHAR(34)&amp;",","")</f>
        <v/>
      </c>
      <c r="CY2" s="48" t="str">
        <f>IF(CJ2="y",CHAR(34)&amp;CJ$1&amp;CHAR(34)&amp;",","")</f>
        <v/>
      </c>
      <c r="CZ2" s="48" t="str">
        <f>IF(CK2="y",CHAR(34)&amp;CK$1&amp;CHAR(34)&amp;",","")</f>
        <v>"5+Colo",</v>
      </c>
      <c r="DA2" s="48" t="str">
        <f>IF(Q2&gt;1,CHAR(34)&amp;"words2"&amp;CHAR(34)&amp;",","")</f>
        <v/>
      </c>
      <c r="DB2" s="48" t="str">
        <f>IF(Q2&gt;2,CHAR(34)&amp;"words3"&amp;CHAR(34)&amp;",","")</f>
        <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"lets10",</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"startS",</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"with_y",</v>
      </c>
      <c r="DK2" s="48" t="str">
        <f>IFERROR(IF(SEARCH("z",A2)&gt;0,CHAR(34)&amp;"with_z"&amp;CHAR(34)&amp;",",""),"")</f>
        <v/>
      </c>
      <c r="DL2" s="48" t="str">
        <f>IF(CG2=2, CHAR(34) &amp; _xlfn.TEXTJOIN("", TRUE, _xlfn._xlws.SORT(HP2:HX2)) &amp; CHAR(34) &amp; ",", "")</f>
        <v/>
      </c>
      <c r="DM2" s="48" t="str" cm="1">
        <f t="array" ref="DM2">IF(CG2=3,CHAR(34) &amp; _xlfn.TEXTJOIN("", TRUE, RIGHT(HP2:HX2, 2)) &amp; CHAR(34) &amp; ",", "")</f>
        <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"dgband",</v>
      </c>
      <c r="DS2" s="6" t="str">
        <f>IF(W2="y",IF(AND(V2="n",BY2&lt;&gt;"y"),CHAR(34)&amp;"allver"&amp;CHAR(34)&amp;",",""),"")</f>
        <v/>
      </c>
      <c r="DT2" s="6" t="str">
        <f>IF(V2="y",IF(AND(W2="n",BY2&lt;&gt;"y"),CHAR(34)&amp;"allhor"&amp;CHAR(34)&amp;",",""),"")</f>
        <v/>
      </c>
      <c r="DU2" s="6" t="str">
        <f>IF(BY2="y",IF(AND(W2="n",V2="n"),CHAR(34)&amp;"alldia"&amp;CHAR(34)&amp;",",""),"")</f>
        <v>"alldia",</v>
      </c>
      <c r="DV2" s="48" t="str">
        <f>IF(IA2&lt;&gt;"",(IF(IA2="y",CHAR(34)&amp;"largec"&amp;CHAR(34)&amp;",",CHAR(34)&amp;"smallc"&amp;CHAR(34)&amp;",")),"")</f>
        <v/>
      </c>
      <c r="DW2" s="48" t="str">
        <f>IF(CL2="y",CHAR(34)&amp;CL$1&amp;CHAR(34)&amp;",","")</f>
        <v/>
      </c>
      <c r="DX2" s="48" t="str">
        <f>IF(CM2="y",CHAR(34)&amp;CM$1&amp;CHAR(34)&amp;",","")</f>
        <v/>
      </c>
      <c r="DY2" s="48" t="str">
        <f>IF(CN2="y",CHAR(34)&amp;CN$1&amp;CHAR(34)&amp;",","")</f>
        <v/>
      </c>
      <c r="DZ2" s="48" t="str">
        <f>IF(CO2="y",CHAR(34)&amp;CO$1&amp;CHAR(34)&amp;",","")</f>
        <v>"4+Band",</v>
      </c>
      <c r="EA2" s="48" t="str">
        <f>IF(T2="y",CHAR(34)&amp;T$1&amp;CHAR(34)&amp;",","")</f>
        <v>"Diagon",</v>
      </c>
      <c r="EB2" s="48" t="str">
        <f>IF(U2="y",CHAR(34)&amp;U$1&amp;CHAR(34)&amp;",","")</f>
        <v/>
      </c>
      <c r="EC2" s="48" t="str">
        <f>IF(V2="y",CHAR(34)&amp;V$1&amp;CHAR(34)&amp;",","")</f>
        <v/>
      </c>
      <c r="ED2" s="48" t="str">
        <f>IF(W2="y",CHAR(34)&amp;W$1&amp;CHAR(34)&amp;",","")</f>
        <v/>
      </c>
      <c r="EE2" s="48" t="str">
        <f>IF(X2="y",CHAR(34)&amp;X$1&amp;CHAR(34)&amp;",","")</f>
        <v/>
      </c>
      <c r="EF2" s="48" t="str">
        <f>IF(AND(Y2&lt;&gt;"n",Y2&lt;&gt;""),CHAR(34)&amp;Y$1&amp;CHAR(34)&amp;",","")</f>
        <v/>
      </c>
      <c r="EG2" s="48" t="str">
        <f>IF(Z2="y",CHAR(34)&amp;Z$1&amp;CHAR(34)&amp;",","")</f>
        <v/>
      </c>
      <c r="EH2" s="48" t="str">
        <f>IF(AA2="y",CHAR(34)&amp;AA$1&amp;CHAR(34)&amp;",","")</f>
        <v/>
      </c>
      <c r="EI2" s="48" t="str">
        <f>IF(AB2="y",CHAR(34)&amp;AB$1&amp;CHAR(34)&amp;",","")</f>
        <v/>
      </c>
      <c r="EJ2" s="48" t="str">
        <f>IF(AC2="y",CHAR(34)&amp;AC$1&amp;CHAR(34)&amp;",","")</f>
        <v/>
      </c>
      <c r="EK2" s="48" t="str">
        <f>IF(AD2="y",CHAR(34)&amp;AD$1&amp;CHAR(34)&amp;",","")</f>
        <v/>
      </c>
      <c r="EL2" s="48" t="str">
        <f>IF(AE2="y",CHAR(34)&amp;AE$1&amp;CHAR(34)&amp;",","")</f>
        <v/>
      </c>
      <c r="EM2" s="48" t="str">
        <f>IF(AF2="y",CHAR(34)&amp;AF$1&amp;CHAR(34)&amp;",","")</f>
        <v/>
      </c>
      <c r="EN2" s="48" t="str">
        <f>IF(AG2="y",CHAR(34)&amp;AG$1&amp;CHAR(34)&amp;",","")</f>
        <v/>
      </c>
      <c r="EO2" s="48" t="str">
        <f>IF(AH2="y",CHAR(34)&amp;AH$1&amp;CHAR(34)&amp;",","")</f>
        <v/>
      </c>
      <c r="EP2" s="48" t="str">
        <f>IF(AI2="y",CHAR(34)&amp;AI$1&amp;CHAR(34)&amp;",","")</f>
        <v/>
      </c>
      <c r="EQ2" s="48" t="str">
        <f>IF(AJ2="y",CHAR(34)&amp;AJ$1&amp;CHAR(34)&amp;",","")</f>
        <v/>
      </c>
      <c r="ER2" s="48" t="str">
        <f>IF(AK2="y",CHAR(34)&amp;AK$1&amp;CHAR(34)&amp;",","")</f>
        <v>"OnlyBa",</v>
      </c>
      <c r="ES2" s="48" t="str">
        <f>IF(AL2="y",CHAR(34)&amp;AL$1&amp;CHAR(34)&amp;",","")</f>
        <v/>
      </c>
      <c r="ET2" s="48" t="str">
        <f>IF(AM2="y",CHAR(34)&amp;AM$1&amp;CHAR(34)&amp;",","")</f>
        <v/>
      </c>
      <c r="EU2" s="48" t="str">
        <f>IF(AN2="y",CHAR(34)&amp;AN$1&amp;CHAR(34)&amp;",","")</f>
        <v/>
      </c>
      <c r="EV2" s="48" t="str">
        <f>IF(AO2="y",CHAR(34)&amp;AO$1&amp;CHAR(34)&amp;",","")</f>
        <v/>
      </c>
      <c r="EW2" s="48" t="str">
        <f>IF(AP2="y",CHAR(34)&amp;AP$1&amp;CHAR(34)&amp;",","")</f>
        <v/>
      </c>
      <c r="EX2" s="48" t="str">
        <f>IF(AQ2="y",CHAR(34)&amp;AQ$1&amp;CHAR(34)&amp;",","")</f>
        <v/>
      </c>
      <c r="EY2" s="48" t="str">
        <f>IF(AR2="y",CHAR(34)&amp;AR$1&amp;CHAR(34)&amp;",","")</f>
        <v/>
      </c>
      <c r="EZ2" s="48" t="str">
        <f>IF(AS2="y",CHAR(34)&amp;AS$1&amp;CHAR(34)&amp;",","")</f>
        <v/>
      </c>
      <c r="FA2" s="48" t="str">
        <f>IF(AT2&gt;0,CHAR(34)&amp;"sta"&amp;AZ2&amp;CHAR(34)&amp;",","")</f>
        <v/>
      </c>
      <c r="FB2" s="48" t="str">
        <f>IF(AND(AT2&gt;0,BA2&lt;&gt;""),CHAR(34)&amp;"sta"&amp;BA2&amp;CHAR(34)&amp;",","")</f>
        <v/>
      </c>
      <c r="FC2" s="48" t="str">
        <f>IF(AND(AT2&gt;0,BB2&lt;&gt;""),CHAR(34)&amp;"sta"&amp;BB2&amp;CHAR(34)&amp;",","")</f>
        <v/>
      </c>
      <c r="FD2" s="48" t="str">
        <f>IF(BV2="n",CHAR(34)&amp;"tcWHYE"&amp;CHAR(34)&amp;",",IF(BV2="y",CHAR(34)&amp;FD$1&amp;CHAR(34)&amp;",",""))</f>
        <v>"ntWHYE",</v>
      </c>
      <c r="FE2" s="48" t="str">
        <f>IF(COUNTIF(BL2:BT2,"BLU")=0,CHAR(34)&amp;"NO_BLU"&amp;CHAR(34)&amp;",", "")</f>
        <v/>
      </c>
      <c r="FF2" s="48" t="str">
        <f>IF(COUNTIF(BL2:BT2,"WHI")=0,CHAR(34)&amp;"NO_WHI"&amp;CHAR(34)&amp;",", "")</f>
        <v/>
      </c>
      <c r="FG2" s="48" t="str">
        <f>IF(COUNTIF(BL2:BT2,"RED")=0,CHAR(34)&amp;"NO_RED"&amp;CHAR(34)&amp;",", "")</f>
        <v/>
      </c>
      <c r="FH2" s="48" t="str">
        <f>IF(COUNTIF(BL2:BS2,"GRE")=0,CHAR(34)&amp;"NO_GRE"&amp;CHAR(34)&amp;",", "")</f>
        <v/>
      </c>
      <c r="FI2" s="48" t="str">
        <f>IF(COUNTIF(BL2:BT2,"YEL")=0,CHAR(34)&amp;"NO_YEL"&amp;CHAR(34)&amp;",", "")</f>
        <v/>
      </c>
      <c r="FJ2" s="48" t="str">
        <f>IF(COUNTIF(BL2:BT2,"BLA")=0,CHAR(34)&amp;"NO_BLA"&amp;CHAR(34)&amp;",", "")</f>
        <v>"NO_BLA",</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
      </c>
      <c r="FP2" s="48" t="str">
        <f>IF(AND(FF2&lt;&gt;"",FF2&lt;&gt;""),CHAR(34)&amp;"WHRENO"&amp;CHAR(34)&amp;",","")</f>
        <v/>
      </c>
      <c r="FQ2" s="48" t="str">
        <f>IF(LEN(BF2)=3,CHAR(34)&amp;"001"&amp;BF2&amp;CHAR(34)&amp;",","")</f>
        <v>"001BLU",</v>
      </c>
      <c r="FR2" s="48" t="str">
        <f>IF(LEN(BG2)=3,CHAR(34)&amp;"002"&amp;BG2&amp;CHAR(34)&amp;",","")</f>
        <v>"002RED",</v>
      </c>
      <c r="FS2" s="48" t="str">
        <f>IF(LEN(BH2)=3,CHAR(34)&amp;"003"&amp;BH2&amp;CHAR(34)&amp;",","")</f>
        <v>"003GRE",</v>
      </c>
      <c r="FT2" s="48" t="str">
        <f>CHAR(34)&amp;"myr"&amp;BD2&amp;CHAR(34)&amp;","</f>
        <v>"myrRED",</v>
      </c>
      <c r="FU2" s="48" t="str">
        <f>IF(AY2="y",CHAR(34)&amp;"island"&amp;CHAR(34)&amp;",","")</f>
        <v>"island",</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"englis",</v>
      </c>
      <c r="GA2" s="48" t="str">
        <f>IFERROR(IF(SEARCH("French",CB2)&gt;0,CHAR(34)&amp;"french"&amp;CHAR(34)&amp;",",""),"")</f>
        <v>"french",</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"NoStar",</v>
      </c>
      <c r="GK2" s="48" t="str">
        <f>IF(GJ2="",CHAR(34)&amp;"HasSta"&amp;CHAR(34)&amp;",","")</f>
        <v/>
      </c>
      <c r="GL2" s="48" t="str">
        <f>IF(CQ2="y",CHAR(34)&amp;CQ$1&amp;CHAR(34)&amp;",","")</f>
        <v/>
      </c>
      <c r="GM2" s="48" t="str">
        <f>IF(CR2="y",CHAR(34)&amp;CR$1&amp;CHAR(34)&amp;",","")</f>
        <v/>
      </c>
      <c r="GN2" s="48" t="str">
        <f>IF(CS2="y",CHAR(34)&amp;CS$1&amp;CHAR(34)&amp;",","")</f>
        <v/>
      </c>
      <c r="GP2" s="48" t="str">
        <f>CHAR(34)&amp;AU2&amp;CHAR(34)</f>
        <v>""</v>
      </c>
      <c r="GS2" s="48" t="str">
        <f>SUBSTITUTE("["&amp;_xlfn.CONCAT(CW2:GN2)&amp;"]",",]","]")</f>
        <v>["5+Colo","lets10","startS","with_y","year19","dgband","alldia","4+Band","Diagon","OnlyBa","ntWHYE","NO_BLA","001BLU","002RED","003GRE","myrRED","island","englis","french","NoStar"]</v>
      </c>
      <c r="GT2" s="48" t="str">
        <f>IF(BL2&lt;&gt;"",CHAR(34)&amp;"cl_"&amp;BL2&amp;CHAR(34)&amp;",","")</f>
        <v>"cl_BLU",</v>
      </c>
      <c r="GU2" s="48" t="str">
        <f>IF(BM2&lt;&gt;"",CHAR(34)&amp;"cl_"&amp;BM2&amp;CHAR(34)&amp;",","")</f>
        <v>"cl_YEL",</v>
      </c>
      <c r="GV2" s="48" t="str">
        <f>IF(BN2&lt;&gt;"",CHAR(34)&amp;"cl_"&amp;BN2&amp;CHAR(34)&amp;",","")</f>
        <v>"cl_RED",</v>
      </c>
      <c r="GW2" s="48" t="str">
        <f>IF(BO2&lt;&gt;"",CHAR(34)&amp;"cl_"&amp;BO2&amp;CHAR(34)&amp;",","")</f>
        <v>"cl_WHI",</v>
      </c>
      <c r="GX2" s="48" t="str">
        <f>IF(BP2&lt;&gt;"",CHAR(34)&amp;"cl_"&amp;BP2&amp;CHAR(34)&amp;",","")</f>
        <v>"cl_GRE",</v>
      </c>
      <c r="GY2" s="48" t="str">
        <f>IF(BQ2&lt;&gt;"",CHAR(34)&amp;"cl_"&amp;BQ2&amp;CHAR(34)&amp;",","")</f>
        <v/>
      </c>
      <c r="GZ2" s="48" t="str">
        <f>IF(BR2&lt;&gt;"",CHAR(34)&amp;"cl_"&amp;BR2&amp;CHAR(34)&amp;",","")</f>
        <v/>
      </c>
      <c r="HA2" s="48" t="str">
        <f>IF(BS2&lt;&gt;"",CHAR(34)&amp;"cl_"&amp;BS2&amp;CHAR(34)&amp;",","")</f>
        <v/>
      </c>
      <c r="HB2" s="48" t="str">
        <f>IF(BT2&lt;&gt;"",CHAR(34)&amp;"cl_"&amp;BT2&amp;CHAR(34)&amp;",","")</f>
        <v/>
      </c>
      <c r="HC2" s="48" t="str">
        <f>SUBSTITUTE("["&amp;_xlfn.CONCAT(GT2:HB2)&amp;"]",",]","]")</f>
        <v>["cl_BLU","cl_YEL","cl_RED","cl_WHI","cl_GRE"]</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{couname:"Seychelles",year:"1996 ",region:"rgn_Africa",Colors:["cl_BLU","cl_YEL","cl_RED","cl_WHI","cl_GRE"],Items:["5+Colo","lets10","startS","with_y","year19","dgband","alldia","4+Band","Diagon","OnlyBa","ntWHYE","NO_BLA","001BLU","002RED","003GRE","myrRED","island","englis","french","NoStar"],Flag:"https://i.ibb.co/Wc1xM5r/Seychelles-Flag.png",HDFlag:"https://upload.wikimedia.org/wikipedia/commons/thumb/f/fc/Flag_of_Seychelles.svg/2560px-Flag_of_Seychelles.svg.png",type:"", describe: "\nThe oblique bands symbolize a dynamic new country moving into the future. The colour blue depicts the sky and the sea that surrounds the Seychelles. Yellow is for the sun which gives light and life, red symbolizes the people and their determination to work for the future in unity and love, while the white band represents social justice and harmony. The green depicts the land and natural environment.", isnew:".", links: "https://en.wikipedia.org/wiki/Flag_of_Seychelles"},</v>
      </c>
      <c r="HG2" s="73" t="str">
        <f>"{couname:"&amp;CT2&amp;(IF(HK2&lt;&gt;"",",subtype:"&amp;CHAR(34)&amp;HK2&amp;CHAR(34),""))&amp;",year:"&amp;HJ2&amp;",region:"&amp;CU2&amp;",Colors:"&amp;HC2&amp;",Items:"&amp;GS2&amp;",Flag:"&amp;CV2&amp;",HDFlag:"&amp;CHAR(34)&amp;E2&amp;CHAR(34)&amp;",type:"&amp;GP2&amp;", describe: "&amp;HI2&amp;", links: "&amp;HL2&amp;"},"</f>
        <v>{couname:"Seychelles",year:"1996 ",region:"rgn_Africa",Colors:["cl_BLU","cl_YEL","cl_RED","cl_WHI","cl_GRE"],Items:["5+Colo","lets10","startS","with_y","year19","dgband","alldia","4+Band","Diagon","OnlyBa","ntWHYE","NO_BLA","001BLU","002RED","003GRE","myrRED","island","englis","french","NoStar"],Flag:"https://i.ibb.co/Wc1xM5r/Seychelles-Flag.png",HDFlag:"https://upload.wikimedia.org/wikipedia/commons/thumb/f/fc/Flag_of_Seychelles.svg/2560px-Flag_of_Seychelles.svg.png",type:"", describe: "\nThe oblique bands symbolize a dynamic new country moving into the future. The colour blue depicts the sky and the sea that surrounds the Seychelles. Yellow is for the sun which gives light and life, red symbolizes the people and their determination to work for the future in unity and love, while the white band represents social justice and harmony. The green depicts the land and natural environment.", links: "https://en.wikipedia.org/wiki/Flag_of_Seychelles"},</v>
      </c>
      <c r="HH2" s="48" t="str">
        <f>IF(P2&lt;&gt;"",CHAR(34)&amp;"\n"&amp;P2&amp;CHAR(34),CHAR(34)&amp;CHAR(34))</f>
        <v>"\nThe oblique bands symbolize a dynamic new country moving into the future. The colour blue depicts the sky and the sea that surrounds the Seychelles. Yellow is for the sun which gives light and life, red symbolizes the people and their determination to work for the future in unity and love, while the white band represents social justice and harmony. The green depicts the land and natural environment."</v>
      </c>
      <c r="HI2" s="48" t="str">
        <f>IF(J2=0,CHAR(34)&amp;CHAR(34),HH2)</f>
        <v>"\nThe oblique bands symbolize a dynamic new country moving into the future. The colour blue depicts the sky and the sea that surrounds the Seychelles. Yellow is for the sun which gives light and life, red symbolizes the people and their determination to work for the future in unity and love, while the white band represents social justice and harmony. The green depicts the land and natural environment."</v>
      </c>
      <c r="HJ2" s="48" t="str">
        <f>CHAR(34)&amp;O2&amp;CHAR(34)</f>
        <v>"1996 "</v>
      </c>
      <c r="HL2" s="48" t="str">
        <f>CHAR(34)&amp;I2&amp;CHAR(34)</f>
        <v>"https://en.wikipedia.org/wiki/Flag_of_Seychelles"</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{"couname":"Seychelles","year":"1996 ","region":"rgn_Africa","Colors":["cl_BLU","cl_YEL","cl_RED","cl_WHI","cl_GRE"],"Items":["5+Colo","lets10","startS","with_y","year19","dgband","alldia","4+Band","Diagon","OnlyBa","ntWHYE","NO_BLA","001BLU","002RED","003GRE","myrRED","island","englis","french","NoStar"],"Flag":"https://i.ibb.co/Wc1xM5r/Seychelles-Flag.png","HDFlag":"https://upload.wikimedia.org/wikipedia/commons/thumb/f/fc/Flag_of_Seychelles.svg/2560px-Flag_of_Seychelles.svg.png","type":"", "describe": "\nThe oblique bands symbolize a dynamic new country moving into the future. The colour blue depicts the sky and the sea that surrounds the Seychelles. Yellow is for the sun which gives light and life, red symbolizes the people and their determination to work for the future in unity and love, while the white band represents social justice and harmony. The green depicts the land and natural environment.", "isnew": ".", "links": "https://en.wikipedia.org/wiki/Flag_of_Seychelles"},</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{"couname":"Seychelles","year":"1996 ","region":"rgn_Africa","Colors":["cl_BLU","cl_YEL","cl_RED","cl_WHI","cl_GRE"],"Items":["5+Colo","lets10","startS","with_y","year19","dgband","alldia","4+Band","Diagon","OnlyBa","ntWHYE","NO_BLA","001BLU","002RED","003GRE","myrRED","island","englis","french","NoStar"],"Flag":"https://i.ibb.co/Wc1xM5r/Seychelles-Flag.png","HDFlag":"https://upload.wikimedia.org/wikipedia/commons/thumb/f/fc/Flag_of_Seychelles.svg/2560px-Flag_of_Seychelles.svg.png","type":"", "describe": "\nThe oblique bands symbolize a dynamic new country moving into the future. The colour blue depicts the sky and the sea that surrounds the Seychelles. Yellow is for the sun which gives light and life, red symbolizes the people and their determination to work for the future in unity and love, while the white band represents social justice and harmony. The green depicts the land and natural environment.", "isnew": ".", "links": "https://en.wikipedia.org/wiki/Flag_of_Seychelles"},</v>
      </c>
      <c r="HO2" s="75"/>
      <c r="HP2" s="48" t="str" cm="1">
        <f t="array" ref="HP2">IF(_xlfn.TEXTJOIN(", ", TRUE, IF(ISNUMBER(SEARCH("BLA", BL2:BT2)), COLUMN(BL2:BT2) - COLUMN(BL2) + 1, ""))&lt;&gt;"","BLA","")</f>
        <v/>
      </c>
      <c r="HQ2" s="48" t="str" cm="1">
        <f t="array" ref="HQ2">IF(_xlfn.TEXTJOIN(", ", TRUE, IF(ISNUMBER(SEARCH("BLU", BL2:BT2)), COLUMN(BL2:BT2) - COLUMN(BL2) + 1, ""))&lt;&gt;"","BLU","")</f>
        <v>BLU</v>
      </c>
      <c r="HR2" s="48" t="str" cm="1">
        <f t="array" ref="HR2">IF(_xlfn.TEXTJOIN(", ", TRUE, IF(ISNUMBER(SEARCH("GRE", BL2:BT2)), COLUMN(BL2:BT2) - COLUMN(BL2) + 1, ""))&lt;&gt;"","GRE","")</f>
        <v>GRE</v>
      </c>
      <c r="HS2" s="48" t="str" cm="1">
        <f t="array" ref="HS2">IF(_xlfn.TEXTJOIN(", ", TRUE, IF(ISNUMBER(SEARCH("RED", BL2:BT2)), COLUMN(BL2:BT2) - COLUMN(BL2) + 1, ""))&lt;&gt;"","RED","")</f>
        <v>RED</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c r="IB2" s="6"/>
      <c r="IC2" s="77"/>
      <c r="ID2" s="77"/>
      <c r="IE2" s="77"/>
      <c r="IF2" s="77"/>
      <c r="IG2" s="77"/>
      <c r="IH2" s="77"/>
      <c r="II2" s="77"/>
      <c r="IJ2" s="77"/>
      <c r="IK2" s="77"/>
      <c r="IL2" s="48">
        <f>SUM(IC2:IK2)</f>
        <v>0</v>
      </c>
      <c r="IM2" s="45">
        <f>COUNTIF(IC2:IK2,"&gt;0")-CG2</f>
        <v>-5</v>
      </c>
      <c r="IN2" s="78" t="str">
        <f>"http://mkweb.bcgsc.ca/color-summarizer/?url="&amp;D2&amp;"&amp;precision=low&amp;num_clusters="&amp;CG2&amp;"&amp;text=1"</f>
        <v>http://mkweb.bcgsc.ca/color-summarizer/?url=https://i.ibb.co/Wc1xM5r/Seychelles-Flag.png&amp;precision=low&amp;num_clusters=5&amp;text=1</v>
      </c>
      <c r="IO2" s="48" t="str">
        <f>IF(HP2&lt;&gt;"",CHAR(34)&amp;"black"&amp;CHAR(34),"")</f>
        <v/>
      </c>
      <c r="IP2" s="48" t="str">
        <f>IF(HQ2&lt;&gt;"",CHAR(34)&amp;"blue"&amp;CHAR(34),"")</f>
        <v>"blue"</v>
      </c>
      <c r="IQ2" s="48" t="str">
        <f>IF(HR2&lt;&gt;"",CHAR(34)&amp;"green"&amp;CHAR(34),"")</f>
        <v>"green"</v>
      </c>
      <c r="IR2" s="48" t="str">
        <f>IF(HS2&lt;&gt;"",CHAR(34)&amp;"red"&amp;CHAR(34),"")</f>
        <v>"red"</v>
      </c>
      <c r="IS2" s="48" t="str">
        <f>IF(HT2&lt;&gt;"",CHAR(34)&amp;"yellow"&amp;CHAR(34),"")</f>
        <v>"yellow"</v>
      </c>
      <c r="IT2" s="48" t="str">
        <f>IF(HU2&lt;&gt;"",CHAR(34)&amp;"orange"&amp;CHAR(34),"")</f>
        <v/>
      </c>
      <c r="IU2" s="48" t="str">
        <f>IF(HV2&lt;&gt;"",CHAR(34)&amp;"brown"&amp;CHAR(34),"")</f>
        <v/>
      </c>
      <c r="IV2" s="48" t="str">
        <f>IF(HW2&lt;&gt;"",CHAR(34)&amp;"purple"&amp;CHAR(34),"")</f>
        <v/>
      </c>
      <c r="IW2" s="48" t="str">
        <f>IF(HX2&lt;&gt;"",CHAR(34)&amp;"white"&amp;CHAR(34),"")</f>
        <v>"white"</v>
      </c>
      <c r="IX2" s="48" t="str">
        <f>"{"&amp;CHAR(34)&amp;"url"&amp;CHAR(34)&amp;":"&amp;CHAR(34)&amp;IN2&amp;CHAR(34)&amp;","&amp;CHAR(34)&amp;"name"&amp;CHAR(34)&amp;":"&amp;CHAR(34)&amp;A2&amp;CHAR(34)&amp;"},"</f>
        <v>{"url":"http://mkweb.bcgsc.ca/color-summarizer/?url=https://i.ibb.co/Wc1xM5r/Seychelles-Flag.png&amp;precision=low&amp;num_clusters=5&amp;text=1","name":"Seychelles"},</v>
      </c>
      <c r="IY2" s="48">
        <v>194</v>
      </c>
    </row>
    <row r="3" spans="1:259" s="48" customFormat="1" ht="38.4" customHeight="1" thickBot="1" x14ac:dyDescent="0.35">
      <c r="A3" s="80" t="s">
        <v>453</v>
      </c>
      <c r="B3" s="40" t="e" vm="120">
        <v>#VALUE!</v>
      </c>
      <c r="C3" s="41" t="s">
        <v>173</v>
      </c>
      <c r="D3" s="42" t="s">
        <v>454</v>
      </c>
      <c r="E3" s="43" t="s">
        <v>455</v>
      </c>
      <c r="F3" s="44" t="s">
        <v>163</v>
      </c>
      <c r="G3" s="45">
        <f>COUNTIF($A$1:$A$8393,A3)</f>
        <v>1</v>
      </c>
      <c r="H3" s="46" t="s">
        <v>464</v>
      </c>
      <c r="I3" s="47" t="s">
        <v>456</v>
      </c>
      <c r="J3" s="48" t="str">
        <f>""</f>
        <v/>
      </c>
      <c r="K3" s="49"/>
      <c r="L3" s="50"/>
      <c r="M3" s="50"/>
      <c r="N3" s="51" t="s">
        <v>180</v>
      </c>
      <c r="O3" s="52" t="s">
        <v>457</v>
      </c>
      <c r="P3" s="53" t="s">
        <v>458</v>
      </c>
      <c r="Q3" s="54">
        <v>1</v>
      </c>
      <c r="R3" s="55" t="s">
        <v>180</v>
      </c>
      <c r="S3" s="56">
        <v>2</v>
      </c>
      <c r="T3" s="57" t="s">
        <v>167</v>
      </c>
      <c r="U3" s="58" t="s">
        <v>167</v>
      </c>
      <c r="V3" s="58" t="s">
        <v>164</v>
      </c>
      <c r="W3" s="58" t="s">
        <v>164</v>
      </c>
      <c r="X3" s="58" t="s">
        <v>164</v>
      </c>
      <c r="Y3" s="58" t="s">
        <v>164</v>
      </c>
      <c r="Z3" s="58" t="s">
        <v>164</v>
      </c>
      <c r="AA3" s="58" t="s">
        <v>164</v>
      </c>
      <c r="AB3" s="58" t="s">
        <v>164</v>
      </c>
      <c r="AC3" s="58" t="s">
        <v>164</v>
      </c>
      <c r="AD3" s="58" t="s">
        <v>164</v>
      </c>
      <c r="AE3" s="58" t="s">
        <v>164</v>
      </c>
      <c r="AF3" s="59" t="s">
        <v>164</v>
      </c>
      <c r="AG3" s="59" t="s">
        <v>164</v>
      </c>
      <c r="AH3" s="59" t="s">
        <v>167</v>
      </c>
      <c r="AI3" s="59" t="s">
        <v>164</v>
      </c>
      <c r="AJ3" s="59" t="s">
        <v>164</v>
      </c>
      <c r="AK3" s="59" t="s">
        <v>167</v>
      </c>
      <c r="AL3" s="59" t="s">
        <v>164</v>
      </c>
      <c r="AM3" s="59" t="s">
        <v>164</v>
      </c>
      <c r="AN3" s="59" t="s">
        <v>164</v>
      </c>
      <c r="AO3" s="59" t="s">
        <v>164</v>
      </c>
      <c r="AP3" s="59" t="s">
        <v>164</v>
      </c>
      <c r="AQ3" s="59" t="s">
        <v>164</v>
      </c>
      <c r="AR3" s="59" t="s">
        <v>164</v>
      </c>
      <c r="AS3" s="59" t="s">
        <v>164</v>
      </c>
      <c r="AT3" s="60">
        <v>0</v>
      </c>
      <c r="AU3" s="59" t="s">
        <v>174</v>
      </c>
      <c r="AV3" s="59" t="str">
        <f>IF(LEFT(A3,1)="[",LEFT(A3,5)&amp;AU3&amp;A3,"")</f>
        <v>[SYC]Historical[SYC] Seychelles (1976-1977)</v>
      </c>
      <c r="AW3" s="59" t="str">
        <f t="shared" si="0"/>
        <v>3b[SYC] Other[SYC] Seychelles (1976-1977)</v>
      </c>
      <c r="AX3" s="61"/>
      <c r="AY3" s="61"/>
      <c r="AZ3" s="62"/>
      <c r="BA3" s="62"/>
      <c r="BB3" s="62"/>
      <c r="BC3" s="63"/>
      <c r="BD3" s="64" t="s">
        <v>169</v>
      </c>
      <c r="BE3" s="47"/>
      <c r="BF3" s="64"/>
      <c r="BG3" s="64"/>
      <c r="BH3" s="64"/>
      <c r="BI3" s="64" t="s">
        <v>159</v>
      </c>
      <c r="BJ3" s="64"/>
      <c r="BK3" s="47"/>
      <c r="BL3" s="64" t="s">
        <v>152</v>
      </c>
      <c r="BM3" s="64" t="s">
        <v>154</v>
      </c>
      <c r="BN3" s="64" t="s">
        <v>159</v>
      </c>
      <c r="BO3" s="64"/>
      <c r="BP3" s="64"/>
      <c r="BQ3" s="64"/>
      <c r="BR3" s="64"/>
      <c r="BS3" s="64"/>
      <c r="BT3" s="64"/>
      <c r="BU3" s="65"/>
      <c r="BV3" s="66"/>
      <c r="BW3" s="66">
        <v>0</v>
      </c>
      <c r="BX3" s="47"/>
      <c r="BY3" s="48" t="s">
        <v>167</v>
      </c>
      <c r="CB3" s="6"/>
      <c r="CC3" s="6"/>
      <c r="CD3" s="67">
        <v>0</v>
      </c>
      <c r="CE3" s="67">
        <v>0</v>
      </c>
      <c r="CF3" s="67" t="e">
        <v>#REF!</v>
      </c>
      <c r="CG3" s="68" cm="1">
        <f t="array" ref="CG3">SUMPRODUCT(--(LEN(TRIM(BL3:BT3))&gt;0))</f>
        <v>3</v>
      </c>
      <c r="CH3" s="59" t="str">
        <f>IF(CG3=2,"y","n")</f>
        <v>n</v>
      </c>
      <c r="CI3" s="59" t="str">
        <f>IF(CG3=3,"y","n")</f>
        <v>y</v>
      </c>
      <c r="CJ3" s="59" t="str">
        <f>IF(CG3=4,"y","n")</f>
        <v>n</v>
      </c>
      <c r="CK3" s="59" t="str">
        <f>IF(CG3&gt;4,"y","n")</f>
        <v>n</v>
      </c>
      <c r="CL3" s="59" t="str">
        <f>IF(S3=0,"y","n")</f>
        <v>n</v>
      </c>
      <c r="CM3" s="59" t="str">
        <f>IF(S3=2,"y","n")</f>
        <v>y</v>
      </c>
      <c r="CN3" s="59" t="str">
        <f>IF(S3=3,"y","n")</f>
        <v>n</v>
      </c>
      <c r="CO3" s="59" t="str">
        <f>IF(S3&gt;=4,"y","n")</f>
        <v>n</v>
      </c>
      <c r="CP3" s="59" t="str">
        <f>IF(AT3=0,"y","n")</f>
        <v>y</v>
      </c>
      <c r="CQ3" s="59" t="str">
        <f>IF(AT3=1,"y","n")</f>
        <v>n</v>
      </c>
      <c r="CR3" s="59" t="str">
        <f>IF(AT3=2,"y","n")</f>
        <v>n</v>
      </c>
      <c r="CS3" s="59" t="str">
        <f>IF(AT3&gt;=3,"y","n")</f>
        <v>n</v>
      </c>
      <c r="CT3" s="69" t="str">
        <f>CHAR(34)&amp;A3&amp;CHAR(34)</f>
        <v>"[SYC] Seychelles (1976-1977)"</v>
      </c>
      <c r="CU3" s="70" t="str">
        <f>CHAR(34)&amp;"rgn_"&amp;R3&amp;CHAR(34)</f>
        <v>"rgn_Africa"</v>
      </c>
      <c r="CV3" s="48" t="str">
        <f>CHAR(34)&amp;D3&amp;CHAR(34)</f>
        <v>"https://upload.wikimedia.org/wikipedia/commons/thumb/3/33/Flag_of_Seychelles_%281976%E2%80%931977%29.svg/640px-Flag_of_Seychelles_%281976%E2%80%931977%29.svg.png"</v>
      </c>
      <c r="CW3" s="48" t="str">
        <f>IF(CH3="y",CHAR(34)&amp;CH$1&amp;CHAR(34)&amp;",","")</f>
        <v/>
      </c>
      <c r="CX3" s="48" t="str">
        <f>IF(CI3="y",CHAR(34)&amp;CI$1&amp;CHAR(34)&amp;",","")</f>
        <v>"3Color",</v>
      </c>
      <c r="CY3" s="48" t="str">
        <f>IF(CJ3="y",CHAR(34)&amp;CJ$1&amp;CHAR(34)&amp;",","")</f>
        <v/>
      </c>
      <c r="CZ3" s="48" t="str">
        <f>IF(CK3="y",CHAR(34)&amp;CK$1&amp;CHAR(34)&amp;",","")</f>
        <v/>
      </c>
      <c r="DA3" s="48" t="str">
        <f>IF(Q3&gt;1,CHAR(34)&amp;"words2"&amp;CHAR(34)&amp;",","")</f>
        <v/>
      </c>
      <c r="DB3" s="48" t="str">
        <f>IF(Q3&gt;2,CHAR(34)&amp;"words3"&amp;CHAR(34)&amp;",","")</f>
        <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"lets20",</v>
      </c>
      <c r="DE3" s="48" t="str">
        <f>CHAR(34)&amp;"start"&amp;IFERROR(LEFT(SUBSTITUTE(A3,"["&amp;MID(A3,FIND("[",A3)+1,FIND("]",A3)-FIND("[",A3)-1)&amp;"] ",""),1),LEFT(A3,1))&amp;CHAR(34)&amp;","</f>
        <v>"startS",</v>
      </c>
      <c r="DF3" s="48" t="str">
        <f>IFERROR(IF(SEARCH("tan",A3)&gt;0,CHAR(34)&amp;"withtn"&amp;CHAR(34)&amp;",",""),"")</f>
        <v/>
      </c>
      <c r="DG3" s="48" t="str">
        <f>IFERROR(IF(SEARCH("q",A3)&gt;0,CHAR(34)&amp;"with_q"&amp;CHAR(34)&amp;",",""),"")</f>
        <v/>
      </c>
      <c r="DH3" s="48" t="str">
        <f>IFERROR(IF(SEARCH("v",A3)&gt;0,CHAR(34)&amp;"with_v"&amp;CHAR(34)&amp;",",""),"")</f>
        <v/>
      </c>
      <c r="DI3" s="48" t="str">
        <f>IFERROR(IF(SEARCH("w",A3)&gt;0,CHAR(34)&amp;"with_w"&amp;CHAR(34)&amp;",",""),"")</f>
        <v/>
      </c>
      <c r="DJ3" s="48" t="str">
        <f>IFERROR(IF(SEARCH("y",A3)&gt;0,CHAR(34)&amp;"with_y"&amp;CHAR(34)&amp;",",""),"")</f>
        <v>"with_y",</v>
      </c>
      <c r="DK3" s="48" t="str">
        <f>IFERROR(IF(SEARCH("z",A3)&gt;0,CHAR(34)&amp;"with_z"&amp;CHAR(34)&amp;",",""),"")</f>
        <v/>
      </c>
      <c r="DL3" s="48" t="str">
        <f>IF(CG3=2, CHAR(34) &amp; _xlfn.TEXTJOIN("", TRUE, _xlfn._xlws.SORT(HP3:HX3)) &amp; CHAR(34) &amp; ",", "")</f>
        <v/>
      </c>
      <c r="DM3" s="48" t="str" cm="1">
        <f t="array" ref="DM3">IF(CG3=3,CHAR(34) &amp; _xlfn.TEXTJOIN("", TRUE, RIGHT(HP3:HX3, 2)) &amp; CHAR(34) &amp; ",", "")</f>
        <v>"LUEDHI",</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"year19",</v>
      </c>
      <c r="DP3" s="6" t="str">
        <f>IF(AND(ISNUMBER(SEARCH("20", O3)), ISERROR(SEARCH("1920", O3))), CHAR(34)&amp;"year00"&amp;CHAR(34)&amp;",", "")</f>
        <v/>
      </c>
      <c r="DQ3" s="6" t="str">
        <f>IF(CC3="y",CHAR(34)&amp;"soviet"&amp;CHAR(34)&amp;",","")</f>
        <v/>
      </c>
      <c r="DR3" s="6" t="str">
        <f>IF(BY3="y",CHAR(34)&amp;"dgband"&amp;CHAR(34)&amp;",","")</f>
        <v>"dgband",</v>
      </c>
      <c r="DS3" s="6" t="str">
        <f>IF(W3="y",IF(AND(V3="n",BY3&lt;&gt;"y"),CHAR(34)&amp;"allver"&amp;CHAR(34)&amp;",",""),"")</f>
        <v/>
      </c>
      <c r="DT3" s="6" t="str">
        <f>IF(V3="y",IF(AND(W3="n",BY3&lt;&gt;"y"),CHAR(34)&amp;"allhor"&amp;CHAR(34)&amp;",",""),"")</f>
        <v/>
      </c>
      <c r="DU3" s="6" t="str">
        <f>IF(BY3="y",IF(AND(W3="n",V3="n"),CHAR(34)&amp;"alldia"&amp;CHAR(34)&amp;",",""),"")</f>
        <v>"alldia",</v>
      </c>
      <c r="DW3" s="48" t="str">
        <f>IF(CL3="y",CHAR(34)&amp;CL$1&amp;CHAR(34)&amp;",","")</f>
        <v/>
      </c>
      <c r="DX3" s="48" t="str">
        <f>IF(CM3="y",CHAR(34)&amp;CM$1&amp;CHAR(34)&amp;",","")</f>
        <v>"2Bands",</v>
      </c>
      <c r="DY3" s="48" t="str">
        <f>IF(CN3="y",CHAR(34)&amp;CN$1&amp;CHAR(34)&amp;",","")</f>
        <v/>
      </c>
      <c r="DZ3" s="48" t="str">
        <f>IF(CO3="y",CHAR(34)&amp;CO$1&amp;CHAR(34)&amp;",","")</f>
        <v/>
      </c>
      <c r="EA3" s="48" t="str">
        <f>IF(T3="y",CHAR(34)&amp;T$1&amp;CHAR(34)&amp;",","")</f>
        <v>"Diagon",</v>
      </c>
      <c r="EB3" s="48" t="str">
        <f>IF(U3="y",CHAR(34)&amp;U$1&amp;CHAR(34)&amp;",","")</f>
        <v>"Crosse",</v>
      </c>
      <c r="EC3" s="48" t="str">
        <f>IF(V3="y",CHAR(34)&amp;V$1&amp;CHAR(34)&amp;",","")</f>
        <v/>
      </c>
      <c r="ED3" s="48" t="str">
        <f>IF(W3="y",CHAR(34)&amp;W$1&amp;CHAR(34)&amp;",","")</f>
        <v/>
      </c>
      <c r="EE3" s="48" t="str">
        <f>IF(X3="y",CHAR(34)&amp;X$1&amp;CHAR(34)&amp;",","")</f>
        <v/>
      </c>
      <c r="EF3" s="48" t="str">
        <f>IF(AND(Y3&lt;&gt;"n",Y3&lt;&gt;""),CHAR(34)&amp;Y$1&amp;CHAR(34)&amp;",","")</f>
        <v/>
      </c>
      <c r="EG3" s="48" t="str">
        <f>IF(Z3="y",CHAR(34)&amp;Z$1&amp;CHAR(34)&amp;",","")</f>
        <v/>
      </c>
      <c r="EH3" s="48" t="str">
        <f>IF(AA3="y",CHAR(34)&amp;AA$1&amp;CHAR(34)&amp;",","")</f>
        <v/>
      </c>
      <c r="EI3" s="48" t="str">
        <f>IF(AB3="y",CHAR(34)&amp;AB$1&amp;CHAR(34)&amp;",","")</f>
        <v/>
      </c>
      <c r="EJ3" s="48" t="str">
        <f>IF(AC3="y",CHAR(34)&amp;AC$1&amp;CHAR(34)&amp;",","")</f>
        <v/>
      </c>
      <c r="EK3" s="48" t="str">
        <f>IF(AD3="y",CHAR(34)&amp;AD$1&amp;CHAR(34)&amp;",","")</f>
        <v/>
      </c>
      <c r="EL3" s="48" t="str">
        <f>IF(AE3="y",CHAR(34)&amp;AE$1&amp;CHAR(34)&amp;",","")</f>
        <v/>
      </c>
      <c r="EM3" s="48" t="str">
        <f>IF(AF3="y",CHAR(34)&amp;AF$1&amp;CHAR(34)&amp;",","")</f>
        <v/>
      </c>
      <c r="EN3" s="48" t="str">
        <f>IF(AG3="y",CHAR(34)&amp;AG$1&amp;CHAR(34)&amp;",","")</f>
        <v/>
      </c>
      <c r="EO3" s="48" t="str">
        <f>IF(AH3="y",CHAR(34)&amp;AH$1&amp;CHAR(34)&amp;",","")</f>
        <v>"Center",</v>
      </c>
      <c r="EP3" s="48" t="str">
        <f>IF(AI3="y",CHAR(34)&amp;AI$1&amp;CHAR(34)&amp;",","")</f>
        <v/>
      </c>
      <c r="EQ3" s="48" t="str">
        <f>IF(AJ3="y",CHAR(34)&amp;AJ$1&amp;CHAR(34)&amp;",","")</f>
        <v/>
      </c>
      <c r="ER3" s="48" t="str">
        <f>IF(AK3="y",CHAR(34)&amp;AK$1&amp;CHAR(34)&amp;",","")</f>
        <v>"OnlyBa",</v>
      </c>
      <c r="ES3" s="48" t="str">
        <f>IF(AL3="y",CHAR(34)&amp;AL$1&amp;CHAR(34)&amp;",","")</f>
        <v/>
      </c>
      <c r="ET3" s="48" t="str">
        <f>IF(AM3="y",CHAR(34)&amp;AM$1&amp;CHAR(34)&amp;",","")</f>
        <v/>
      </c>
      <c r="EU3" s="48" t="str">
        <f>IF(AN3="y",CHAR(34)&amp;AN$1&amp;CHAR(34)&amp;",","")</f>
        <v/>
      </c>
      <c r="EV3" s="48" t="str">
        <f>IF(AO3="y",CHAR(34)&amp;AO$1&amp;CHAR(34)&amp;",","")</f>
        <v/>
      </c>
      <c r="EW3" s="48" t="str">
        <f>IF(AP3="y",CHAR(34)&amp;AP$1&amp;CHAR(34)&amp;",","")</f>
        <v/>
      </c>
      <c r="EX3" s="48" t="str">
        <f>IF(AQ3="y",CHAR(34)&amp;AQ$1&amp;CHAR(34)&amp;",","")</f>
        <v/>
      </c>
      <c r="EY3" s="48" t="str">
        <f>IF(AR3="y",CHAR(34)&amp;AR$1&amp;CHAR(34)&amp;",","")</f>
        <v/>
      </c>
      <c r="EZ3" s="48" t="str">
        <f>IF(AS3="y",CHAR(34)&amp;AS$1&amp;CHAR(34)&amp;",","")</f>
        <v/>
      </c>
      <c r="FA3" s="48" t="str">
        <f>IF(AT3&gt;0,CHAR(34)&amp;"sta"&amp;AZ3&amp;CHAR(34)&amp;",","")</f>
        <v/>
      </c>
      <c r="FB3" s="48" t="str">
        <f>IF(AND(AT3&gt;0,BA3&lt;&gt;""),CHAR(34)&amp;"sta"&amp;BA3&amp;CHAR(34)&amp;",","")</f>
        <v/>
      </c>
      <c r="FD3" s="48" t="str">
        <f>IF(BV3="n",CHAR(34)&amp;"tcWHYE"&amp;CHAR(34)&amp;",",IF(BV3="y",CHAR(34)&amp;FD$1&amp;CHAR(34)&amp;",",""))</f>
        <v/>
      </c>
      <c r="FE3" s="48" t="str">
        <f>IF(COUNTIF(BL3:BT3,"BLU")=0,CHAR(34)&amp;"NO_BLU"&amp;CHAR(34)&amp;",", "")</f>
        <v/>
      </c>
      <c r="FF3" s="48" t="str">
        <f>IF(COUNTIF(BL3:BT3,"WHI")=0,CHAR(34)&amp;"NO_WHI"&amp;CHAR(34)&amp;",", "")</f>
        <v/>
      </c>
      <c r="FG3" s="48" t="str">
        <f>IF(COUNTIF(BL3:BT3,"RED")=0,CHAR(34)&amp;"NO_RED"&amp;CHAR(34)&amp;",", "")</f>
        <v/>
      </c>
      <c r="FH3" s="48" t="str">
        <f>IF(COUNTIF(BL3:BS3,"GRE")=0,CHAR(34)&amp;"NO_GRE"&amp;CHAR(34)&amp;",", "")</f>
        <v>"NO_GRE",</v>
      </c>
      <c r="FI3" s="48" t="str">
        <f>IF(COUNTIF(BL3:BT3,"YEL")=0,CHAR(34)&amp;"NO_YEL"&amp;CHAR(34)&amp;",", "")</f>
        <v>"NO_YEL",</v>
      </c>
      <c r="FJ3" s="48" t="str">
        <f>IF(COUNTIF(BL3:BT3,"BLA")=0,CHAR(34)&amp;"NO_BLA"&amp;CHAR(34)&amp;",", "")</f>
        <v>"NO_BLA",</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
      </c>
      <c r="FQ3" s="48" t="str">
        <f>IF(LEN(BF3)=3,CHAR(34)&amp;"001"&amp;BF3&amp;CHAR(34)&amp;",","")</f>
        <v/>
      </c>
      <c r="FR3" s="48" t="str">
        <f>IF(LEN(BG3)=3,CHAR(34)&amp;"002"&amp;BG3&amp;CHAR(34)&amp;",","")</f>
        <v/>
      </c>
      <c r="FS3" s="48" t="str">
        <f>IF(LEN(BH3)=3,CHAR(34)&amp;"003"&amp;BH3&amp;CHAR(34)&amp;",","")</f>
        <v/>
      </c>
      <c r="FT3" s="48" t="str">
        <f>CHAR(34)&amp;"myr"&amp;BD3&amp;CHAR(34)&amp;","</f>
        <v>"myrEQ",</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"histor",</v>
      </c>
      <c r="GG3" s="48" t="str">
        <f>IF(BU3="y",CHAR(34)&amp;"unjack"&amp;CHAR(34)&amp;",","")</f>
        <v/>
      </c>
      <c r="GH3" s="48" t="str">
        <f>IF(CD3=1,CHAR(34)&amp;"southc"&amp;CHAR(34)&amp;",","")</f>
        <v/>
      </c>
      <c r="GI3" s="48" t="str">
        <f>IF(CE3=1,CHAR(34)&amp;"hasmap"&amp;CHAR(34)&amp;",","")</f>
        <v/>
      </c>
      <c r="GJ3" s="48" t="str">
        <f>IF(CP3="y",CHAR(34)&amp;CP$1&amp;CHAR(34)&amp;",","")</f>
        <v>"NoStar",</v>
      </c>
      <c r="GK3" s="48" t="str">
        <f>IF(GJ3="",CHAR(34)&amp;"HasSta"&amp;CHAR(34)&amp;",","")</f>
        <v/>
      </c>
      <c r="GL3" s="48" t="str">
        <f>IF(CQ3="y",CHAR(34)&amp;CQ$1&amp;CHAR(34)&amp;",","")</f>
        <v/>
      </c>
      <c r="GM3" s="48" t="str">
        <f>IF(CR3="y",CHAR(34)&amp;CR$1&amp;CHAR(34)&amp;",","")</f>
        <v/>
      </c>
      <c r="GN3" s="48" t="str">
        <f>IF(CS3="y",CHAR(34)&amp;CS$1&amp;CHAR(34)&amp;",","")</f>
        <v/>
      </c>
      <c r="GP3" s="48" t="str">
        <f>CHAR(34)&amp;AU3&amp;CHAR(34)</f>
        <v>"Historical"</v>
      </c>
      <c r="GS3" s="48" t="str">
        <f>SUBSTITUTE("["&amp;_xlfn.CONCAT(CW3:GN3)&amp;"]",",]","]")</f>
        <v>["3Color","lets20","startS","with_y","LUEDHI","year19","dgband","alldia","2Bands","Diagon","Crosse","Center","OnlyBa","NO_GRE","NO_YEL","NO_BLA","myrEQ","histor","NoStar"]</v>
      </c>
      <c r="GT3" s="48" t="str">
        <f>IF(BL3&lt;&gt;"",CHAR(34)&amp;"cl_"&amp;BL3&amp;CHAR(34)&amp;",","")</f>
        <v>"cl_BLU",</v>
      </c>
      <c r="GU3" s="48" t="str">
        <f>IF(BM3&lt;&gt;"",CHAR(34)&amp;"cl_"&amp;BM3&amp;CHAR(34)&amp;",","")</f>
        <v>"cl_RED",</v>
      </c>
      <c r="GV3" s="48" t="str">
        <f>IF(BN3&lt;&gt;"",CHAR(34)&amp;"cl_"&amp;BN3&amp;CHAR(34)&amp;",","")</f>
        <v>"cl_WHI",</v>
      </c>
      <c r="GW3" s="48" t="str">
        <f>IF(BO3&lt;&gt;"",CHAR(34)&amp;"cl_"&amp;BO3&amp;CHAR(34)&amp;",","")</f>
        <v/>
      </c>
      <c r="GX3" s="48" t="str">
        <f>IF(BP3&lt;&gt;"",CHAR(34)&amp;"cl_"&amp;BP3&amp;CHAR(34)&amp;",","")</f>
        <v/>
      </c>
      <c r="GY3" s="48" t="str">
        <f>IF(BQ3&lt;&gt;"",CHAR(34)&amp;"cl_"&amp;BQ3&amp;CHAR(34)&amp;",","")</f>
        <v/>
      </c>
      <c r="GZ3" s="48" t="str">
        <f>IF(BR3&lt;&gt;"",CHAR(34)&amp;"cl_"&amp;BR3&amp;CHAR(34)&amp;",","")</f>
        <v/>
      </c>
      <c r="HA3" s="48" t="str">
        <f>IF(BS3&lt;&gt;"",CHAR(34)&amp;"cl_"&amp;BS3&amp;CHAR(34)&amp;",","")</f>
        <v/>
      </c>
      <c r="HB3" s="48" t="str">
        <f>IF(BT3&lt;&gt;"",CHAR(34)&amp;"cl_"&amp;BT3&amp;CHAR(34)&amp;",","")</f>
        <v/>
      </c>
      <c r="HC3" s="48" t="str">
        <f>SUBSTITUTE("["&amp;_xlfn.CONCAT(GT3:HB3)&amp;"]",",]","]")</f>
        <v>["cl_BLU","cl_RED","cl_WHI"]</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{couname:"[SYC] Seychelles (1976-1977)",year:"1976",region:"rgn_Africa",Colors:["cl_BLU","cl_RED","cl_WHI"],Items:["3Color","lets20","startS","with_y","LUEDHI","year19","dgband","alldia","2Bands","Diagon","Crosse","Center","OnlyBa","NO_GRE","NO_YEL","NO_BLA","myrEQ","histor","NoStar"],Flag:"https://upload.wikimedia.org/wikipedia/commons/thumb/3/33/Flag_of_Seychelles_%281976%E2%80%931977%29.svg/640px-Flag_of_Seychelles_%281976%E2%80%931977%29.svg.png",HDFlag:"https://upload.wikimedia.org/wikipedia/commons/thumb/3/33/Flag_of_Seychelles_%281976%E2%80%931977%29.svg/2560px-Flag_of_Seychelles_%281976%E2%80%931977%29.svg.png",type:"Historical", describe: "\nA bicoloured Saltire of red and blue.", isnew:".", links: "https://en.wikipedia.org/wiki/List_of_Seychellois_flags"},</v>
      </c>
      <c r="HG3" s="73" t="str">
        <f>"{couname:"&amp;CT3&amp;(IF(HK3&lt;&gt;"",",subtype:"&amp;CHAR(34)&amp;HK3&amp;CHAR(34),""))&amp;",year:"&amp;HJ3&amp;",region:"&amp;CU3&amp;",Colors:"&amp;HC3&amp;",Items:"&amp;GS3&amp;",Flag:"&amp;CV3&amp;",HDFlag:"&amp;CHAR(34)&amp;E3&amp;CHAR(34)&amp;",type:"&amp;GP3&amp;", describe: "&amp;HI3&amp;", links: "&amp;HL3&amp;"},"</f>
        <v>{couname:"[SYC] Seychelles (1976-1977)",year:"1976",region:"rgn_Africa",Colors:["cl_BLU","cl_RED","cl_WHI"],Items:["3Color","lets20","startS","with_y","LUEDHI","year19","dgband","alldia","2Bands","Diagon","Crosse","Center","OnlyBa","NO_GRE","NO_YEL","NO_BLA","myrEQ","histor","NoStar"],Flag:"https://upload.wikimedia.org/wikipedia/commons/thumb/3/33/Flag_of_Seychelles_%281976%E2%80%931977%29.svg/640px-Flag_of_Seychelles_%281976%E2%80%931977%29.svg.png",HDFlag:"https://upload.wikimedia.org/wikipedia/commons/thumb/3/33/Flag_of_Seychelles_%281976%E2%80%931977%29.svg/2560px-Flag_of_Seychelles_%281976%E2%80%931977%29.svg.png",type:"Historical", describe: "\nA bicoloured Saltire of red and blue.", links: "https://en.wikipedia.org/wiki/List_of_Seychellois_flags"},</v>
      </c>
      <c r="HH3" s="48" t="str">
        <f>IF(P3&lt;&gt;"",CHAR(34)&amp;"\n"&amp;P3&amp;CHAR(34),CHAR(34)&amp;CHAR(34))</f>
        <v>"\nA bicoloured Saltire of red and blue."</v>
      </c>
      <c r="HI3" s="48" t="str">
        <f>IF(J3=0,CHAR(34)&amp;CHAR(34),HH3)</f>
        <v>"\nA bicoloured Saltire of red and blue."</v>
      </c>
      <c r="HJ3" s="48" t="str">
        <f>CHAR(34)&amp;O3&amp;CHAR(34)</f>
        <v>"1976"</v>
      </c>
      <c r="HL3" s="48" t="str">
        <f>CHAR(34)&amp;I3&amp;CHAR(34)</f>
        <v>"https://en.wikipedia.org/wiki/List_of_Seychellois_flags"</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{"couname":"[SYC] Seychelles (1976-1977)","subtype":"[SYC] Other","year":"1976","region":"rgn_Africa","Colors":["cl_BLU","cl_RED","cl_WHI"],"Items":["3Color","lets20","startS","with_y","LUEDHI","year19","dgband","alldia","2Bands","Diagon","Crosse","Center","OnlyBa","NO_GRE","NO_YEL","NO_BLA","myrEQ","histor","NoStar"],"Flag":"https://upload.wikimedia.org/wikipedia/commons/thumb/3/33/Flag_of_Seychelles_%281976%E2%80%931977%29.svg/640px-Flag_of_Seychelles_%281976%E2%80%931977%29.svg.png","HDFlag":"https://upload.wikimedia.org/wikipedia/commons/thumb/3/33/Flag_of_Seychelles_%281976%E2%80%931977%29.svg/2560px-Flag_of_Seychelles_%281976%E2%80%931977%29.svg.png","type":"Historical", "describe": "\nA bicoloured Saltire of red and blue.", "isnew": ".", "links": "https://en.wikipedia.org/wiki/List_of_Seychellois_flags"},</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{"couname":"[SYC] Seychelles (1976-1977)","subtype":"[SYC] Other","year":"1976","region":"rgn_Africa","Colors":["cl_BLU","cl_RED","cl_WHI"],"Items":["3Color","lets20","startS","with_y","LUEDHI","year19","dgband","alldia","2Bands","Diagon","Crosse","Center","OnlyBa","NO_GRE","NO_YEL","NO_BLA","myrEQ","histor","NoStar"],"Flag":"https://upload.wikimedia.org/wikipedia/commons/thumb/3/33/Flag_of_Seychelles_%281976%E2%80%931977%29.svg/640px-Flag_of_Seychelles_%281976%E2%80%931977%29.svg.png","HDFlag":"https://upload.wikimedia.org/wikipedia/commons/thumb/3/33/Flag_of_Seychelles_%281976%E2%80%931977%29.svg/2560px-Flag_of_Seychelles_%281976%E2%80%931977%29.svg.png","type":"Historical", "describe": "\nA bicoloured Saltire of red and blue.", "isnew": ".", "links": "https://en.wikipedia.org/wiki/List_of_Seychellois_flags"},</v>
      </c>
      <c r="HO3" s="75">
        <v>45644</v>
      </c>
      <c r="HP3" s="48" t="str" cm="1">
        <f t="array" ref="HP3">IF(_xlfn.TEXTJOIN(", ", TRUE, IF(ISNUMBER(SEARCH("BLA", BL3:BT3)), COLUMN(BL3:BT3) - COLUMN(BL3) + 1, ""))&lt;&gt;"","BLA","")</f>
        <v/>
      </c>
      <c r="HQ3" s="48" t="str" cm="1">
        <f t="array" ref="HQ3">IF(_xlfn.TEXTJOIN(", ", TRUE, IF(ISNUMBER(SEARCH("BLU", BL3:BT3)), COLUMN(BL3:BT3) - COLUMN(BL3) + 1, ""))&lt;&gt;"","BLU","")</f>
        <v>BLU</v>
      </c>
      <c r="HR3" s="48" t="str" cm="1">
        <f t="array" ref="HR3">IF(_xlfn.TEXTJOIN(", ", TRUE, IF(ISNUMBER(SEARCH("GRE", BL3:BT3)), COLUMN(BL3:BT3) - COLUMN(BL3) + 1, ""))&lt;&gt;"","GRE","")</f>
        <v/>
      </c>
      <c r="HS3" s="48" t="str" cm="1">
        <f t="array" ref="HS3">IF(_xlfn.TEXTJOIN(", ", TRUE, IF(ISNUMBER(SEARCH("RED", BL3:BT3)), COLUMN(BL3:BT3) - COLUMN(BL3) + 1, ""))&lt;&gt;"","RED","")</f>
        <v>RED</v>
      </c>
      <c r="HT3" s="48" t="str" cm="1">
        <f t="array" ref="HT3">IF(_xlfn.TEXTJOIN(", ", TRUE, IF(ISNUMBER(SEARCH("YEL", BL3:BT3)), COLUMN(BL3:BT3) - COLUMN(BL3) + 1, ""))&lt;&gt;"","YEL","")</f>
        <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M3" s="45">
        <f>COUNTIF(IC3:IK3,"&gt;0")-CG3</f>
        <v>-3</v>
      </c>
      <c r="IN3" s="78" t="str">
        <f>"http://mkweb.bcgsc.ca/color-summarizer/?url="&amp;D3&amp;"&amp;precision=low&amp;num_clusters="&amp;CG3&amp;"&amp;text=1"</f>
        <v>http://mkweb.bcgsc.ca/color-summarizer/?url=https://upload.wikimedia.org/wikipedia/commons/thumb/3/33/Flag_of_Seychelles_%281976%E2%80%931977%29.svg/640px-Flag_of_Seychelles_%281976%E2%80%931977%29.svg.png&amp;precision=low&amp;num_clusters=3&amp;text=1</v>
      </c>
      <c r="IO3" s="48" t="str">
        <f>IF(HP3&lt;&gt;"",CHAR(34)&amp;"black"&amp;CHAR(34),"")</f>
        <v/>
      </c>
      <c r="IP3" s="48" t="str">
        <f>IF(HQ3&lt;&gt;"",CHAR(34)&amp;"blue"&amp;CHAR(34),"")</f>
        <v>"blue"</v>
      </c>
      <c r="IQ3" s="48" t="str">
        <f>IF(HR3&lt;&gt;"",CHAR(34)&amp;"green"&amp;CHAR(34),"")</f>
        <v/>
      </c>
      <c r="IR3" s="48" t="str">
        <f>IF(HS3&lt;&gt;"",CHAR(34)&amp;"red"&amp;CHAR(34),"")</f>
        <v>"red"</v>
      </c>
      <c r="IS3" s="48" t="str">
        <f>IF(HT3&lt;&gt;"",CHAR(34)&amp;"yellow"&amp;CHAR(34),"")</f>
        <v/>
      </c>
      <c r="IT3" s="48" t="str">
        <f>IF(HU3&lt;&gt;"",CHAR(34)&amp;"orange"&amp;CHAR(34),"")</f>
        <v/>
      </c>
      <c r="IU3" s="48" t="str">
        <f>IF(HV3&lt;&gt;"",CHAR(34)&amp;"brown"&amp;CHAR(34),"")</f>
        <v/>
      </c>
      <c r="IV3" s="48" t="str">
        <f>IF(HW3&lt;&gt;"",CHAR(34)&amp;"purple"&amp;CHAR(34),"")</f>
        <v/>
      </c>
      <c r="IW3" s="48" t="str">
        <f>IF(HX3&lt;&gt;"",CHAR(34)&amp;"white"&amp;CHAR(34),"")</f>
        <v>"white"</v>
      </c>
      <c r="IX3" s="48" t="str">
        <f>"{"&amp;CHAR(34)&amp;"url"&amp;CHAR(34)&amp;":"&amp;CHAR(34)&amp;IN3&amp;CHAR(34)&amp;","&amp;CHAR(34)&amp;"name"&amp;CHAR(34)&amp;":"&amp;CHAR(34)&amp;A3&amp;CHAR(34)&amp;"},"</f>
        <v>{"url":"http://mkweb.bcgsc.ca/color-summarizer/?url=https://upload.wikimedia.org/wikipedia/commons/thumb/3/33/Flag_of_Seychelles_%281976%E2%80%931977%29.svg/640px-Flag_of_Seychelles_%281976%E2%80%931977%29.svg.png&amp;precision=low&amp;num_clusters=3&amp;text=1","name":"[SYC] Seychelles (1976-1977)"},</v>
      </c>
      <c r="IY3" s="48">
        <v>1503</v>
      </c>
    </row>
    <row r="4" spans="1:259" s="48" customFormat="1" ht="38.4" customHeight="1" thickBot="1" x14ac:dyDescent="0.35">
      <c r="A4" s="80" t="s">
        <v>459</v>
      </c>
      <c r="B4" s="40" t="e" vm="121">
        <v>#VALUE!</v>
      </c>
      <c r="C4" s="41" t="s">
        <v>173</v>
      </c>
      <c r="D4" s="42" t="s">
        <v>460</v>
      </c>
      <c r="E4" s="43" t="s">
        <v>461</v>
      </c>
      <c r="F4" s="44" t="s">
        <v>163</v>
      </c>
      <c r="G4" s="45">
        <f>COUNTIF($A$1:$A$8393,A4)</f>
        <v>1</v>
      </c>
      <c r="H4" s="46" t="s">
        <v>464</v>
      </c>
      <c r="I4" s="47" t="s">
        <v>456</v>
      </c>
      <c r="J4" s="48" t="str">
        <f>""</f>
        <v/>
      </c>
      <c r="K4" s="49"/>
      <c r="L4" s="50"/>
      <c r="M4" s="50"/>
      <c r="N4" s="51" t="s">
        <v>180</v>
      </c>
      <c r="O4" s="52" t="s">
        <v>462</v>
      </c>
      <c r="P4" s="53" t="s">
        <v>463</v>
      </c>
      <c r="Q4" s="54">
        <v>1</v>
      </c>
      <c r="R4" s="55" t="s">
        <v>180</v>
      </c>
      <c r="S4" s="56">
        <v>3</v>
      </c>
      <c r="T4" s="57" t="s">
        <v>164</v>
      </c>
      <c r="U4" s="58" t="s">
        <v>164</v>
      </c>
      <c r="V4" s="58" t="s">
        <v>167</v>
      </c>
      <c r="W4" s="58" t="s">
        <v>164</v>
      </c>
      <c r="X4" s="58" t="s">
        <v>164</v>
      </c>
      <c r="Y4" s="58" t="s">
        <v>164</v>
      </c>
      <c r="Z4" s="58" t="s">
        <v>164</v>
      </c>
      <c r="AA4" s="58" t="s">
        <v>164</v>
      </c>
      <c r="AB4" s="58" t="s">
        <v>164</v>
      </c>
      <c r="AC4" s="58" t="s">
        <v>164</v>
      </c>
      <c r="AD4" s="58" t="s">
        <v>164</v>
      </c>
      <c r="AE4" s="58" t="s">
        <v>164</v>
      </c>
      <c r="AF4" s="59" t="s">
        <v>164</v>
      </c>
      <c r="AG4" s="59" t="s">
        <v>164</v>
      </c>
      <c r="AH4" s="59" t="s">
        <v>164</v>
      </c>
      <c r="AI4" s="59" t="s">
        <v>164</v>
      </c>
      <c r="AJ4" s="59" t="s">
        <v>164</v>
      </c>
      <c r="AK4" s="59" t="s">
        <v>167</v>
      </c>
      <c r="AL4" s="59" t="s">
        <v>167</v>
      </c>
      <c r="AM4" s="59" t="s">
        <v>164</v>
      </c>
      <c r="AN4" s="59" t="s">
        <v>164</v>
      </c>
      <c r="AO4" s="59" t="s">
        <v>164</v>
      </c>
      <c r="AP4" s="59" t="s">
        <v>164</v>
      </c>
      <c r="AQ4" s="59" t="s">
        <v>164</v>
      </c>
      <c r="AR4" s="59" t="s">
        <v>164</v>
      </c>
      <c r="AS4" s="59" t="s">
        <v>164</v>
      </c>
      <c r="AT4" s="60">
        <v>0</v>
      </c>
      <c r="AU4" s="59" t="s">
        <v>174</v>
      </c>
      <c r="AV4" s="59" t="str">
        <f>IF(LEFT(A4,1)="[",LEFT(A4,5)&amp;AU4&amp;A4,"")</f>
        <v>[SYC]Historical[SYC] Seychelles (1977-1996)</v>
      </c>
      <c r="AW4" s="59" t="str">
        <f t="shared" si="0"/>
        <v>3b[SYC] Other[SYC] Seychelles (1977-1996)</v>
      </c>
      <c r="AX4" s="61"/>
      <c r="AY4" s="61"/>
      <c r="AZ4" s="62"/>
      <c r="BA4" s="62"/>
      <c r="BB4" s="62"/>
      <c r="BC4" s="63"/>
      <c r="BD4" s="64" t="s">
        <v>154</v>
      </c>
      <c r="BE4" s="47"/>
      <c r="BF4" s="64" t="s">
        <v>154</v>
      </c>
      <c r="BG4" s="64" t="s">
        <v>159</v>
      </c>
      <c r="BH4" s="64" t="s">
        <v>153</v>
      </c>
      <c r="BI4" s="64"/>
      <c r="BJ4" s="64"/>
      <c r="BK4" s="47"/>
      <c r="BL4" s="64" t="s">
        <v>154</v>
      </c>
      <c r="BM4" s="64" t="s">
        <v>159</v>
      </c>
      <c r="BN4" s="64" t="s">
        <v>153</v>
      </c>
      <c r="BO4" s="64"/>
      <c r="BP4" s="64"/>
      <c r="BQ4" s="64"/>
      <c r="BR4" s="64"/>
      <c r="BS4" s="64"/>
      <c r="BT4" s="64"/>
      <c r="BU4" s="65"/>
      <c r="BV4" s="66"/>
      <c r="BW4" s="66">
        <v>0</v>
      </c>
      <c r="BX4" s="47"/>
      <c r="CB4" s="6"/>
      <c r="CC4" s="6"/>
      <c r="CD4" s="67">
        <v>0</v>
      </c>
      <c r="CE4" s="67">
        <v>0</v>
      </c>
      <c r="CF4" s="67" t="e">
        <v>#REF!</v>
      </c>
      <c r="CG4" s="68" cm="1">
        <f t="array" ref="CG4">SUMPRODUCT(--(LEN(TRIM(BL4:BT4))&gt;0))</f>
        <v>3</v>
      </c>
      <c r="CH4" s="59" t="str">
        <f>IF(CG4=2,"y","n")</f>
        <v>n</v>
      </c>
      <c r="CI4" s="59" t="str">
        <f>IF(CG4=3,"y","n")</f>
        <v>y</v>
      </c>
      <c r="CJ4" s="59" t="str">
        <f>IF(CG4=4,"y","n")</f>
        <v>n</v>
      </c>
      <c r="CK4" s="59" t="str">
        <f>IF(CG4&gt;4,"y","n")</f>
        <v>n</v>
      </c>
      <c r="CL4" s="59" t="str">
        <f>IF(S4=0,"y","n")</f>
        <v>n</v>
      </c>
      <c r="CM4" s="59" t="str">
        <f>IF(S4=2,"y","n")</f>
        <v>n</v>
      </c>
      <c r="CN4" s="59" t="str">
        <f>IF(S4=3,"y","n")</f>
        <v>y</v>
      </c>
      <c r="CO4" s="59" t="str">
        <f>IF(S4&gt;=4,"y","n")</f>
        <v>n</v>
      </c>
      <c r="CP4" s="59" t="str">
        <f>IF(AT4=0,"y","n")</f>
        <v>y</v>
      </c>
      <c r="CQ4" s="59" t="str">
        <f>IF(AT4=1,"y","n")</f>
        <v>n</v>
      </c>
      <c r="CR4" s="59" t="str">
        <f>IF(AT4=2,"y","n")</f>
        <v>n</v>
      </c>
      <c r="CS4" s="59" t="str">
        <f>IF(AT4&gt;=3,"y","n")</f>
        <v>n</v>
      </c>
      <c r="CT4" s="69" t="str">
        <f>CHAR(34)&amp;A4&amp;CHAR(34)</f>
        <v>"[SYC] Seychelles (1977-1996)"</v>
      </c>
      <c r="CU4" s="70" t="str">
        <f>CHAR(34)&amp;"rgn_"&amp;R4&amp;CHAR(34)</f>
        <v>"rgn_Africa"</v>
      </c>
      <c r="CV4" s="48" t="str">
        <f>CHAR(34)&amp;D4&amp;CHAR(34)</f>
        <v>"https://upload.wikimedia.org/wikipedia/commons/thumb/7/71/Flag_of_Seychelles_%281977%E2%80%931996%29.svg/640px-Flag_of_Seychelles_%281977%E2%80%931996%29.svg.png"</v>
      </c>
      <c r="CW4" s="48" t="str">
        <f>IF(CH4="y",CHAR(34)&amp;CH$1&amp;CHAR(34)&amp;",","")</f>
        <v/>
      </c>
      <c r="CX4" s="48" t="str">
        <f>IF(CI4="y",CHAR(34)&amp;CI$1&amp;CHAR(34)&amp;",","")</f>
        <v>"3Color",</v>
      </c>
      <c r="CY4" s="48" t="str">
        <f>IF(CJ4="y",CHAR(34)&amp;CJ$1&amp;CHAR(34)&amp;",","")</f>
        <v/>
      </c>
      <c r="CZ4" s="48" t="str">
        <f>IF(CK4="y",CHAR(34)&amp;CK$1&amp;CHAR(34)&amp;",","")</f>
        <v/>
      </c>
      <c r="DA4" s="48" t="str">
        <f>IF(Q4&gt;1,CHAR(34)&amp;"words2"&amp;CHAR(34)&amp;",","")</f>
        <v/>
      </c>
      <c r="DB4" s="48" t="str">
        <f>IF(Q4&gt;2,CHAR(34)&amp;"words3"&amp;CHAR(34)&amp;",","")</f>
        <v/>
      </c>
      <c r="DD4" s="48" t="str">
        <f>IF(LEN(CHAR(34)&amp;"lets"&amp;LEN(SUBSTITUTE(SUBSTITUTE(IFERROR(TRIM(SUBSTITUTE(A4,MID(A4,FIND("[",A4),FIND("]",A4)-FIND("[",A4)+1),"")),A4)," ",""),"-",""))&amp;CHAR(34)&amp;",")=9,CHAR(34)&amp;"lets"&amp;LEN(SUBSTITUTE(SUBSTITUTE(IFERROR(TRIM(SUBSTITUTE(A4,MID(A4,FIND("[",A4),FIND("]",A4)-FIND("[",A4)+1),"")),A4)," ",""),"-",""))&amp;CHAR(34)&amp;",",CHAR(34)&amp;"lets0"&amp;LEN(SUBSTITUTE(SUBSTITUTE(IFERROR(TRIM(SUBSTITUTE(A4,MID(A4,FIND("[",A4),FIND("]",A4)-FIND("[",A4)+1),"")),A4)," ",""),"-",""))&amp;CHAR(34)&amp;",")</f>
        <v>"lets20",</v>
      </c>
      <c r="DE4" s="48" t="str">
        <f>CHAR(34)&amp;"start"&amp;IFERROR(LEFT(SUBSTITUTE(A4,"["&amp;MID(A4,FIND("[",A4)+1,FIND("]",A4)-FIND("[",A4)-1)&amp;"] ",""),1),LEFT(A4,1))&amp;CHAR(34)&amp;","</f>
        <v>"startS",</v>
      </c>
      <c r="DF4" s="48" t="str">
        <f>IFERROR(IF(SEARCH("tan",A4)&gt;0,CHAR(34)&amp;"withtn"&amp;CHAR(34)&amp;",",""),"")</f>
        <v/>
      </c>
      <c r="DG4" s="48" t="str">
        <f>IFERROR(IF(SEARCH("q",A4)&gt;0,CHAR(34)&amp;"with_q"&amp;CHAR(34)&amp;",",""),"")</f>
        <v/>
      </c>
      <c r="DH4" s="48" t="str">
        <f>IFERROR(IF(SEARCH("v",A4)&gt;0,CHAR(34)&amp;"with_v"&amp;CHAR(34)&amp;",",""),"")</f>
        <v/>
      </c>
      <c r="DI4" s="48" t="str">
        <f>IFERROR(IF(SEARCH("w",A4)&gt;0,CHAR(34)&amp;"with_w"&amp;CHAR(34)&amp;",",""),"")</f>
        <v/>
      </c>
      <c r="DJ4" s="48" t="str">
        <f>IFERROR(IF(SEARCH("y",A4)&gt;0,CHAR(34)&amp;"with_y"&amp;CHAR(34)&amp;",",""),"")</f>
        <v>"with_y",</v>
      </c>
      <c r="DK4" s="48" t="str">
        <f>IFERROR(IF(SEARCH("z",A4)&gt;0,CHAR(34)&amp;"with_z"&amp;CHAR(34)&amp;",",""),"")</f>
        <v/>
      </c>
      <c r="DL4" s="48" t="str">
        <f>IF(CG4=2, CHAR(34) &amp; _xlfn.TEXTJOIN("", TRUE, _xlfn._xlws.SORT(HP4:HX4)) &amp; CHAR(34) &amp; ",", "")</f>
        <v/>
      </c>
      <c r="DM4" s="48" t="str" cm="1">
        <f t="array" ref="DM4">IF(CG4=3,CHAR(34) &amp; _xlfn.TEXTJOIN("", TRUE, RIGHT(HP4:HX4, 2)) &amp; CHAR(34) &amp; ",", "")</f>
        <v>"REEDHI",</v>
      </c>
      <c r="DN4" s="48" t="str">
        <f>IF(AND(ISNUMBER(SEARCH("18", O4)), ISERROR(SEARCH("1918", O4)), ISERROR(SEARCH("2018", O4))), CHAR(34) &amp; "year18" &amp; CHAR(34) &amp; ",", "")</f>
        <v/>
      </c>
      <c r="DO4" s="48" t="str">
        <f>IF(AND(ISNUMBER(SEARCH("19", O4)), ISERROR(SEARCH("1819", O4)),  ISERROR(SEARCH("1219", O4)),ISERROR(SEARCH("1119", O4)),ISERROR(SEARCH("1190", O4)),ISERROR(SEARCH("2019", O4))), CHAR(34) &amp; "year19" &amp; CHAR(34) &amp; ",", "")</f>
        <v>"year19",</v>
      </c>
      <c r="DP4" s="6" t="str">
        <f>IF(AND(ISNUMBER(SEARCH("20", O4)), ISERROR(SEARCH("1920", O4))), CHAR(34)&amp;"year00"&amp;CHAR(34)&amp;",", "")</f>
        <v/>
      </c>
      <c r="DQ4" s="6" t="str">
        <f>IF(CC4="y",CHAR(34)&amp;"soviet"&amp;CHAR(34)&amp;",","")</f>
        <v/>
      </c>
      <c r="DR4" s="6" t="str">
        <f>IF(BY4="y",CHAR(34)&amp;"dgband"&amp;CHAR(34)&amp;",","")</f>
        <v/>
      </c>
      <c r="DS4" s="6" t="str">
        <f>IF(W4="y",IF(AND(V4="n",BY4&lt;&gt;"y"),CHAR(34)&amp;"allver"&amp;CHAR(34)&amp;",",""),"")</f>
        <v/>
      </c>
      <c r="DT4" s="6" t="str">
        <f>IF(V4="y",IF(AND(W4="n",BY4&lt;&gt;"y"),CHAR(34)&amp;"allhor"&amp;CHAR(34)&amp;",",""),"")</f>
        <v>"allhor",</v>
      </c>
      <c r="DU4" s="6" t="str">
        <f>IF(BY4="y",IF(AND(W4="n",V4="n"),CHAR(34)&amp;"alldia"&amp;CHAR(34)&amp;",",""),"")</f>
        <v/>
      </c>
      <c r="DW4" s="48" t="str">
        <f>IF(CL4="y",CHAR(34)&amp;CL$1&amp;CHAR(34)&amp;",","")</f>
        <v/>
      </c>
      <c r="DX4" s="48" t="str">
        <f>IF(CM4="y",CHAR(34)&amp;CM$1&amp;CHAR(34)&amp;",","")</f>
        <v/>
      </c>
      <c r="DY4" s="48" t="str">
        <f>IF(CN4="y",CHAR(34)&amp;CN$1&amp;CHAR(34)&amp;",","")</f>
        <v>"3Bands",</v>
      </c>
      <c r="DZ4" s="48" t="str">
        <f>IF(CO4="y",CHAR(34)&amp;CO$1&amp;CHAR(34)&amp;",","")</f>
        <v/>
      </c>
      <c r="EA4" s="48" t="str">
        <f>IF(T4="y",CHAR(34)&amp;T$1&amp;CHAR(34)&amp;",","")</f>
        <v/>
      </c>
      <c r="EB4" s="48" t="str">
        <f>IF(U4="y",CHAR(34)&amp;U$1&amp;CHAR(34)&amp;",","")</f>
        <v/>
      </c>
      <c r="EC4" s="48" t="str">
        <f>IF(V4="y",CHAR(34)&amp;V$1&amp;CHAR(34)&amp;",","")</f>
        <v>"Horizo",</v>
      </c>
      <c r="ED4" s="48" t="str">
        <f>IF(W4="y",CHAR(34)&amp;W$1&amp;CHAR(34)&amp;",","")</f>
        <v/>
      </c>
      <c r="EE4" s="48" t="str">
        <f>IF(X4="y",CHAR(34)&amp;X$1&amp;CHAR(34)&amp;",","")</f>
        <v/>
      </c>
      <c r="EF4" s="48" t="str">
        <f>IF(AND(Y4&lt;&gt;"n",Y4&lt;&gt;""),CHAR(34)&amp;Y$1&amp;CHAR(34)&amp;",","")</f>
        <v/>
      </c>
      <c r="EG4" s="48" t="str">
        <f>IF(Z4="y",CHAR(34)&amp;Z$1&amp;CHAR(34)&amp;",","")</f>
        <v/>
      </c>
      <c r="EH4" s="48" t="str">
        <f>IF(AA4="y",CHAR(34)&amp;AA$1&amp;CHAR(34)&amp;",","")</f>
        <v/>
      </c>
      <c r="EI4" s="48" t="str">
        <f>IF(AB4="y",CHAR(34)&amp;AB$1&amp;CHAR(34)&amp;",","")</f>
        <v/>
      </c>
      <c r="EJ4" s="48" t="str">
        <f>IF(AC4="y",CHAR(34)&amp;AC$1&amp;CHAR(34)&amp;",","")</f>
        <v/>
      </c>
      <c r="EK4" s="48" t="str">
        <f>IF(AD4="y",CHAR(34)&amp;AD$1&amp;CHAR(34)&amp;",","")</f>
        <v/>
      </c>
      <c r="EL4" s="48" t="str">
        <f>IF(AE4="y",CHAR(34)&amp;AE$1&amp;CHAR(34)&amp;",","")</f>
        <v/>
      </c>
      <c r="EM4" s="48" t="str">
        <f>IF(AF4="y",CHAR(34)&amp;AF$1&amp;CHAR(34)&amp;",","")</f>
        <v/>
      </c>
      <c r="EN4" s="48" t="str">
        <f>IF(AG4="y",CHAR(34)&amp;AG$1&amp;CHAR(34)&amp;",","")</f>
        <v/>
      </c>
      <c r="EO4" s="48" t="str">
        <f>IF(AH4="y",CHAR(34)&amp;AH$1&amp;CHAR(34)&amp;",","")</f>
        <v/>
      </c>
      <c r="EP4" s="48" t="str">
        <f>IF(AI4="y",CHAR(34)&amp;AI$1&amp;CHAR(34)&amp;",","")</f>
        <v/>
      </c>
      <c r="EQ4" s="48" t="str">
        <f>IF(AJ4="y",CHAR(34)&amp;AJ$1&amp;CHAR(34)&amp;",","")</f>
        <v/>
      </c>
      <c r="ER4" s="48" t="str">
        <f>IF(AK4="y",CHAR(34)&amp;AK$1&amp;CHAR(34)&amp;",","")</f>
        <v>"OnlyBa",</v>
      </c>
      <c r="ES4" s="48" t="str">
        <f>IF(AL4="y",CHAR(34)&amp;AL$1&amp;CHAR(34)&amp;",","")</f>
        <v>"Wavess",</v>
      </c>
      <c r="ET4" s="48" t="str">
        <f>IF(AM4="y",CHAR(34)&amp;AM$1&amp;CHAR(34)&amp;",","")</f>
        <v/>
      </c>
      <c r="EU4" s="48" t="str">
        <f>IF(AN4="y",CHAR(34)&amp;AN$1&amp;CHAR(34)&amp;",","")</f>
        <v/>
      </c>
      <c r="EV4" s="48" t="str">
        <f>IF(AO4="y",CHAR(34)&amp;AO$1&amp;CHAR(34)&amp;",","")</f>
        <v/>
      </c>
      <c r="EW4" s="48" t="str">
        <f>IF(AP4="y",CHAR(34)&amp;AP$1&amp;CHAR(34)&amp;",","")</f>
        <v/>
      </c>
      <c r="EX4" s="48" t="str">
        <f>IF(AQ4="y",CHAR(34)&amp;AQ$1&amp;CHAR(34)&amp;",","")</f>
        <v/>
      </c>
      <c r="EY4" s="48" t="str">
        <f>IF(AR4="y",CHAR(34)&amp;AR$1&amp;CHAR(34)&amp;",","")</f>
        <v/>
      </c>
      <c r="EZ4" s="48" t="str">
        <f>IF(AS4="y",CHAR(34)&amp;AS$1&amp;CHAR(34)&amp;",","")</f>
        <v/>
      </c>
      <c r="FA4" s="48" t="str">
        <f>IF(AT4&gt;0,CHAR(34)&amp;"sta"&amp;AZ4&amp;CHAR(34)&amp;",","")</f>
        <v/>
      </c>
      <c r="FB4" s="48" t="str">
        <f>IF(AND(AT4&gt;0,BA4&lt;&gt;""),CHAR(34)&amp;"sta"&amp;BA4&amp;CHAR(34)&amp;",","")</f>
        <v/>
      </c>
      <c r="FD4" s="48" t="str">
        <f>IF(BV4="n",CHAR(34)&amp;"tcWHYE"&amp;CHAR(34)&amp;",",IF(BV4="y",CHAR(34)&amp;FD$1&amp;CHAR(34)&amp;",",""))</f>
        <v/>
      </c>
      <c r="FE4" s="48" t="str">
        <f>IF(COUNTIF(BL4:BT4,"BLU")=0,CHAR(34)&amp;"NO_BLU"&amp;CHAR(34)&amp;",", "")</f>
        <v>"NO_BLU",</v>
      </c>
      <c r="FF4" s="48" t="str">
        <f>IF(COUNTIF(BL4:BT4,"WHI")=0,CHAR(34)&amp;"NO_WHI"&amp;CHAR(34)&amp;",", "")</f>
        <v/>
      </c>
      <c r="FG4" s="48" t="str">
        <f>IF(COUNTIF(BL4:BT4,"RED")=0,CHAR(34)&amp;"NO_RED"&amp;CHAR(34)&amp;",", "")</f>
        <v/>
      </c>
      <c r="FH4" s="48" t="str">
        <f>IF(COUNTIF(BL4:BS4,"GRE")=0,CHAR(34)&amp;"NO_GRE"&amp;CHAR(34)&amp;",", "")</f>
        <v/>
      </c>
      <c r="FI4" s="48" t="str">
        <f>IF(COUNTIF(BL4:BT4,"YEL")=0,CHAR(34)&amp;"NO_YEL"&amp;CHAR(34)&amp;",", "")</f>
        <v>"NO_YEL",</v>
      </c>
      <c r="FJ4" s="48" t="str">
        <f>IF(COUNTIF(BL4:BT4,"BLA")=0,CHAR(34)&amp;"NO_BLA"&amp;CHAR(34)&amp;",", "")</f>
        <v>"NO_BLA",</v>
      </c>
      <c r="FK4" s="48" t="str">
        <f>IF(AND(FH4&lt;&gt;"",FF4&lt;&gt;""),CHAR(34)&amp;"WHGRNO"&amp;CHAR(34)&amp;",","")</f>
        <v/>
      </c>
      <c r="FL4" s="48" t="str">
        <f>IF(AND(FI4&lt;&gt;"",FF4&lt;&gt;""),CHAR(34)&amp;"WHYENO"&amp;CHAR(34)&amp;",","")</f>
        <v/>
      </c>
      <c r="FM4" s="48" t="str">
        <f>IF(AND(FJ4&lt;&gt;"",FF4&lt;&gt;""),CHAR(34)&amp;"BAWHNO"&amp;CHAR(34)&amp;",","")</f>
        <v/>
      </c>
      <c r="FN4" s="48" t="str">
        <f>IF(AND(FE4&lt;&gt;"",FF4&lt;&gt;""),CHAR(34)&amp;"BLWHNO"&amp;CHAR(34)&amp;",","")</f>
        <v/>
      </c>
      <c r="FO4" s="48" t="str">
        <f>IF(AND(FE4&lt;&gt;"",FG4&lt;&gt;""),CHAR(34)&amp;"BLRENO"&amp;CHAR(34)&amp;",","")</f>
        <v/>
      </c>
      <c r="FP4" s="48" t="str">
        <f>IF(AND(FF4&lt;&gt;"",FF4&lt;&gt;""),CHAR(34)&amp;"WHRENO"&amp;CHAR(34)&amp;",","")</f>
        <v/>
      </c>
      <c r="FQ4" s="48" t="str">
        <f>IF(LEN(BF4)=3,CHAR(34)&amp;"001"&amp;BF4&amp;CHAR(34)&amp;",","")</f>
        <v>"001RED",</v>
      </c>
      <c r="FR4" s="48" t="str">
        <f>IF(LEN(BG4)=3,CHAR(34)&amp;"002"&amp;BG4&amp;CHAR(34)&amp;",","")</f>
        <v>"002WHI",</v>
      </c>
      <c r="FS4" s="48" t="str">
        <f>IF(LEN(BH4)=3,CHAR(34)&amp;"003"&amp;BH4&amp;CHAR(34)&amp;",","")</f>
        <v>"003GRE",</v>
      </c>
      <c r="FT4" s="48" t="str">
        <f>CHAR(34)&amp;"myr"&amp;BD4&amp;CHAR(34)&amp;","</f>
        <v>"myrRED",</v>
      </c>
      <c r="FU4" s="48" t="str">
        <f>IF(AY4="y",CHAR(34)&amp;"island"&amp;CHAR(34)&amp;",","")</f>
        <v/>
      </c>
      <c r="FV4" s="48" t="str">
        <f>IF(BZ4="y",CHAR(34)&amp;"landlo"&amp;CHAR(34)&amp;",","")</f>
        <v/>
      </c>
      <c r="FW4" s="48" t="str">
        <f>IF(CA4="y",CHAR(34)&amp;"eunion"&amp;CHAR(34)&amp;",","")</f>
        <v/>
      </c>
      <c r="FY4" s="48" t="str">
        <f>IFERROR(IF(SEARCH("Arabic",CB4)&gt;0,CHAR(34)&amp;"arabic"&amp;CHAR(34)&amp;",",""),"")</f>
        <v/>
      </c>
      <c r="FZ4" s="48" t="str">
        <f>IFERROR(IF(SEARCH("English",CB4)&gt;0,CHAR(34)&amp;"englis"&amp;CHAR(34)&amp;",",""),"")</f>
        <v/>
      </c>
      <c r="GA4" s="48" t="str">
        <f>IFERROR(IF(SEARCH("French",CB4)&gt;0,CHAR(34)&amp;"french"&amp;CHAR(34)&amp;",",""),"")</f>
        <v/>
      </c>
      <c r="GB4" s="48" t="str">
        <f>IFERROR(IF(SEARCH("Spanish",CB4)&gt;0,CHAR(34)&amp;"spanis"&amp;CHAR(34)&amp;",",""),"")</f>
        <v/>
      </c>
      <c r="GE4" s="48" t="str">
        <f>IFERROR(IF(SEARCH("Dutch",CB4)&gt;0,CHAR(34)&amp;"dutchs"&amp;CHAR(34)&amp;",",""),"")</f>
        <v/>
      </c>
      <c r="GF4" s="48" t="str">
        <f>IFERROR(IF(SEARCH("Historical",AU4)&gt;0,CHAR(34)&amp;"histor"&amp;CHAR(34)&amp;",",""),"")</f>
        <v>"histor",</v>
      </c>
      <c r="GG4" s="48" t="str">
        <f>IF(BU4="y",CHAR(34)&amp;"unjack"&amp;CHAR(34)&amp;",","")</f>
        <v/>
      </c>
      <c r="GH4" s="48" t="str">
        <f>IF(CD4=1,CHAR(34)&amp;"southc"&amp;CHAR(34)&amp;",","")</f>
        <v/>
      </c>
      <c r="GI4" s="48" t="str">
        <f>IF(CE4=1,CHAR(34)&amp;"hasmap"&amp;CHAR(34)&amp;",","")</f>
        <v/>
      </c>
      <c r="GJ4" s="48" t="str">
        <f>IF(CP4="y",CHAR(34)&amp;CP$1&amp;CHAR(34)&amp;",","")</f>
        <v>"NoStar",</v>
      </c>
      <c r="GK4" s="48" t="str">
        <f>IF(GJ4="",CHAR(34)&amp;"HasSta"&amp;CHAR(34)&amp;",","")</f>
        <v/>
      </c>
      <c r="GL4" s="48" t="str">
        <f>IF(CQ4="y",CHAR(34)&amp;CQ$1&amp;CHAR(34)&amp;",","")</f>
        <v/>
      </c>
      <c r="GM4" s="48" t="str">
        <f>IF(CR4="y",CHAR(34)&amp;CR$1&amp;CHAR(34)&amp;",","")</f>
        <v/>
      </c>
      <c r="GN4" s="48" t="str">
        <f>IF(CS4="y",CHAR(34)&amp;CS$1&amp;CHAR(34)&amp;",","")</f>
        <v/>
      </c>
      <c r="GP4" s="48" t="str">
        <f>CHAR(34)&amp;AU4&amp;CHAR(34)</f>
        <v>"Historical"</v>
      </c>
      <c r="GS4" s="48" t="str">
        <f>SUBSTITUTE("["&amp;_xlfn.CONCAT(CW4:GN4)&amp;"]",",]","]")</f>
        <v>["3Color","lets20","startS","with_y","REEDHI","year19","allhor","3Bands","Horizo","OnlyBa","Wavess","NO_BLU","NO_YEL","NO_BLA","001RED","002WHI","003GRE","myrRED","histor","NoStar"]</v>
      </c>
      <c r="GT4" s="48" t="str">
        <f>IF(BL4&lt;&gt;"",CHAR(34)&amp;"cl_"&amp;BL4&amp;CHAR(34)&amp;",","")</f>
        <v>"cl_RED",</v>
      </c>
      <c r="GU4" s="48" t="str">
        <f>IF(BM4&lt;&gt;"",CHAR(34)&amp;"cl_"&amp;BM4&amp;CHAR(34)&amp;",","")</f>
        <v>"cl_WHI",</v>
      </c>
      <c r="GV4" s="48" t="str">
        <f>IF(BN4&lt;&gt;"",CHAR(34)&amp;"cl_"&amp;BN4&amp;CHAR(34)&amp;",","")</f>
        <v>"cl_GRE",</v>
      </c>
      <c r="GW4" s="48" t="str">
        <f>IF(BO4&lt;&gt;"",CHAR(34)&amp;"cl_"&amp;BO4&amp;CHAR(34)&amp;",","")</f>
        <v/>
      </c>
      <c r="GX4" s="48" t="str">
        <f>IF(BP4&lt;&gt;"",CHAR(34)&amp;"cl_"&amp;BP4&amp;CHAR(34)&amp;",","")</f>
        <v/>
      </c>
      <c r="GY4" s="48" t="str">
        <f>IF(BQ4&lt;&gt;"",CHAR(34)&amp;"cl_"&amp;BQ4&amp;CHAR(34)&amp;",","")</f>
        <v/>
      </c>
      <c r="GZ4" s="48" t="str">
        <f>IF(BR4&lt;&gt;"",CHAR(34)&amp;"cl_"&amp;BR4&amp;CHAR(34)&amp;",","")</f>
        <v/>
      </c>
      <c r="HA4" s="48" t="str">
        <f>IF(BS4&lt;&gt;"",CHAR(34)&amp;"cl_"&amp;BS4&amp;CHAR(34)&amp;",","")</f>
        <v/>
      </c>
      <c r="HB4" s="48" t="str">
        <f>IF(BT4&lt;&gt;"",CHAR(34)&amp;"cl_"&amp;BT4&amp;CHAR(34)&amp;",","")</f>
        <v/>
      </c>
      <c r="HC4" s="48" t="str">
        <f>SUBSTITUTE("["&amp;_xlfn.CONCAT(GT4:HB4)&amp;"]",",]","]")</f>
        <v>["cl_RED","cl_WHI","cl_GRE"]</v>
      </c>
      <c r="HE4" s="71"/>
      <c r="HF4" s="72" t="str">
        <f>"{couname:"&amp;CT4&amp;(IF(HK4&lt;&gt;"",",subtype:"&amp;CHAR(34)&amp;HK4&amp;CHAR(34),""))&amp;",year:"&amp;HJ4&amp;",region:"&amp;CU4&amp;",Colors:"&amp;HC4&amp;",Items:"&amp;GS4&amp;",Flag:"&amp;CV4&amp;",HDFlag:"&amp;CHAR(34)&amp;E4&amp;CHAR(34)&amp;",type:"&amp;GP4&amp;", describe: "&amp;HH4&amp;", isnew:"&amp;CHAR(34)&amp;F4&amp;CHAR(34)&amp;", links: "&amp;HL4&amp;"},"</f>
        <v>{couname:"[SYC] Seychelles (1977-1996)",year:"1977",region:"rgn_Africa",Colors:["cl_RED","cl_WHI","cl_GRE"],Items:["3Color","lets20","startS","with_y","REEDHI","year19","allhor","3Bands","Horizo","OnlyBa","Wavess","NO_BLU","NO_YEL","NO_BLA","001RED","002WHI","003GRE","myrRED","histor","NoStar"],Flag:"https://upload.wikimedia.org/wikipedia/commons/thumb/7/71/Flag_of_Seychelles_%281977%E2%80%931996%29.svg/640px-Flag_of_Seychelles_%281977%E2%80%931996%29.svg.png",HDFlag:"https://upload.wikimedia.org/wikipedia/commons/thumb/7/71/Flag_of_Seychelles_%281977%E2%80%931996%29.svg/2560px-Flag_of_Seychelles_%281977%E2%80%931996%29.svg.png",type:"Historical", describe: "\nA bicoloured field of red and green with a wavy white stripe.", isnew:".", links: "https://en.wikipedia.org/wiki/List_of_Seychellois_flags"},</v>
      </c>
      <c r="HG4" s="73" t="str">
        <f>"{couname:"&amp;CT4&amp;(IF(HK4&lt;&gt;"",",subtype:"&amp;CHAR(34)&amp;HK4&amp;CHAR(34),""))&amp;",year:"&amp;HJ4&amp;",region:"&amp;CU4&amp;",Colors:"&amp;HC4&amp;",Items:"&amp;GS4&amp;",Flag:"&amp;CV4&amp;",HDFlag:"&amp;CHAR(34)&amp;E4&amp;CHAR(34)&amp;",type:"&amp;GP4&amp;", describe: "&amp;HI4&amp;", links: "&amp;HL4&amp;"},"</f>
        <v>{couname:"[SYC] Seychelles (1977-1996)",year:"1977",region:"rgn_Africa",Colors:["cl_RED","cl_WHI","cl_GRE"],Items:["3Color","lets20","startS","with_y","REEDHI","year19","allhor","3Bands","Horizo","OnlyBa","Wavess","NO_BLU","NO_YEL","NO_BLA","001RED","002WHI","003GRE","myrRED","histor","NoStar"],Flag:"https://upload.wikimedia.org/wikipedia/commons/thumb/7/71/Flag_of_Seychelles_%281977%E2%80%931996%29.svg/640px-Flag_of_Seychelles_%281977%E2%80%931996%29.svg.png",HDFlag:"https://upload.wikimedia.org/wikipedia/commons/thumb/7/71/Flag_of_Seychelles_%281977%E2%80%931996%29.svg/2560px-Flag_of_Seychelles_%281977%E2%80%931996%29.svg.png",type:"Historical", describe: "\nA bicoloured field of red and green with a wavy white stripe.", links: "https://en.wikipedia.org/wiki/List_of_Seychellois_flags"},</v>
      </c>
      <c r="HH4" s="48" t="str">
        <f>IF(P4&lt;&gt;"",CHAR(34)&amp;"\n"&amp;P4&amp;CHAR(34),CHAR(34)&amp;CHAR(34))</f>
        <v>"\nA bicoloured field of red and green with a wavy white stripe."</v>
      </c>
      <c r="HI4" s="48" t="str">
        <f>IF(J4=0,CHAR(34)&amp;CHAR(34),HH4)</f>
        <v>"\nA bicoloured field of red and green with a wavy white stripe."</v>
      </c>
      <c r="HJ4" s="48" t="str">
        <f>CHAR(34)&amp;O4&amp;CHAR(34)</f>
        <v>"1977"</v>
      </c>
      <c r="HL4" s="48" t="str">
        <f>CHAR(34)&amp;I4&amp;CHAR(34)</f>
        <v>"https://en.wikipedia.org/wiki/List_of_Seychellois_flags"</v>
      </c>
      <c r="HM4" s="72"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"&amp;HH4&amp;", "&amp;CHAR(34)&amp;"isnew"&amp;CHAR(34)&amp;": "&amp;CHAR(34)&amp;F4&amp;CHAR(34)&amp;", "&amp;CHAR(34)&amp;"links"&amp;CHAR(34)&amp;": "&amp;HL4&amp;"},"</f>
        <v>{"couname":"[SYC] Seychelles (1977-1996)","subtype":"[SYC] Other","year":"1977","region":"rgn_Africa","Colors":["cl_RED","cl_WHI","cl_GRE"],"Items":["3Color","lets20","startS","with_y","REEDHI","year19","allhor","3Bands","Horizo","OnlyBa","Wavess","NO_BLU","NO_YEL","NO_BLA","001RED","002WHI","003GRE","myrRED","histor","NoStar"],"Flag":"https://upload.wikimedia.org/wikipedia/commons/thumb/7/71/Flag_of_Seychelles_%281977%E2%80%931996%29.svg/640px-Flag_of_Seychelles_%281977%E2%80%931996%29.svg.png","HDFlag":"https://upload.wikimedia.org/wikipedia/commons/thumb/7/71/Flag_of_Seychelles_%281977%E2%80%931996%29.svg/2560px-Flag_of_Seychelles_%281977%E2%80%931996%29.svg.png","type":"Historical", "describe": "\nA bicoloured field of red and green with a wavy white stripe.", "isnew": ".", "links": "https://en.wikipedia.org/wiki/List_of_Seychellois_flags"},</v>
      </c>
      <c r="HN4" s="74"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"&amp;HI4&amp;", "&amp;CHAR(34)&amp;"isnew"&amp;CHAR(34)&amp;": "&amp;CHAR(34)&amp;F4&amp;CHAR(34)&amp;", "&amp;CHAR(34)&amp;"links"&amp;CHAR(34)&amp;": "&amp;HL4&amp;"},"</f>
        <v>{"couname":"[SYC] Seychelles (1977-1996)","subtype":"[SYC] Other","year":"1977","region":"rgn_Africa","Colors":["cl_RED","cl_WHI","cl_GRE"],"Items":["3Color","lets20","startS","with_y","REEDHI","year19","allhor","3Bands","Horizo","OnlyBa","Wavess","NO_BLU","NO_YEL","NO_BLA","001RED","002WHI","003GRE","myrRED","histor","NoStar"],"Flag":"https://upload.wikimedia.org/wikipedia/commons/thumb/7/71/Flag_of_Seychelles_%281977%E2%80%931996%29.svg/640px-Flag_of_Seychelles_%281977%E2%80%931996%29.svg.png","HDFlag":"https://upload.wikimedia.org/wikipedia/commons/thumb/7/71/Flag_of_Seychelles_%281977%E2%80%931996%29.svg/2560px-Flag_of_Seychelles_%281977%E2%80%931996%29.svg.png","type":"Historical", "describe": "\nA bicoloured field of red and green with a wavy white stripe.", "isnew": ".", "links": "https://en.wikipedia.org/wiki/List_of_Seychellois_flags"},</v>
      </c>
      <c r="HO4" s="75">
        <v>45644</v>
      </c>
      <c r="HP4" s="48" t="str" cm="1">
        <f t="array" ref="HP4">IF(_xlfn.TEXTJOIN(", ", TRUE, IF(ISNUMBER(SEARCH("BLA", BL4:BT4)), COLUMN(BL4:BT4) - COLUMN(BL4) + 1, ""))&lt;&gt;"","BLA","")</f>
        <v/>
      </c>
      <c r="HQ4" s="48" t="str" cm="1">
        <f t="array" ref="HQ4">IF(_xlfn.TEXTJOIN(", ", TRUE, IF(ISNUMBER(SEARCH("BLU", BL4:BT4)), COLUMN(BL4:BT4) - COLUMN(BL4) + 1, ""))&lt;&gt;"","BLU","")</f>
        <v/>
      </c>
      <c r="HR4" s="48" t="str" cm="1">
        <f t="array" ref="HR4">IF(_xlfn.TEXTJOIN(", ", TRUE, IF(ISNUMBER(SEARCH("GRE", BL4:BT4)), COLUMN(BL4:BT4) - COLUMN(BL4) + 1, ""))&lt;&gt;"","GRE","")</f>
        <v>GRE</v>
      </c>
      <c r="HS4" s="48" t="str" cm="1">
        <f t="array" ref="HS4">IF(_xlfn.TEXTJOIN(", ", TRUE, IF(ISNUMBER(SEARCH("RED", BL4:BT4)), COLUMN(BL4:BT4) - COLUMN(BL4) + 1, ""))&lt;&gt;"","RED","")</f>
        <v>RED</v>
      </c>
      <c r="HT4" s="48" t="str" cm="1">
        <f t="array" ref="HT4">IF(_xlfn.TEXTJOIN(", ", TRUE, IF(ISNUMBER(SEARCH("YEL", BL4:BT4)), COLUMN(BL4:BT4) - COLUMN(BL4) + 1, ""))&lt;&gt;"","YEL","")</f>
        <v/>
      </c>
      <c r="HU4" s="48" t="str" cm="1">
        <f t="array" ref="HU4">IF(_xlfn.TEXTJOIN(", ", TRUE, IF(ISNUMBER(SEARCH("ORA", BL4:BT4)), COLUMN(BL4:BT4) - COLUMN(BL4) + 1, ""))&lt;&gt;"","ORA","")</f>
        <v/>
      </c>
      <c r="HV4" s="48" t="str" cm="1">
        <f t="array" ref="HV4">IF(_xlfn.TEXTJOIN(", ", TRUE, IF(ISNUMBER(SEARCH("BRO", BL4:BT4)), COLUMN(BL4:BT4) - COLUMN(BL4) + 1, ""))&lt;&gt;"","BRO","")</f>
        <v/>
      </c>
      <c r="HW4" s="48" t="str" cm="1">
        <f t="array" ref="HW4">IF(_xlfn.TEXTJOIN(", ", TRUE, IF(ISNUMBER(SEARCH("PUR", BL4:BT4)), COLUMN(BL4:BT4) - COLUMN(BL4) + 1, ""))&lt;&gt;"","PUR","")</f>
        <v/>
      </c>
      <c r="HX4" s="48" t="str" cm="1">
        <f t="array" ref="HX4">IF(_xlfn.TEXTJOIN(", ", TRUE, IF(ISNUMBER(SEARCH("WHI", BL4:BT4)), COLUMN(BL4:BT4) - COLUMN(BL4) + 1, ""))&lt;&gt;"","WHI","")</f>
        <v>WHI</v>
      </c>
      <c r="HY4" s="76"/>
      <c r="HZ4" s="76"/>
      <c r="IA4" s="6"/>
      <c r="IB4" s="6"/>
      <c r="IC4" s="77"/>
      <c r="ID4" s="77"/>
      <c r="IE4" s="77"/>
      <c r="IF4" s="77"/>
      <c r="IG4" s="77"/>
      <c r="IH4" s="77"/>
      <c r="II4" s="77"/>
      <c r="IJ4" s="77"/>
      <c r="IK4" s="77"/>
      <c r="IM4" s="45">
        <f>COUNTIF(IC4:IK4,"&gt;0")-CG4</f>
        <v>-3</v>
      </c>
      <c r="IN4" s="78" t="str">
        <f>"http://mkweb.bcgsc.ca/color-summarizer/?url="&amp;D4&amp;"&amp;precision=low&amp;num_clusters="&amp;CG4&amp;"&amp;text=1"</f>
        <v>http://mkweb.bcgsc.ca/color-summarizer/?url=https://upload.wikimedia.org/wikipedia/commons/thumb/7/71/Flag_of_Seychelles_%281977%E2%80%931996%29.svg/640px-Flag_of_Seychelles_%281977%E2%80%931996%29.svg.png&amp;precision=low&amp;num_clusters=3&amp;text=1</v>
      </c>
      <c r="IO4" s="48" t="str">
        <f>IF(HP4&lt;&gt;"",CHAR(34)&amp;"black"&amp;CHAR(34),"")</f>
        <v/>
      </c>
      <c r="IP4" s="48" t="str">
        <f>IF(HQ4&lt;&gt;"",CHAR(34)&amp;"blue"&amp;CHAR(34),"")</f>
        <v/>
      </c>
      <c r="IQ4" s="48" t="str">
        <f>IF(HR4&lt;&gt;"",CHAR(34)&amp;"green"&amp;CHAR(34),"")</f>
        <v>"green"</v>
      </c>
      <c r="IR4" s="48" t="str">
        <f>IF(HS4&lt;&gt;"",CHAR(34)&amp;"red"&amp;CHAR(34),"")</f>
        <v>"red"</v>
      </c>
      <c r="IS4" s="48" t="str">
        <f>IF(HT4&lt;&gt;"",CHAR(34)&amp;"yellow"&amp;CHAR(34),"")</f>
        <v/>
      </c>
      <c r="IT4" s="48" t="str">
        <f>IF(HU4&lt;&gt;"",CHAR(34)&amp;"orange"&amp;CHAR(34),"")</f>
        <v/>
      </c>
      <c r="IU4" s="48" t="str">
        <f>IF(HV4&lt;&gt;"",CHAR(34)&amp;"brown"&amp;CHAR(34),"")</f>
        <v/>
      </c>
      <c r="IV4" s="48" t="str">
        <f>IF(HW4&lt;&gt;"",CHAR(34)&amp;"purple"&amp;CHAR(34),"")</f>
        <v/>
      </c>
      <c r="IW4" s="48" t="str">
        <f>IF(HX4&lt;&gt;"",CHAR(34)&amp;"white"&amp;CHAR(34),"")</f>
        <v>"white"</v>
      </c>
      <c r="IX4" s="48" t="str">
        <f>"{"&amp;CHAR(34)&amp;"url"&amp;CHAR(34)&amp;":"&amp;CHAR(34)&amp;IN4&amp;CHAR(34)&amp;","&amp;CHAR(34)&amp;"name"&amp;CHAR(34)&amp;":"&amp;CHAR(34)&amp;A4&amp;CHAR(34)&amp;"},"</f>
        <v>{"url":"http://mkweb.bcgsc.ca/color-summarizer/?url=https://upload.wikimedia.org/wikipedia/commons/thumb/7/71/Flag_of_Seychelles_%281977%E2%80%931996%29.svg/640px-Flag_of_Seychelles_%281977%E2%80%931996%29.svg.png&amp;precision=low&amp;num_clusters=3&amp;text=1","name":"[SYC] Seychelles (1977-1996)"},</v>
      </c>
      <c r="IY4" s="48">
        <v>1503</v>
      </c>
    </row>
    <row r="5" spans="1:259" ht="38.4" customHeight="1" x14ac:dyDescent="0.3">
      <c r="F5" s="82"/>
      <c r="G5" s="82"/>
      <c r="H5" s="82"/>
      <c r="I5" s="82"/>
      <c r="J5" s="82"/>
      <c r="K5" s="82"/>
    </row>
    <row r="6" spans="1:259" ht="38.4" customHeight="1" x14ac:dyDescent="0.3">
      <c r="K6" s="81"/>
    </row>
    <row r="7" spans="1:259" ht="38.4" customHeight="1" x14ac:dyDescent="0.3">
      <c r="K7" s="81"/>
    </row>
    <row r="8" spans="1:259" ht="38.4" customHeight="1" x14ac:dyDescent="0.3">
      <c r="K8" s="81"/>
    </row>
    <row r="9" spans="1:259" ht="38.4" customHeight="1" x14ac:dyDescent="0.3">
      <c r="K9" s="81"/>
    </row>
    <row r="10" spans="1:259" ht="38.4" customHeight="1" x14ac:dyDescent="0.3">
      <c r="K10" s="81"/>
    </row>
  </sheetData>
  <autoFilter ref="A1:IY1" xr:uid="{A1051193-A95B-4CFB-A73C-F0184620C81F}">
    <sortState xmlns:xlrd2="http://schemas.microsoft.com/office/spreadsheetml/2017/richdata2" ref="A2:IY5">
      <sortCondition ref="AW1"/>
    </sortState>
  </autoFilter>
  <conditionalFormatting sqref="H1 CW1:GS1 IA1:IB1">
    <cfRule type="cellIs" dxfId="976" priority="118" operator="greaterThan">
      <formula>0</formula>
    </cfRule>
  </conditionalFormatting>
  <conditionalFormatting sqref="H1 H11:H1048576">
    <cfRule type="cellIs" dxfId="975" priority="84" stopIfTrue="1" operator="notEqual">
      <formula>""</formula>
    </cfRule>
  </conditionalFormatting>
  <conditionalFormatting sqref="T1:BK1">
    <cfRule type="cellIs" dxfId="974" priority="121" operator="greaterThan">
      <formula>0</formula>
    </cfRule>
  </conditionalFormatting>
  <conditionalFormatting sqref="BV1:BW1 BV5:BW1048576">
    <cfRule type="cellIs" dxfId="973" priority="120" operator="equal">
      <formula>"nc"</formula>
    </cfRule>
  </conditionalFormatting>
  <conditionalFormatting sqref="HF1:HG1">
    <cfRule type="cellIs" dxfId="972" priority="122" operator="greaterThan">
      <formula>0</formula>
    </cfRule>
  </conditionalFormatting>
  <conditionalFormatting sqref="HK1">
    <cfRule type="cellIs" dxfId="971" priority="119" operator="greaterThan">
      <formula>0</formula>
    </cfRule>
  </conditionalFormatting>
  <conditionalFormatting sqref="HP1:HX1">
    <cfRule type="cellIs" dxfId="970" priority="96" operator="equal">
      <formula>"PIN"</formula>
    </cfRule>
    <cfRule type="cellIs" dxfId="969" priority="97" operator="equal">
      <formula>"ORA"</formula>
    </cfRule>
    <cfRule type="cellIs" dxfId="968" priority="98" operator="equal">
      <formula>"GRA"</formula>
    </cfRule>
    <cfRule type="cellIs" dxfId="967" priority="99" operator="equal">
      <formula>"PUR"</formula>
    </cfRule>
    <cfRule type="cellIs" dxfId="966" priority="100" operator="equal">
      <formula>"BRO"</formula>
    </cfRule>
    <cfRule type="cellIs" dxfId="965" priority="101" operator="equal">
      <formula>"YEL"</formula>
    </cfRule>
    <cfRule type="cellIs" dxfId="964" priority="102" operator="equal">
      <formula>"BLU"</formula>
    </cfRule>
    <cfRule type="cellIs" dxfId="963" priority="103" operator="equal">
      <formula>"WHI"</formula>
    </cfRule>
    <cfRule type="cellIs" dxfId="962" priority="104" operator="equal">
      <formula>"GRE"</formula>
    </cfRule>
    <cfRule type="cellIs" dxfId="961" priority="105" operator="equal">
      <formula>"RED"</formula>
    </cfRule>
    <cfRule type="cellIs" dxfId="960" priority="106" operator="equal">
      <formula>"BLA"</formula>
    </cfRule>
  </conditionalFormatting>
  <conditionalFormatting sqref="IC1:IK1">
    <cfRule type="cellIs" dxfId="959" priority="107" operator="equal">
      <formula>"PIN"</formula>
    </cfRule>
    <cfRule type="cellIs" dxfId="958" priority="108" operator="equal">
      <formula>"ORA"</formula>
    </cfRule>
    <cfRule type="cellIs" dxfId="957" priority="109" operator="equal">
      <formula>"GRA"</formula>
    </cfRule>
    <cfRule type="cellIs" dxfId="956" priority="110" operator="equal">
      <formula>"PUR"</formula>
    </cfRule>
    <cfRule type="cellIs" dxfId="955" priority="111" operator="equal">
      <formula>"BRO"</formula>
    </cfRule>
    <cfRule type="cellIs" dxfId="954" priority="112" operator="equal">
      <formula>"YEL"</formula>
    </cfRule>
    <cfRule type="cellIs" dxfId="953" priority="113" operator="equal">
      <formula>"BLU"</formula>
    </cfRule>
    <cfRule type="cellIs" dxfId="952" priority="114" operator="equal">
      <formula>"WHI"</formula>
    </cfRule>
    <cfRule type="cellIs" dxfId="951" priority="115" operator="equal">
      <formula>"GRE"</formula>
    </cfRule>
    <cfRule type="cellIs" dxfId="950" priority="116" operator="equal">
      <formula>"RED"</formula>
    </cfRule>
    <cfRule type="cellIs" dxfId="949" priority="117" operator="equal">
      <formula>"BLA"</formula>
    </cfRule>
  </conditionalFormatting>
  <conditionalFormatting sqref="IO1:IW1">
    <cfRule type="cellIs" dxfId="948" priority="85" operator="equal">
      <formula>"PIN"</formula>
    </cfRule>
    <cfRule type="cellIs" dxfId="947" priority="86" operator="equal">
      <formula>"ORA"</formula>
    </cfRule>
    <cfRule type="cellIs" dxfId="946" priority="87" operator="equal">
      <formula>"GRA"</formula>
    </cfRule>
    <cfRule type="cellIs" dxfId="945" priority="88" operator="equal">
      <formula>"PUR"</formula>
    </cfRule>
    <cfRule type="cellIs" dxfId="944" priority="89" operator="equal">
      <formula>"BRO"</formula>
    </cfRule>
    <cfRule type="cellIs" dxfId="943" priority="90" operator="equal">
      <formula>"YEL"</formula>
    </cfRule>
    <cfRule type="cellIs" dxfId="942" priority="91" operator="equal">
      <formula>"BLU"</formula>
    </cfRule>
    <cfRule type="cellIs" dxfId="941" priority="92" operator="equal">
      <formula>"WHI"</formula>
    </cfRule>
    <cfRule type="cellIs" dxfId="940" priority="93" operator="equal">
      <formula>"GRE"</formula>
    </cfRule>
    <cfRule type="cellIs" dxfId="939" priority="94" operator="equal">
      <formula>"RED"</formula>
    </cfRule>
    <cfRule type="cellIs" dxfId="938" priority="95" operator="equal">
      <formula>"BLA"</formula>
    </cfRule>
  </conditionalFormatting>
  <conditionalFormatting sqref="H2">
    <cfRule type="cellIs" dxfId="937" priority="77" stopIfTrue="1" operator="notEqual">
      <formula>""</formula>
    </cfRule>
  </conditionalFormatting>
  <conditionalFormatting sqref="R2 CU2">
    <cfRule type="cellIs" dxfId="936" priority="79" operator="greaterThan">
      <formula>0</formula>
    </cfRule>
  </conditionalFormatting>
  <conditionalFormatting sqref="T2:AS2 CH2:CS2">
    <cfRule type="cellIs" dxfId="935" priority="74" stopIfTrue="1" operator="equal">
      <formula>"n"</formula>
    </cfRule>
    <cfRule type="cellIs" dxfId="934" priority="75" stopIfTrue="1" operator="equal">
      <formula>"y"</formula>
    </cfRule>
    <cfRule type="cellIs" dxfId="933" priority="76" operator="greaterThan">
      <formula>0</formula>
    </cfRule>
  </conditionalFormatting>
  <conditionalFormatting sqref="AZ2:BB2">
    <cfRule type="expression" dxfId="932" priority="61">
      <formula>$AT2=0</formula>
    </cfRule>
  </conditionalFormatting>
  <conditionalFormatting sqref="AZ2:BU2">
    <cfRule type="cellIs" dxfId="931" priority="62" operator="equal">
      <formula>"PIN"</formula>
    </cfRule>
    <cfRule type="cellIs" dxfId="930" priority="63" operator="equal">
      <formula>"ORA"</formula>
    </cfRule>
    <cfRule type="cellIs" dxfId="929" priority="64" operator="equal">
      <formula>"GRA"</formula>
    </cfRule>
    <cfRule type="cellIs" dxfId="928" priority="65" operator="equal">
      <formula>"PUR"</formula>
    </cfRule>
    <cfRule type="cellIs" dxfId="927" priority="66" operator="equal">
      <formula>"BRO"</formula>
    </cfRule>
    <cfRule type="cellIs" dxfId="926" priority="67" operator="equal">
      <formula>"YEL"</formula>
    </cfRule>
    <cfRule type="cellIs" dxfId="925" priority="68" operator="equal">
      <formula>"BLU"</formula>
    </cfRule>
    <cfRule type="cellIs" dxfId="924" priority="69" operator="equal">
      <formula>"WHI"</formula>
    </cfRule>
    <cfRule type="cellIs" dxfId="923" priority="70" operator="equal">
      <formula>"GRE"</formula>
    </cfRule>
    <cfRule type="cellIs" dxfId="922" priority="71" operator="equal">
      <formula>"RED"</formula>
    </cfRule>
    <cfRule type="cellIs" dxfId="921" priority="72" operator="equal">
      <formula>"BLA"</formula>
    </cfRule>
  </conditionalFormatting>
  <conditionalFormatting sqref="BV2">
    <cfRule type="cellIs" dxfId="920" priority="78" operator="equal">
      <formula>"nc"</formula>
    </cfRule>
  </conditionalFormatting>
  <conditionalFormatting sqref="CD2:CF2 BZ2:CA2">
    <cfRule type="cellIs" dxfId="919" priority="73" operator="greaterThan">
      <formula>0</formula>
    </cfRule>
  </conditionalFormatting>
  <conditionalFormatting sqref="IC2:IK2">
    <cfRule type="expression" dxfId="918" priority="60">
      <formula>$IL2&gt;0</formula>
    </cfRule>
  </conditionalFormatting>
  <conditionalFormatting sqref="BX2:CA2 CD2:CF2">
    <cfRule type="cellIs" dxfId="917" priority="48" operator="equal">
      <formula>"y"</formula>
    </cfRule>
    <cfRule type="cellIs" dxfId="916" priority="49" operator="equal">
      <formula>"PIN"</formula>
    </cfRule>
    <cfRule type="cellIs" dxfId="915" priority="50" operator="equal">
      <formula>"ORA"</formula>
    </cfRule>
    <cfRule type="cellIs" dxfId="914" priority="51" operator="equal">
      <formula>"GRA"</formula>
    </cfRule>
    <cfRule type="cellIs" dxfId="913" priority="52" operator="equal">
      <formula>"PUR"</formula>
    </cfRule>
    <cfRule type="cellIs" dxfId="912" priority="53" operator="equal">
      <formula>"BRO"</formula>
    </cfRule>
    <cfRule type="cellIs" dxfId="911" priority="54" operator="equal">
      <formula>"YEL"</formula>
    </cfRule>
    <cfRule type="cellIs" dxfId="910" priority="55" operator="equal">
      <formula>"BLU"</formula>
    </cfRule>
    <cfRule type="cellIs" dxfId="909" priority="56" operator="equal">
      <formula>"WHI"</formula>
    </cfRule>
    <cfRule type="cellIs" dxfId="908" priority="57" operator="equal">
      <formula>"GRE"</formula>
    </cfRule>
    <cfRule type="cellIs" dxfId="907" priority="58" operator="equal">
      <formula>"RED"</formula>
    </cfRule>
    <cfRule type="cellIs" dxfId="906" priority="59" operator="equal">
      <formula>"BLA"</formula>
    </cfRule>
  </conditionalFormatting>
  <conditionalFormatting sqref="J2">
    <cfRule type="colorScale" priority="80">
      <colorScale>
        <cfvo type="min"/>
        <cfvo type="percentile" val="50"/>
        <cfvo type="max"/>
        <color rgb="FFF8696B"/>
        <color rgb="FFFFEB84"/>
        <color rgb="FF63BE7B"/>
      </colorScale>
    </cfRule>
  </conditionalFormatting>
  <conditionalFormatting sqref="S2">
    <cfRule type="colorScale" priority="81">
      <colorScale>
        <cfvo type="min"/>
        <cfvo type="max"/>
        <color rgb="FFFCFCFF"/>
        <color rgb="FF754BFB"/>
      </colorScale>
    </cfRule>
  </conditionalFormatting>
  <conditionalFormatting sqref="AT2">
    <cfRule type="colorScale" priority="82">
      <colorScale>
        <cfvo type="min"/>
        <cfvo type="max"/>
        <color rgb="FFFCFCFF"/>
        <color theme="8" tint="0.39997558519241921"/>
      </colorScale>
    </cfRule>
  </conditionalFormatting>
  <conditionalFormatting sqref="CG2">
    <cfRule type="colorScale" priority="83">
      <colorScale>
        <cfvo type="min"/>
        <cfvo type="max"/>
        <color rgb="FFFCFCFF"/>
        <color rgb="FF63BE7B"/>
      </colorScale>
    </cfRule>
  </conditionalFormatting>
  <conditionalFormatting sqref="H3:H4">
    <cfRule type="cellIs" dxfId="905" priority="40" stopIfTrue="1" operator="notEqual">
      <formula>""</formula>
    </cfRule>
  </conditionalFormatting>
  <conditionalFormatting sqref="R3:R4 CU3:CU4">
    <cfRule type="cellIs" dxfId="904" priority="43" operator="greaterThan">
      <formula>0</formula>
    </cfRule>
  </conditionalFormatting>
  <conditionalFormatting sqref="T3:AS4 CH3:CS4">
    <cfRule type="cellIs" dxfId="903" priority="37" stopIfTrue="1" operator="equal">
      <formula>"n"</formula>
    </cfRule>
    <cfRule type="cellIs" dxfId="902" priority="38" stopIfTrue="1" operator="equal">
      <formula>"y"</formula>
    </cfRule>
    <cfRule type="cellIs" dxfId="901" priority="39" operator="greaterThan">
      <formula>0</formula>
    </cfRule>
  </conditionalFormatting>
  <conditionalFormatting sqref="AZ3:BB4">
    <cfRule type="expression" dxfId="900" priority="24">
      <formula>$AT3=0</formula>
    </cfRule>
  </conditionalFormatting>
  <conditionalFormatting sqref="CD3:CF4 BX3:CA4 AZ3:BU4">
    <cfRule type="cellIs" dxfId="899" priority="25" operator="equal">
      <formula>"PIN"</formula>
    </cfRule>
    <cfRule type="cellIs" dxfId="898" priority="26" operator="equal">
      <formula>"ORA"</formula>
    </cfRule>
    <cfRule type="cellIs" dxfId="897" priority="27" operator="equal">
      <formula>"GRA"</formula>
    </cfRule>
    <cfRule type="cellIs" dxfId="896" priority="28" operator="equal">
      <formula>"PUR"</formula>
    </cfRule>
    <cfRule type="cellIs" dxfId="895" priority="29" operator="equal">
      <formula>"BRO"</formula>
    </cfRule>
    <cfRule type="cellIs" dxfId="894" priority="30" operator="equal">
      <formula>"YEL"</formula>
    </cfRule>
    <cfRule type="cellIs" dxfId="893" priority="31" operator="equal">
      <formula>"BLU"</formula>
    </cfRule>
    <cfRule type="cellIs" dxfId="892" priority="32" operator="equal">
      <formula>"WHI"</formula>
    </cfRule>
    <cfRule type="cellIs" dxfId="891" priority="33" operator="equal">
      <formula>"GRE"</formula>
    </cfRule>
    <cfRule type="cellIs" dxfId="890" priority="34" operator="equal">
      <formula>"RED"</formula>
    </cfRule>
    <cfRule type="cellIs" dxfId="889" priority="35" operator="equal">
      <formula>"BLA"</formula>
    </cfRule>
  </conditionalFormatting>
  <conditionalFormatting sqref="BV3:BV4">
    <cfRule type="cellIs" dxfId="888" priority="42" operator="equal">
      <formula>"nc"</formula>
    </cfRule>
  </conditionalFormatting>
  <conditionalFormatting sqref="CD3:CF4 BX3:CA4">
    <cfRule type="cellIs" dxfId="887" priority="41" operator="equal">
      <formula>"y"</formula>
    </cfRule>
  </conditionalFormatting>
  <conditionalFormatting sqref="CD3:CF4 BZ3:CA4">
    <cfRule type="cellIs" dxfId="886" priority="36" operator="greaterThan">
      <formula>0</formula>
    </cfRule>
  </conditionalFormatting>
  <conditionalFormatting sqref="IC3:IK4">
    <cfRule type="expression" dxfId="885" priority="23">
      <formula>$IL3&gt;0</formula>
    </cfRule>
  </conditionalFormatting>
  <conditionalFormatting sqref="IC3:IC4">
    <cfRule type="cellIs" dxfId="884" priority="17" stopIfTrue="1" operator="greaterThan">
      <formula>0</formula>
    </cfRule>
  </conditionalFormatting>
  <conditionalFormatting sqref="ID3:ID4">
    <cfRule type="cellIs" dxfId="883" priority="15" stopIfTrue="1" operator="greaterThan">
      <formula>0</formula>
    </cfRule>
  </conditionalFormatting>
  <conditionalFormatting sqref="II3:II4 IE3:IF4">
    <cfRule type="cellIs" dxfId="882" priority="22" operator="greaterThan">
      <formula>0</formula>
    </cfRule>
  </conditionalFormatting>
  <conditionalFormatting sqref="II3:II4 IF3:IF4">
    <cfRule type="cellIs" dxfId="881" priority="16" stopIfTrue="1" operator="greaterThan">
      <formula>0</formula>
    </cfRule>
  </conditionalFormatting>
  <conditionalFormatting sqref="IG3:IG4">
    <cfRule type="cellIs" dxfId="880" priority="21" operator="greaterThan">
      <formula>0</formula>
    </cfRule>
  </conditionalFormatting>
  <conditionalFormatting sqref="IH3:II4">
    <cfRule type="cellIs" dxfId="879" priority="20" operator="greaterThan">
      <formula>0</formula>
    </cfRule>
  </conditionalFormatting>
  <conditionalFormatting sqref="IJ3:IJ4">
    <cfRule type="cellIs" dxfId="878" priority="19" operator="greaterThan">
      <formula>0</formula>
    </cfRule>
  </conditionalFormatting>
  <conditionalFormatting sqref="IK3:IK4">
    <cfRule type="cellIs" dxfId="877" priority="18" operator="greaterThan">
      <formula>0</formula>
    </cfRule>
  </conditionalFormatting>
  <conditionalFormatting sqref="IF3:IF4">
    <cfRule type="cellIs" dxfId="876" priority="14" stopIfTrue="1" operator="greaterThan">
      <formula>0</formula>
    </cfRule>
  </conditionalFormatting>
  <conditionalFormatting sqref="IM3:IM4">
    <cfRule type="cellIs" dxfId="875" priority="13" operator="equal">
      <formula>0</formula>
    </cfRule>
  </conditionalFormatting>
  <conditionalFormatting sqref="BX3:CA4 CD3:CF4">
    <cfRule type="cellIs" dxfId="874" priority="1" operator="equal">
      <formula>"y"</formula>
    </cfRule>
    <cfRule type="cellIs" dxfId="873" priority="2" operator="equal">
      <formula>"PIN"</formula>
    </cfRule>
    <cfRule type="cellIs" dxfId="872" priority="3" operator="equal">
      <formula>"ORA"</formula>
    </cfRule>
    <cfRule type="cellIs" dxfId="871" priority="4" operator="equal">
      <formula>"GRA"</formula>
    </cfRule>
    <cfRule type="cellIs" dxfId="870" priority="5" operator="equal">
      <formula>"PUR"</formula>
    </cfRule>
    <cfRule type="cellIs" dxfId="869" priority="6" operator="equal">
      <formula>"BRO"</formula>
    </cfRule>
    <cfRule type="cellIs" dxfId="868" priority="7" operator="equal">
      <formula>"YEL"</formula>
    </cfRule>
    <cfRule type="cellIs" dxfId="867" priority="8" operator="equal">
      <formula>"BLU"</formula>
    </cfRule>
    <cfRule type="cellIs" dxfId="866" priority="9" operator="equal">
      <formula>"WHI"</formula>
    </cfRule>
    <cfRule type="cellIs" dxfId="865" priority="10" operator="equal">
      <formula>"GRE"</formula>
    </cfRule>
    <cfRule type="cellIs" dxfId="864" priority="11" operator="equal">
      <formula>"RED"</formula>
    </cfRule>
    <cfRule type="cellIs" dxfId="863" priority="12" operator="equal">
      <formula>"BLA"</formula>
    </cfRule>
  </conditionalFormatting>
  <conditionalFormatting sqref="AT3:AT4">
    <cfRule type="colorScale" priority="44">
      <colorScale>
        <cfvo type="min"/>
        <cfvo type="max"/>
        <color rgb="FFFCFCFF"/>
        <color theme="8" tint="0.39997558519241921"/>
      </colorScale>
    </cfRule>
  </conditionalFormatting>
  <conditionalFormatting sqref="S3:S4">
    <cfRule type="colorScale" priority="45">
      <colorScale>
        <cfvo type="min"/>
        <cfvo type="max"/>
        <color rgb="FFFCFCFF"/>
        <color rgb="FF754BFB"/>
      </colorScale>
    </cfRule>
  </conditionalFormatting>
  <conditionalFormatting sqref="J3:J4">
    <cfRule type="colorScale" priority="46">
      <colorScale>
        <cfvo type="min"/>
        <cfvo type="percentile" val="50"/>
        <cfvo type="max"/>
        <color rgb="FFF8696B"/>
        <color rgb="FFFFEB84"/>
        <color rgb="FF63BE7B"/>
      </colorScale>
    </cfRule>
  </conditionalFormatting>
  <conditionalFormatting sqref="CG3:CG4">
    <cfRule type="colorScale" priority="47">
      <colorScale>
        <cfvo type="min"/>
        <cfvo type="max"/>
        <color rgb="FFFCFCFF"/>
        <color rgb="FF63BE7B"/>
      </colorScale>
    </cfRule>
  </conditionalFormatting>
  <hyperlinks>
    <hyperlink ref="A2" r:id="rId1" display="https://fbref.com/en/country/SEY/Seychelles-Football" xr:uid="{2B6D5EA3-A7A3-4110-82DD-155236040F50}"/>
    <hyperlink ref="E2" r:id="rId2" xr:uid="{9EA75408-3380-45DA-9145-DAB14EFD17D3}"/>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4337" r:id="rId6"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14338" r:id="rId7"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14339" r:id="rId8"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56B8D7-825B-460A-8334-4A2939E0A08A}">
  <sheetPr codeName="Sheet26"/>
  <dimension ref="A1:IY3"/>
  <sheetViews>
    <sheetView zoomScale="70" zoomScaleNormal="70" workbookViewId="0">
      <pane xSplit="5" ySplit="1" topLeftCell="F2" activePane="bottomRight" state="frozen"/>
      <selection pane="topRight" activeCell="F1" sqref="F1"/>
      <selection pane="bottomLeft" activeCell="A2" sqref="A2"/>
      <selection pane="bottomRight" activeCell="A3" sqref="A3"/>
    </sheetView>
  </sheetViews>
  <sheetFormatPr defaultRowHeight="38.4" customHeight="1" x14ac:dyDescent="0.3"/>
  <cols>
    <col min="1" max="1" width="52.44140625" style="81" bestFit="1" customWidth="1"/>
    <col min="2" max="2" width="10.109375" style="81" customWidth="1"/>
    <col min="3" max="3" width="7.44140625" style="82" customWidth="1"/>
    <col min="4" max="4" width="4.77734375" style="83" customWidth="1"/>
    <col min="5" max="5" width="4.5546875" style="83" customWidth="1"/>
    <col min="6" max="6" width="5.77734375" style="83" customWidth="1"/>
    <col min="7" max="7" width="7.44140625" style="81" customWidth="1"/>
    <col min="8" max="8" width="11.44140625" style="81" customWidth="1"/>
    <col min="9" max="9" width="10" style="81" customWidth="1"/>
    <col min="10" max="10" width="4.21875" style="81" customWidth="1"/>
    <col min="11" max="11" width="5.6640625" style="83" customWidth="1"/>
    <col min="12" max="12" width="2.88671875" style="83" customWidth="1"/>
    <col min="13" max="13" width="6.44140625" style="83" customWidth="1"/>
    <col min="14" max="14" width="4.5546875" style="83" customWidth="1"/>
    <col min="15" max="15" width="10.5546875" style="84" customWidth="1"/>
    <col min="16" max="16" width="6.88671875" style="83" customWidth="1"/>
    <col min="17" max="17" width="4.77734375" style="83" customWidth="1"/>
    <col min="18" max="18" width="13.109375" style="82" customWidth="1"/>
    <col min="19" max="19" width="6.77734375" style="82" customWidth="1"/>
    <col min="20" max="46" width="8.44140625" style="81" customWidth="1"/>
    <col min="47" max="47" width="24.5546875" style="81" customWidth="1"/>
    <col min="48" max="51" width="16.6640625" style="81" customWidth="1"/>
    <col min="52" max="52" width="6.5546875" style="81" customWidth="1"/>
    <col min="53" max="54" width="5.88671875" style="81" customWidth="1"/>
    <col min="55" max="55" width="1.33203125" style="81" customWidth="1"/>
    <col min="56" max="56" width="7.44140625" style="81" customWidth="1"/>
    <col min="57" max="57" width="2.33203125" style="81" customWidth="1"/>
    <col min="58" max="62" width="6.109375" style="81" customWidth="1"/>
    <col min="63" max="63" width="2.33203125" style="81" customWidth="1"/>
    <col min="64" max="64" width="7" style="81" bestFit="1" customWidth="1"/>
    <col min="65" max="65" width="6.44140625" style="81" bestFit="1" customWidth="1"/>
    <col min="66" max="66" width="7.109375" style="81" bestFit="1" customWidth="1"/>
    <col min="67" max="71" width="6.44140625" style="81" bestFit="1" customWidth="1"/>
    <col min="72" max="73" width="6.44140625" style="81" customWidth="1"/>
    <col min="74" max="75" width="13.44140625" style="81" customWidth="1"/>
    <col min="76" max="84" width="14.6640625" style="81" customWidth="1"/>
    <col min="85" max="85" width="6.44140625" style="81" customWidth="1"/>
    <col min="86" max="87" width="11.6640625" style="81" bestFit="1" customWidth="1"/>
    <col min="88" max="88" width="11.6640625" style="81" customWidth="1"/>
    <col min="89" max="89" width="12.77734375" style="81" bestFit="1" customWidth="1"/>
    <col min="90" max="90" width="16.44140625" style="82" bestFit="1" customWidth="1"/>
    <col min="91" max="92" width="14.88671875" style="82" bestFit="1" customWidth="1"/>
    <col min="93" max="93" width="16" style="82" bestFit="1" customWidth="1"/>
    <col min="94" max="97" width="7.77734375" style="81" customWidth="1"/>
    <col min="98" max="98" width="33.21875" style="81" customWidth="1"/>
    <col min="99" max="99" width="18" style="81" customWidth="1"/>
    <col min="100" max="100" width="75.6640625" style="81" customWidth="1"/>
    <col min="101" max="125" width="33" style="81" customWidth="1"/>
    <col min="126" max="126" width="8.88671875" style="81"/>
    <col min="127" max="128" width="9.44140625" style="81" bestFit="1" customWidth="1"/>
    <col min="129" max="129" width="10.77734375" style="81" bestFit="1" customWidth="1"/>
    <col min="130" max="134" width="10.77734375" style="81" customWidth="1"/>
    <col min="135" max="135" width="10.109375" style="81" bestFit="1" customWidth="1"/>
    <col min="136" max="136" width="7.77734375" style="81" bestFit="1" customWidth="1"/>
    <col min="137" max="137" width="7.77734375" style="81" customWidth="1"/>
    <col min="138" max="138" width="9" style="81" bestFit="1" customWidth="1"/>
    <col min="139" max="139" width="11.33203125" style="81" bestFit="1" customWidth="1"/>
    <col min="140" max="140" width="9.109375" style="81" bestFit="1" customWidth="1"/>
    <col min="141" max="141" width="9" style="81" bestFit="1" customWidth="1"/>
    <col min="142" max="142" width="12" style="81" bestFit="1" customWidth="1"/>
    <col min="143" max="166" width="12" style="81" customWidth="1"/>
    <col min="167" max="167" width="17.21875" style="81" customWidth="1"/>
    <col min="168" max="191" width="12" style="81" customWidth="1"/>
    <col min="192" max="192" width="8.5546875" style="81" bestFit="1" customWidth="1"/>
    <col min="193" max="193" width="8.5546875" style="81" customWidth="1"/>
    <col min="194" max="194" width="7.109375" style="81" bestFit="1" customWidth="1"/>
    <col min="195" max="195" width="7.5546875" style="81" bestFit="1" customWidth="1"/>
    <col min="196" max="196" width="8.5546875" style="81" bestFit="1" customWidth="1"/>
    <col min="197" max="200" width="8.5546875" style="81" customWidth="1"/>
    <col min="201" max="201" width="188.88671875" style="81" customWidth="1"/>
    <col min="202" max="202" width="9.5546875" style="81" bestFit="1" customWidth="1"/>
    <col min="203" max="203" width="10.44140625" style="81" bestFit="1" customWidth="1"/>
    <col min="204" max="204" width="11.109375" style="81" bestFit="1" customWidth="1"/>
    <col min="205" max="205" width="10.44140625" style="81" bestFit="1" customWidth="1"/>
    <col min="206" max="210" width="10.44140625" style="81" customWidth="1"/>
    <col min="211" max="211" width="45.44140625" style="81" customWidth="1"/>
    <col min="212" max="212" width="47.5546875" style="81" bestFit="1" customWidth="1"/>
    <col min="213" max="213" width="9.33203125" style="85" customWidth="1"/>
    <col min="214" max="214" width="119.5546875" style="81" customWidth="1"/>
    <col min="215" max="215" width="69.6640625" style="81" customWidth="1"/>
    <col min="216" max="218" width="8.88671875" style="81"/>
    <col min="219" max="219" width="37.109375" style="81" customWidth="1"/>
    <col min="220" max="220" width="16.33203125" style="81" customWidth="1"/>
    <col min="221" max="222" width="8.88671875" style="81"/>
    <col min="223" max="223" width="10.109375" style="81" bestFit="1" customWidth="1"/>
    <col min="224" max="232" width="10.88671875" style="81" customWidth="1"/>
    <col min="233" max="234" width="30.77734375" style="81" customWidth="1"/>
    <col min="235" max="235" width="5.109375" style="81" customWidth="1"/>
    <col min="236" max="236" width="3" style="81" customWidth="1"/>
    <col min="237" max="245" width="6.77734375" style="86" customWidth="1"/>
    <col min="246" max="247" width="8.88671875" style="81"/>
    <col min="248" max="248" width="61.5546875" style="81" customWidth="1"/>
    <col min="249" max="253" width="8.88671875" style="81"/>
    <col min="254" max="254" width="9" style="81" customWidth="1"/>
    <col min="255" max="16384" width="8.88671875" style="8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498</v>
      </c>
      <c r="B2" s="40" t="e" vm="122">
        <v>#VALUE!</v>
      </c>
      <c r="C2" s="41">
        <v>1</v>
      </c>
      <c r="D2" s="42" t="s">
        <v>499</v>
      </c>
      <c r="E2" s="43" t="s">
        <v>499</v>
      </c>
      <c r="F2" s="44" t="s">
        <v>163</v>
      </c>
      <c r="G2" s="45">
        <f>COUNTIF($A$1:$A$8370,A2)</f>
        <v>1</v>
      </c>
      <c r="H2" s="46"/>
      <c r="I2" s="47" t="s">
        <v>500</v>
      </c>
      <c r="J2" s="48" t="str">
        <f>""</f>
        <v/>
      </c>
      <c r="K2" s="49">
        <v>18000000</v>
      </c>
      <c r="L2" s="50">
        <v>80000</v>
      </c>
      <c r="M2" s="50" t="s">
        <v>504</v>
      </c>
      <c r="N2" s="51" t="s">
        <v>180</v>
      </c>
      <c r="O2" s="52" t="s">
        <v>390</v>
      </c>
      <c r="P2" s="53" t="s">
        <v>501</v>
      </c>
      <c r="Q2" s="54">
        <v>1</v>
      </c>
      <c r="R2" s="55" t="s">
        <v>180</v>
      </c>
      <c r="S2" s="56">
        <v>3</v>
      </c>
      <c r="T2" s="57" t="s">
        <v>164</v>
      </c>
      <c r="U2" s="58" t="s">
        <v>164</v>
      </c>
      <c r="V2" s="58" t="s">
        <v>164</v>
      </c>
      <c r="W2" s="58" t="s">
        <v>167</v>
      </c>
      <c r="X2" s="58" t="s">
        <v>164</v>
      </c>
      <c r="Y2" s="58" t="s">
        <v>164</v>
      </c>
      <c r="Z2" s="58" t="s">
        <v>164</v>
      </c>
      <c r="AA2" s="58" t="s">
        <v>164</v>
      </c>
      <c r="AB2" s="58" t="s">
        <v>164</v>
      </c>
      <c r="AC2" s="58" t="s">
        <v>164</v>
      </c>
      <c r="AD2" s="58" t="s">
        <v>164</v>
      </c>
      <c r="AE2" s="58" t="s">
        <v>164</v>
      </c>
      <c r="AF2" s="59" t="s">
        <v>164</v>
      </c>
      <c r="AG2" s="59" t="s">
        <v>164</v>
      </c>
      <c r="AH2" s="59" t="s">
        <v>164</v>
      </c>
      <c r="AI2" s="59" t="s">
        <v>164</v>
      </c>
      <c r="AJ2" s="59" t="s">
        <v>164</v>
      </c>
      <c r="AK2" s="59" t="s">
        <v>167</v>
      </c>
      <c r="AL2" s="59" t="s">
        <v>164</v>
      </c>
      <c r="AM2" s="59" t="s">
        <v>164</v>
      </c>
      <c r="AN2" s="59" t="s">
        <v>164</v>
      </c>
      <c r="AO2" s="59" t="s">
        <v>164</v>
      </c>
      <c r="AP2" s="59" t="s">
        <v>164</v>
      </c>
      <c r="AQ2" s="59" t="s">
        <v>164</v>
      </c>
      <c r="AR2" s="59" t="s">
        <v>164</v>
      </c>
      <c r="AS2" s="59" t="s">
        <v>164</v>
      </c>
      <c r="AT2" s="60">
        <v>0</v>
      </c>
      <c r="AU2" s="59"/>
      <c r="AV2" s="59" t="str">
        <f>IF(LEFT(A2,1)="[",LEFT(A2,5)&amp;AU2&amp;A2,"")</f>
        <v/>
      </c>
      <c r="AW2" s="59" t="str">
        <f t="shared" ref="AW2" si="0">C2&amp;H2&amp;A2</f>
        <v>1Chad</v>
      </c>
      <c r="AX2" s="61" t="str">
        <f>_xlfn.TEXTJOIN(";",TRUE,AU2:AW2)</f>
        <v>1Chad</v>
      </c>
      <c r="AY2" s="61"/>
      <c r="AZ2" s="62"/>
      <c r="BA2" s="62"/>
      <c r="BB2" s="62"/>
      <c r="BC2" s="63"/>
      <c r="BD2" s="64" t="s">
        <v>169</v>
      </c>
      <c r="BE2" s="47"/>
      <c r="BF2" s="64" t="s">
        <v>152</v>
      </c>
      <c r="BG2" s="64" t="s">
        <v>155</v>
      </c>
      <c r="BH2" s="64" t="s">
        <v>154</v>
      </c>
      <c r="BI2" s="64"/>
      <c r="BJ2" s="64"/>
      <c r="BK2" s="47"/>
      <c r="BL2" s="64" t="s">
        <v>152</v>
      </c>
      <c r="BM2" s="64" t="s">
        <v>155</v>
      </c>
      <c r="BN2" s="64" t="s">
        <v>154</v>
      </c>
      <c r="BO2" s="64"/>
      <c r="BP2" s="64"/>
      <c r="BQ2" s="64"/>
      <c r="BR2" s="64"/>
      <c r="BS2" s="64"/>
      <c r="BT2" s="64"/>
      <c r="BU2" s="65"/>
      <c r="BV2" s="66" t="s">
        <v>165</v>
      </c>
      <c r="BW2" s="66">
        <v>0</v>
      </c>
      <c r="BX2" s="47"/>
      <c r="BZ2" s="48" t="s">
        <v>167</v>
      </c>
      <c r="CB2" s="6" t="s">
        <v>502</v>
      </c>
      <c r="CC2" s="6"/>
      <c r="CD2" s="67">
        <v>0</v>
      </c>
      <c r="CE2" s="67">
        <v>0</v>
      </c>
      <c r="CF2" s="67" t="e">
        <v>#REF!</v>
      </c>
      <c r="CG2" s="68" cm="1">
        <f t="array" ref="CG2">SUMPRODUCT(--(LEN(TRIM(BL2:BT2))&gt;0))</f>
        <v>3</v>
      </c>
      <c r="CH2" s="59" t="str">
        <f>IF(CG2=2,"y","n")</f>
        <v>n</v>
      </c>
      <c r="CI2" s="59" t="str">
        <f>IF(CG2=3,"y","n")</f>
        <v>y</v>
      </c>
      <c r="CJ2" s="59" t="str">
        <f>IF(CG2=4,"y","n")</f>
        <v>n</v>
      </c>
      <c r="CK2" s="59" t="str">
        <f>IF(CG2&gt;4,"y","n")</f>
        <v>n</v>
      </c>
      <c r="CL2" s="59" t="str">
        <f>IF(S2=0,"y","n")</f>
        <v>n</v>
      </c>
      <c r="CM2" s="59" t="str">
        <f>IF(S2=2,"y","n")</f>
        <v>n</v>
      </c>
      <c r="CN2" s="59" t="str">
        <f>IF(S2=3,"y","n")</f>
        <v>y</v>
      </c>
      <c r="CO2" s="59" t="str">
        <f>IF(S2&gt;=4,"y","n")</f>
        <v>n</v>
      </c>
      <c r="CP2" s="59" t="str">
        <f>IF(AT2=0,"y","n")</f>
        <v>y</v>
      </c>
      <c r="CQ2" s="59" t="str">
        <f>IF(AT2=1,"y","n")</f>
        <v>n</v>
      </c>
      <c r="CR2" s="59" t="str">
        <f>IF(AT2=2,"y","n")</f>
        <v>n</v>
      </c>
      <c r="CS2" s="59" t="str">
        <f>IF(AT2&gt;=3,"y","n")</f>
        <v>n</v>
      </c>
      <c r="CT2" s="69" t="str">
        <f>CHAR(34)&amp;A2&amp;CHAR(34)</f>
        <v>"Chad"</v>
      </c>
      <c r="CU2" s="70" t="str">
        <f>CHAR(34)&amp;"rgn_"&amp;R2&amp;CHAR(34)</f>
        <v>"rgn_Africa"</v>
      </c>
      <c r="CV2" s="48" t="str">
        <f>CHAR(34)&amp;D2&amp;CHAR(34)</f>
        <v>"https://upload.wikimedia.org/wikipedia/commons/thumb/4/4b/Flag_of_Chad.svg/2560px-Flag_of_Chad.svg.png"</v>
      </c>
      <c r="CW2" s="48" t="str">
        <f>IF(CH2="y",CHAR(34)&amp;CH$1&amp;CHAR(34)&amp;",","")</f>
        <v/>
      </c>
      <c r="CX2" s="48" t="str">
        <f>IF(CI2="y",CHAR(34)&amp;CI$1&amp;CHAR(34)&amp;",","")</f>
        <v>"3Color",</v>
      </c>
      <c r="CY2" s="48" t="str">
        <f>IF(CJ2="y",CHAR(34)&amp;CJ$1&amp;CHAR(34)&amp;",","")</f>
        <v/>
      </c>
      <c r="CZ2" s="48" t="str">
        <f>IF(CK2="y",CHAR(34)&amp;CK$1&amp;CHAR(34)&amp;",","")</f>
        <v/>
      </c>
      <c r="DA2" s="48" t="str">
        <f>IF(Q2&gt;1,CHAR(34)&amp;"words2"&amp;CHAR(34)&amp;",","")</f>
        <v/>
      </c>
      <c r="DB2" s="48" t="str">
        <f>IF(Q2&gt;2,CHAR(34)&amp;"words3"&amp;CHAR(34)&amp;",","")</f>
        <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"lets04",</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"startC",</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"LUEDEL",</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
      </c>
      <c r="DS2" s="6" t="str">
        <f>IF(W2="y",IF(AND(V2="n",BY2&lt;&gt;"y"),CHAR(34)&amp;"allver"&amp;CHAR(34)&amp;",",""),"")</f>
        <v>"allver",</v>
      </c>
      <c r="DT2" s="6" t="str">
        <f>IF(V2="y",IF(AND(W2="n",BY2&lt;&gt;"y"),CHAR(34)&amp;"allhor"&amp;CHAR(34)&amp;",",""),"")</f>
        <v/>
      </c>
      <c r="DU2" s="6" t="str">
        <f>IF(BY2="y",IF(AND(W2="n",V2="n"),CHAR(34)&amp;"alldia"&amp;CHAR(34)&amp;",",""),"")</f>
        <v/>
      </c>
      <c r="DV2" s="48" t="str">
        <f>IF(IA2&lt;&gt;"",(IF(IA2="y",CHAR(34)&amp;"largec"&amp;CHAR(34)&amp;",",CHAR(34)&amp;"smallc"&amp;CHAR(34)&amp;",")),"")</f>
        <v/>
      </c>
      <c r="DW2" s="48" t="str">
        <f>IF(CL2="y",CHAR(34)&amp;CL$1&amp;CHAR(34)&amp;",","")</f>
        <v/>
      </c>
      <c r="DX2" s="48" t="str">
        <f>IF(CM2="y",CHAR(34)&amp;CM$1&amp;CHAR(34)&amp;",","")</f>
        <v/>
      </c>
      <c r="DY2" s="48" t="str">
        <f>IF(CN2="y",CHAR(34)&amp;CN$1&amp;CHAR(34)&amp;",","")</f>
        <v>"3Bands",</v>
      </c>
      <c r="DZ2" s="48" t="str">
        <f>IF(CO2="y",CHAR(34)&amp;CO$1&amp;CHAR(34)&amp;",","")</f>
        <v/>
      </c>
      <c r="EA2" s="48" t="str">
        <f>IF(T2="y",CHAR(34)&amp;T$1&amp;CHAR(34)&amp;",","")</f>
        <v/>
      </c>
      <c r="EB2" s="48" t="str">
        <f>IF(U2="y",CHAR(34)&amp;U$1&amp;CHAR(34)&amp;",","")</f>
        <v/>
      </c>
      <c r="EC2" s="48" t="str">
        <f>IF(V2="y",CHAR(34)&amp;V$1&amp;CHAR(34)&amp;",","")</f>
        <v/>
      </c>
      <c r="ED2" s="48" t="str">
        <f>IF(W2="y",CHAR(34)&amp;W$1&amp;CHAR(34)&amp;",","")</f>
        <v>"Vertic",</v>
      </c>
      <c r="EE2" s="48" t="str">
        <f>IF(X2="y",CHAR(34)&amp;X$1&amp;CHAR(34)&amp;",","")</f>
        <v/>
      </c>
      <c r="EF2" s="48" t="str">
        <f>IF(AND(Y2&lt;&gt;"n",Y2&lt;&gt;""),CHAR(34)&amp;Y$1&amp;CHAR(34)&amp;",","")</f>
        <v/>
      </c>
      <c r="EG2" s="48" t="str">
        <f>IF(Z2="y",CHAR(34)&amp;Z$1&amp;CHAR(34)&amp;",","")</f>
        <v/>
      </c>
      <c r="EH2" s="48" t="str">
        <f>IF(AA2="y",CHAR(34)&amp;AA$1&amp;CHAR(34)&amp;",","")</f>
        <v/>
      </c>
      <c r="EI2" s="48" t="str">
        <f>IF(AB2="y",CHAR(34)&amp;AB$1&amp;CHAR(34)&amp;",","")</f>
        <v/>
      </c>
      <c r="EJ2" s="48" t="str">
        <f>IF(AC2="y",CHAR(34)&amp;AC$1&amp;CHAR(34)&amp;",","")</f>
        <v/>
      </c>
      <c r="EK2" s="48" t="str">
        <f>IF(AD2="y",CHAR(34)&amp;AD$1&amp;CHAR(34)&amp;",","")</f>
        <v/>
      </c>
      <c r="EL2" s="48" t="str">
        <f>IF(AE2="y",CHAR(34)&amp;AE$1&amp;CHAR(34)&amp;",","")</f>
        <v/>
      </c>
      <c r="EM2" s="48" t="str">
        <f>IF(AF2="y",CHAR(34)&amp;AF$1&amp;CHAR(34)&amp;",","")</f>
        <v/>
      </c>
      <c r="EN2" s="48" t="str">
        <f>IF(AG2="y",CHAR(34)&amp;AG$1&amp;CHAR(34)&amp;",","")</f>
        <v/>
      </c>
      <c r="EO2" s="48" t="str">
        <f>IF(AH2="y",CHAR(34)&amp;AH$1&amp;CHAR(34)&amp;",","")</f>
        <v/>
      </c>
      <c r="EP2" s="48" t="str">
        <f>IF(AI2="y",CHAR(34)&amp;AI$1&amp;CHAR(34)&amp;",","")</f>
        <v/>
      </c>
      <c r="EQ2" s="48" t="str">
        <f>IF(AJ2="y",CHAR(34)&amp;AJ$1&amp;CHAR(34)&amp;",","")</f>
        <v/>
      </c>
      <c r="ER2" s="48" t="str">
        <f>IF(AK2="y",CHAR(34)&amp;AK$1&amp;CHAR(34)&amp;",","")</f>
        <v>"OnlyBa",</v>
      </c>
      <c r="ES2" s="48" t="str">
        <f>IF(AL2="y",CHAR(34)&amp;AL$1&amp;CHAR(34)&amp;",","")</f>
        <v/>
      </c>
      <c r="ET2" s="48" t="str">
        <f>IF(AM2="y",CHAR(34)&amp;AM$1&amp;CHAR(34)&amp;",","")</f>
        <v/>
      </c>
      <c r="EU2" s="48" t="str">
        <f>IF(AN2="y",CHAR(34)&amp;AN$1&amp;CHAR(34)&amp;",","")</f>
        <v/>
      </c>
      <c r="EV2" s="48" t="str">
        <f>IF(AO2="y",CHAR(34)&amp;AO$1&amp;CHAR(34)&amp;",","")</f>
        <v/>
      </c>
      <c r="EW2" s="48" t="str">
        <f>IF(AP2="y",CHAR(34)&amp;AP$1&amp;CHAR(34)&amp;",","")</f>
        <v/>
      </c>
      <c r="EX2" s="48" t="str">
        <f>IF(AQ2="y",CHAR(34)&amp;AQ$1&amp;CHAR(34)&amp;",","")</f>
        <v/>
      </c>
      <c r="EY2" s="48" t="str">
        <f>IF(AR2="y",CHAR(34)&amp;AR$1&amp;CHAR(34)&amp;",","")</f>
        <v/>
      </c>
      <c r="EZ2" s="48" t="str">
        <f>IF(AS2="y",CHAR(34)&amp;AS$1&amp;CHAR(34)&amp;",","")</f>
        <v/>
      </c>
      <c r="FA2" s="48" t="str">
        <f>IF(AT2&gt;0,CHAR(34)&amp;"sta"&amp;AZ2&amp;CHAR(34)&amp;",","")</f>
        <v/>
      </c>
      <c r="FB2" s="48" t="str">
        <f>IF(AND(AT2&gt;0,BA2&lt;&gt;""),CHAR(34)&amp;"sta"&amp;BA2&amp;CHAR(34)&amp;",","")</f>
        <v/>
      </c>
      <c r="FC2" s="48" t="str">
        <f>IF(AND(AT2&gt;0,BB2&lt;&gt;""),CHAR(34)&amp;"sta"&amp;BB2&amp;CHAR(34)&amp;",","")</f>
        <v/>
      </c>
      <c r="FD2" s="48" t="str">
        <f>IF(BV2="n",CHAR(34)&amp;"tcWHYE"&amp;CHAR(34)&amp;",",IF(BV2="y",CHAR(34)&amp;FD$1&amp;CHAR(34)&amp;",",""))</f>
        <v/>
      </c>
      <c r="FE2" s="48" t="str">
        <f>IF(COUNTIF(BL2:BT2,"BLU")=0,CHAR(34)&amp;"NO_BLU"&amp;CHAR(34)&amp;",", "")</f>
        <v/>
      </c>
      <c r="FF2" s="48" t="str">
        <f>IF(COUNTIF(BL2:BT2,"WHI")=0,CHAR(34)&amp;"NO_WHI"&amp;CHAR(34)&amp;",", "")</f>
        <v>"NO_WHI",</v>
      </c>
      <c r="FG2" s="48" t="str">
        <f>IF(COUNTIF(BL2:BT2,"RED")=0,CHAR(34)&amp;"NO_RED"&amp;CHAR(34)&amp;",", "")</f>
        <v/>
      </c>
      <c r="FH2" s="48" t="str">
        <f>IF(COUNTIF(BL2:BS2,"GRE")=0,CHAR(34)&amp;"NO_GRE"&amp;CHAR(34)&amp;",", "")</f>
        <v>"NO_GRE",</v>
      </c>
      <c r="FI2" s="48" t="str">
        <f>IF(COUNTIF(BL2:BT2,"YEL")=0,CHAR(34)&amp;"NO_YEL"&amp;CHAR(34)&amp;",", "")</f>
        <v/>
      </c>
      <c r="FJ2" s="48" t="str">
        <f>IF(COUNTIF(BL2:BT2,"BLA")=0,CHAR(34)&amp;"NO_BLA"&amp;CHAR(34)&amp;",", "")</f>
        <v>"NO_BLA",</v>
      </c>
      <c r="FK2" s="48" t="str">
        <f>IF(AND(FH2&lt;&gt;"",FF2&lt;&gt;""),CHAR(34)&amp;"WHGRNO"&amp;CHAR(34)&amp;",","")</f>
        <v>"WHGRNO",</v>
      </c>
      <c r="FL2" s="48" t="str">
        <f>IF(AND(FI2&lt;&gt;"",FF2&lt;&gt;""),CHAR(34)&amp;"WHYENO"&amp;CHAR(34)&amp;",","")</f>
        <v/>
      </c>
      <c r="FM2" s="48" t="str">
        <f>IF(AND(FJ2&lt;&gt;"",FF2&lt;&gt;""),CHAR(34)&amp;"BAWHNO"&amp;CHAR(34)&amp;",","")</f>
        <v>"BAWHNO",</v>
      </c>
      <c r="FN2" s="48" t="str">
        <f>IF(AND(FE2&lt;&gt;"",FF2&lt;&gt;""),CHAR(34)&amp;"BLWHNO"&amp;CHAR(34)&amp;",","")</f>
        <v/>
      </c>
      <c r="FO2" s="48" t="str">
        <f>IF(AND(FE2&lt;&gt;"",FG2&lt;&gt;""),CHAR(34)&amp;"BLRENO"&amp;CHAR(34)&amp;",","")</f>
        <v/>
      </c>
      <c r="FP2" s="48" t="str">
        <f>IF(AND(FF2&lt;&gt;"",FF2&lt;&gt;""),CHAR(34)&amp;"WHRENO"&amp;CHAR(34)&amp;",","")</f>
        <v>"WHRENO",</v>
      </c>
      <c r="FQ2" s="48" t="str">
        <f>IF(LEN(BF2)=3,CHAR(34)&amp;"001"&amp;BF2&amp;CHAR(34)&amp;",","")</f>
        <v>"001BLU",</v>
      </c>
      <c r="FR2" s="48" t="str">
        <f>IF(LEN(BG2)=3,CHAR(34)&amp;"002"&amp;BG2&amp;CHAR(34)&amp;",","")</f>
        <v>"002YEL",</v>
      </c>
      <c r="FS2" s="48" t="str">
        <f>IF(LEN(BH2)=3,CHAR(34)&amp;"003"&amp;BH2&amp;CHAR(34)&amp;",","")</f>
        <v>"003RED",</v>
      </c>
      <c r="FT2" s="48" t="str">
        <f>CHAR(34)&amp;"myr"&amp;BD2&amp;CHAR(34)&amp;","</f>
        <v>"myrEQ",</v>
      </c>
      <c r="FU2" s="48" t="str">
        <f>IF(AY2="y",CHAR(34)&amp;"island"&amp;CHAR(34)&amp;",","")</f>
        <v/>
      </c>
      <c r="FV2" s="48" t="str">
        <f>IF(BZ2="y",CHAR(34)&amp;"landlo"&amp;CHAR(34)&amp;",","")</f>
        <v>"landlo",</v>
      </c>
      <c r="FW2" s="48" t="str">
        <f>IF(CA2="y",CHAR(34)&amp;"eunion"&amp;CHAR(34)&amp;",","")</f>
        <v/>
      </c>
      <c r="FX2" s="48" t="str">
        <f>SUBSTITUTE(IFERROR(SEARCH("[",A2),IFERROR(IF(AND(CA2&lt;&gt;"y",SEARCH("Europe",R2)&gt;0),CHAR(34)&amp;"noeuni"&amp;CHAR(34)&amp;",",""),"")),"1","")</f>
        <v/>
      </c>
      <c r="FY2" s="48" t="str">
        <f>IFERROR(IF(SEARCH("Arabic",CB2)&gt;0,CHAR(34)&amp;"arabic"&amp;CHAR(34)&amp;",",""),"")</f>
        <v>"arabic",</v>
      </c>
      <c r="FZ2" s="48" t="str">
        <f>IFERROR(IF(SEARCH("English",CB2)&gt;0,CHAR(34)&amp;"englis"&amp;CHAR(34)&amp;",",""),"")</f>
        <v/>
      </c>
      <c r="GA2" s="48" t="str">
        <f>IFERROR(IF(SEARCH("French",CB2)&gt;0,CHAR(34)&amp;"french"&amp;CHAR(34)&amp;",",""),"")</f>
        <v>"french",</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"NoStar",</v>
      </c>
      <c r="GK2" s="48" t="str">
        <f>IF(GJ2="",CHAR(34)&amp;"HasSta"&amp;CHAR(34)&amp;",","")</f>
        <v/>
      </c>
      <c r="GL2" s="48" t="str">
        <f>IF(CQ2="y",CHAR(34)&amp;CQ$1&amp;CHAR(34)&amp;",","")</f>
        <v/>
      </c>
      <c r="GM2" s="48" t="str">
        <f>IF(CR2="y",CHAR(34)&amp;CR$1&amp;CHAR(34)&amp;",","")</f>
        <v/>
      </c>
      <c r="GN2" s="48" t="str">
        <f>IF(CS2="y",CHAR(34)&amp;CS$1&amp;CHAR(34)&amp;",","")</f>
        <v/>
      </c>
      <c r="GP2" s="48" t="str">
        <f>CHAR(34)&amp;AU2&amp;CHAR(34)</f>
        <v>""</v>
      </c>
      <c r="GS2" s="48" t="str">
        <f>SUBSTITUTE("["&amp;_xlfn.CONCAT(CW2:GN2)&amp;"]",",]","]")</f>
        <v>["3Color","lets04","startC","LUEDEL","year19","allver","3Bands","Vertic","OnlyBa","NO_WHI","NO_GRE","NO_BLA","WHGRNO","BAWHNO","WHRENO","001BLU","002YEL","003RED","myrEQ","landlo","arabic","french","NoStar"]</v>
      </c>
      <c r="GT2" s="48" t="str">
        <f>IF(BL2&lt;&gt;"",CHAR(34)&amp;"cl_"&amp;BL2&amp;CHAR(34)&amp;",","")</f>
        <v>"cl_BLU",</v>
      </c>
      <c r="GU2" s="48" t="str">
        <f>IF(BM2&lt;&gt;"",CHAR(34)&amp;"cl_"&amp;BM2&amp;CHAR(34)&amp;",","")</f>
        <v>"cl_YEL",</v>
      </c>
      <c r="GV2" s="48" t="str">
        <f>IF(BN2&lt;&gt;"",CHAR(34)&amp;"cl_"&amp;BN2&amp;CHAR(34)&amp;",","")</f>
        <v>"cl_RED",</v>
      </c>
      <c r="GW2" s="48" t="str">
        <f>IF(BO2&lt;&gt;"",CHAR(34)&amp;"cl_"&amp;BO2&amp;CHAR(34)&amp;",","")</f>
        <v/>
      </c>
      <c r="GX2" s="48" t="str">
        <f>IF(BP2&lt;&gt;"",CHAR(34)&amp;"cl_"&amp;BP2&amp;CHAR(34)&amp;",","")</f>
        <v/>
      </c>
      <c r="GY2" s="48" t="str">
        <f>IF(BQ2&lt;&gt;"",CHAR(34)&amp;"cl_"&amp;BQ2&amp;CHAR(34)&amp;",","")</f>
        <v/>
      </c>
      <c r="GZ2" s="48" t="str">
        <f>IF(BR2&lt;&gt;"",CHAR(34)&amp;"cl_"&amp;BR2&amp;CHAR(34)&amp;",","")</f>
        <v/>
      </c>
      <c r="HA2" s="48" t="str">
        <f>IF(BS2&lt;&gt;"",CHAR(34)&amp;"cl_"&amp;BS2&amp;CHAR(34)&amp;",","")</f>
        <v/>
      </c>
      <c r="HB2" s="48" t="str">
        <f>IF(BT2&lt;&gt;"",CHAR(34)&amp;"cl_"&amp;BT2&amp;CHAR(34)&amp;",","")</f>
        <v/>
      </c>
      <c r="HC2" s="48" t="str">
        <f>SUBSTITUTE("["&amp;_xlfn.CONCAT(GT2:HB2)&amp;"]",",]","]")</f>
        <v>["cl_BLU","cl_YEL","cl_RED"]</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{couname:"Chad",year:"1959 ",region:"rgn_Africa",Colors:["cl_BLU","cl_YEL","cl_RED"],Items:["3Color","lets04","startC","LUEDEL","year19","allver","3Bands","Vertic","OnlyBa","NO_WHI","NO_GRE","NO_BLA","WHGRNO","BAWHNO","WHRENO","001BLU","002YEL","003RED","myrEQ","landlo","arabic","french","NoStar"],Flag:"https://upload.wikimedia.org/wikipedia/commons/thumb/4/4b/Flag_of_Chad.svg/2560px-Flag_of_Chad.svg.png",HDFlag:"https://upload.wikimedia.org/wikipedia/commons/thumb/4/4b/Flag_of_Chad.svg/2560px-Flag_of_Chad.svg.png",type:"", describe: "\nChad’s flag has a design similar to Romania’s because it was partially influenced by the Romanian flag during its period as a French colony. The flag was adopted in 1959 when Chad gained independence from France. The blue symbolizes the sky and hope, the yellow represents the desert and the sun, and the red represents progress and unity.", isnew:".", links: "https://en.wikipedia.org/wiki/Flag_of_Chad"},</v>
      </c>
      <c r="HG2" s="73" t="str">
        <f>"{couname:"&amp;CT2&amp;(IF(HK2&lt;&gt;"",",subtype:"&amp;CHAR(34)&amp;HK2&amp;CHAR(34),""))&amp;",year:"&amp;HJ2&amp;",region:"&amp;CU2&amp;",Colors:"&amp;HC2&amp;",Items:"&amp;GS2&amp;",Flag:"&amp;CV2&amp;",HDFlag:"&amp;CHAR(34)&amp;E2&amp;CHAR(34)&amp;",type:"&amp;GP2&amp;", describe: "&amp;HI2&amp;", links: "&amp;HL2&amp;"},"</f>
        <v>{couname:"Chad",year:"1959 ",region:"rgn_Africa",Colors:["cl_BLU","cl_YEL","cl_RED"],Items:["3Color","lets04","startC","LUEDEL","year19","allver","3Bands","Vertic","OnlyBa","NO_WHI","NO_GRE","NO_BLA","WHGRNO","BAWHNO","WHRENO","001BLU","002YEL","003RED","myrEQ","landlo","arabic","french","NoStar"],Flag:"https://upload.wikimedia.org/wikipedia/commons/thumb/4/4b/Flag_of_Chad.svg/2560px-Flag_of_Chad.svg.png",HDFlag:"https://upload.wikimedia.org/wikipedia/commons/thumb/4/4b/Flag_of_Chad.svg/2560px-Flag_of_Chad.svg.png",type:"", describe: "\nChad’s flag has a design similar to Romania’s because it was partially influenced by the Romanian flag during its period as a French colony. The flag was adopted in 1959 when Chad gained independence from France. The blue symbolizes the sky and hope, the yellow represents the desert and the sun, and the red represents progress and unity.", links: "https://en.wikipedia.org/wiki/Flag_of_Chad"},</v>
      </c>
      <c r="HH2" s="48" t="str">
        <f>IF(P2&lt;&gt;"",CHAR(34)&amp;"\n"&amp;P2&amp;CHAR(34),CHAR(34)&amp;CHAR(34))</f>
        <v>"\nChad’s flag has a design similar to Romania’s because it was partially influenced by the Romanian flag during its period as a French colony. The flag was adopted in 1959 when Chad gained independence from France. The blue symbolizes the sky and hope, the yellow represents the desert and the sun, and the red represents progress and unity."</v>
      </c>
      <c r="HI2" s="48" t="str">
        <f>IF(J2=0,CHAR(34)&amp;CHAR(34),HH2)</f>
        <v>"\nChad’s flag has a design similar to Romania’s because it was partially influenced by the Romanian flag during its period as a French colony. The flag was adopted in 1959 when Chad gained independence from France. The blue symbolizes the sky and hope, the yellow represents the desert and the sun, and the red represents progress and unity."</v>
      </c>
      <c r="HJ2" s="48" t="str">
        <f>CHAR(34)&amp;O2&amp;CHAR(34)</f>
        <v>"1959 "</v>
      </c>
      <c r="HL2" s="48" t="str">
        <f>CHAR(34)&amp;I2&amp;CHAR(34)</f>
        <v>"https://en.wikipedia.org/wiki/Flag_of_Chad"</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{"couname":"Chad","year":"1959 ","region":"rgn_Africa","Colors":["cl_BLU","cl_YEL","cl_RED"],"Items":["3Color","lets04","startC","LUEDEL","year19","allver","3Bands","Vertic","OnlyBa","NO_WHI","NO_GRE","NO_BLA","WHGRNO","BAWHNO","WHRENO","001BLU","002YEL","003RED","myrEQ","landlo","arabic","french","NoStar"],"Flag":"https://upload.wikimedia.org/wikipedia/commons/thumb/4/4b/Flag_of_Chad.svg/2560px-Flag_of_Chad.svg.png","HDFlag":"https://upload.wikimedia.org/wikipedia/commons/thumb/4/4b/Flag_of_Chad.svg/2560px-Flag_of_Chad.svg.png","type":"", "describe": "\nChad’s flag has a design similar to Romania’s because it was partially influenced by the Romanian flag during its period as a French colony. The flag was adopted in 1959 when Chad gained independence from France. The blue symbolizes the sky and hope, the yellow represents the desert and the sun, and the red represents progress and unity.", "isnew": ".", "links": "https://en.wikipedia.org/wiki/Flag_of_Chad"},</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{"couname":"Chad","year":"1959 ","region":"rgn_Africa","Colors":["cl_BLU","cl_YEL","cl_RED"],"Items":["3Color","lets04","startC","LUEDEL","year19","allver","3Bands","Vertic","OnlyBa","NO_WHI","NO_GRE","NO_BLA","WHGRNO","BAWHNO","WHRENO","001BLU","002YEL","003RED","myrEQ","landlo","arabic","french","NoStar"],"Flag":"https://upload.wikimedia.org/wikipedia/commons/thumb/4/4b/Flag_of_Chad.svg/2560px-Flag_of_Chad.svg.png","HDFlag":"https://upload.wikimedia.org/wikipedia/commons/thumb/4/4b/Flag_of_Chad.svg/2560px-Flag_of_Chad.svg.png","type":"", "describe": "\nChad’s flag has a design similar to Romania’s because it was partially influenced by the Romanian flag during its period as a French colony. The flag was adopted in 1959 when Chad gained independence from France. The blue symbolizes the sky and hope, the yellow represents the desert and the sun, and the red represents progress and unity.", "isnew": ".", "links": "https://en.wikipedia.org/wiki/Flag_of_Chad"},</v>
      </c>
      <c r="HO2" s="75"/>
      <c r="HP2" s="48" t="str" cm="1">
        <f t="array" ref="HP2">IF(_xlfn.TEXTJOIN(", ", TRUE, IF(ISNUMBER(SEARCH("BLA", BL2:BT2)), COLUMN(BL2:BT2) - COLUMN(BL2) + 1, ""))&lt;&gt;"","BLA","")</f>
        <v/>
      </c>
      <c r="HQ2" s="48" t="str" cm="1">
        <f t="array" ref="HQ2">IF(_xlfn.TEXTJOIN(", ", TRUE, IF(ISNUMBER(SEARCH("BLU", BL2:BT2)), COLUMN(BL2:BT2) - COLUMN(BL2) + 1, ""))&lt;&gt;"","BLU","")</f>
        <v>BLU</v>
      </c>
      <c r="HR2" s="48" t="str" cm="1">
        <f t="array" ref="HR2">IF(_xlfn.TEXTJOIN(", ", TRUE, IF(ISNUMBER(SEARCH("GRE", BL2:BT2)), COLUMN(BL2:BT2) - COLUMN(BL2) + 1, ""))&lt;&gt;"","GRE","")</f>
        <v/>
      </c>
      <c r="HS2" s="48" t="str" cm="1">
        <f t="array" ref="HS2">IF(_xlfn.TEXTJOIN(", ", TRUE, IF(ISNUMBER(SEARCH("RED", BL2:BT2)), COLUMN(BL2:BT2) - COLUMN(BL2) + 1, ""))&lt;&gt;"","RED","")</f>
        <v>RED</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
      </c>
      <c r="HY2" s="76"/>
      <c r="HZ2" s="76"/>
      <c r="IA2" s="6"/>
      <c r="IB2" s="6"/>
      <c r="IC2" s="77"/>
      <c r="ID2" s="77"/>
      <c r="IE2" s="77"/>
      <c r="IF2" s="77"/>
      <c r="IG2" s="77"/>
      <c r="IH2" s="77"/>
      <c r="II2" s="77"/>
      <c r="IJ2" s="77"/>
      <c r="IK2" s="77"/>
      <c r="IL2" s="48">
        <f>SUM(IC2:IK2)</f>
        <v>0</v>
      </c>
      <c r="IM2" s="45">
        <f>COUNTIF(IC2:IK2,"&gt;0")-CG2</f>
        <v>-3</v>
      </c>
      <c r="IN2" s="78" t="str">
        <f>"http://mkweb.bcgsc.ca/color-summarizer/?url="&amp;D2&amp;"&amp;precision=low&amp;num_clusters="&amp;CG2&amp;"&amp;text=1"</f>
        <v>http://mkweb.bcgsc.ca/color-summarizer/?url=https://upload.wikimedia.org/wikipedia/commons/thumb/4/4b/Flag_of_Chad.svg/2560px-Flag_of_Chad.svg.png&amp;precision=low&amp;num_clusters=3&amp;text=1</v>
      </c>
      <c r="IO2" s="48" t="str">
        <f>IF(HP2&lt;&gt;"",CHAR(34)&amp;"black"&amp;CHAR(34),"")</f>
        <v/>
      </c>
      <c r="IP2" s="48" t="str">
        <f>IF(HQ2&lt;&gt;"",CHAR(34)&amp;"blue"&amp;CHAR(34),"")</f>
        <v>"blue"</v>
      </c>
      <c r="IQ2" s="48" t="str">
        <f>IF(HR2&lt;&gt;"",CHAR(34)&amp;"green"&amp;CHAR(34),"")</f>
        <v/>
      </c>
      <c r="IR2" s="48" t="str">
        <f>IF(HS2&lt;&gt;"",CHAR(34)&amp;"red"&amp;CHAR(34),"")</f>
        <v>"red"</v>
      </c>
      <c r="IS2" s="48" t="str">
        <f>IF(HT2&lt;&gt;"",CHAR(34)&amp;"yellow"&amp;CHAR(34),"")</f>
        <v>"yellow"</v>
      </c>
      <c r="IT2" s="48" t="str">
        <f>IF(HU2&lt;&gt;"",CHAR(34)&amp;"orange"&amp;CHAR(34),"")</f>
        <v/>
      </c>
      <c r="IU2" s="48" t="str">
        <f>IF(HV2&lt;&gt;"",CHAR(34)&amp;"brown"&amp;CHAR(34),"")</f>
        <v/>
      </c>
      <c r="IV2" s="48" t="str">
        <f>IF(HW2&lt;&gt;"",CHAR(34)&amp;"purple"&amp;CHAR(34),"")</f>
        <v/>
      </c>
      <c r="IW2" s="48" t="str">
        <f>IF(HX2&lt;&gt;"",CHAR(34)&amp;"white"&amp;CHAR(34),"")</f>
        <v/>
      </c>
      <c r="IX2" s="48" t="str">
        <f>"{"&amp;CHAR(34)&amp;"url"&amp;CHAR(34)&amp;":"&amp;CHAR(34)&amp;IN2&amp;CHAR(34)&amp;","&amp;CHAR(34)&amp;"name"&amp;CHAR(34)&amp;":"&amp;CHAR(34)&amp;A2&amp;CHAR(34)&amp;"},"</f>
        <v>{"url":"http://mkweb.bcgsc.ca/color-summarizer/?url=https://upload.wikimedia.org/wikipedia/commons/thumb/4/4b/Flag_of_Chad.svg/2560px-Flag_of_Chad.svg.png&amp;precision=low&amp;num_clusters=3&amp;text=1","name":"Chad"},</v>
      </c>
      <c r="IY2" s="48">
        <v>44</v>
      </c>
    </row>
    <row r="3" spans="1:259" s="48" customFormat="1" ht="38.4" customHeight="1" thickBot="1" x14ac:dyDescent="0.35">
      <c r="A3" s="80" t="s">
        <v>492</v>
      </c>
      <c r="B3" s="40" t="e" vm="123">
        <v>#VALUE!</v>
      </c>
      <c r="C3" s="41" t="s">
        <v>173</v>
      </c>
      <c r="D3" s="42" t="s">
        <v>493</v>
      </c>
      <c r="E3" s="43" t="s">
        <v>494</v>
      </c>
      <c r="F3" s="44" t="s">
        <v>163</v>
      </c>
      <c r="G3" s="45">
        <f>COUNTIF($A$1:$A$8384,A3)</f>
        <v>1</v>
      </c>
      <c r="H3" s="46" t="s">
        <v>503</v>
      </c>
      <c r="I3" s="47" t="s">
        <v>495</v>
      </c>
      <c r="J3" s="48" t="str">
        <f>""</f>
        <v/>
      </c>
      <c r="K3" s="49"/>
      <c r="L3" s="50"/>
      <c r="M3" s="50"/>
      <c r="N3" s="51" t="s">
        <v>180</v>
      </c>
      <c r="O3" s="52" t="s">
        <v>170</v>
      </c>
      <c r="P3" s="53" t="s">
        <v>496</v>
      </c>
      <c r="Q3" s="54">
        <v>2</v>
      </c>
      <c r="R3" s="55" t="s">
        <v>180</v>
      </c>
      <c r="S3" s="56">
        <v>2</v>
      </c>
      <c r="T3" s="57" t="s">
        <v>164</v>
      </c>
      <c r="U3" s="58" t="s">
        <v>164</v>
      </c>
      <c r="V3" s="58" t="s">
        <v>167</v>
      </c>
      <c r="W3" s="58" t="s">
        <v>164</v>
      </c>
      <c r="X3" s="58" t="s">
        <v>164</v>
      </c>
      <c r="Y3" s="58" t="s">
        <v>164</v>
      </c>
      <c r="Z3" s="58" t="s">
        <v>164</v>
      </c>
      <c r="AA3" s="58" t="s">
        <v>164</v>
      </c>
      <c r="AB3" s="58" t="s">
        <v>164</v>
      </c>
      <c r="AC3" s="58" t="s">
        <v>164</v>
      </c>
      <c r="AD3" s="58" t="s">
        <v>164</v>
      </c>
      <c r="AE3" s="58" t="s">
        <v>164</v>
      </c>
      <c r="AF3" s="59" t="s">
        <v>164</v>
      </c>
      <c r="AG3" s="59" t="s">
        <v>164</v>
      </c>
      <c r="AH3" s="59" t="s">
        <v>167</v>
      </c>
      <c r="AI3" s="59" t="s">
        <v>164</v>
      </c>
      <c r="AJ3" s="59" t="s">
        <v>164</v>
      </c>
      <c r="AK3" s="59" t="s">
        <v>164</v>
      </c>
      <c r="AL3" s="59" t="s">
        <v>164</v>
      </c>
      <c r="AM3" s="59" t="s">
        <v>164</v>
      </c>
      <c r="AN3" s="59" t="s">
        <v>164</v>
      </c>
      <c r="AO3" s="59" t="s">
        <v>164</v>
      </c>
      <c r="AP3" s="59" t="s">
        <v>164</v>
      </c>
      <c r="AQ3" s="59" t="s">
        <v>164</v>
      </c>
      <c r="AR3" s="59" t="s">
        <v>164</v>
      </c>
      <c r="AS3" s="59" t="s">
        <v>164</v>
      </c>
      <c r="AT3" s="60">
        <v>1</v>
      </c>
      <c r="AU3" s="59" t="s">
        <v>497</v>
      </c>
      <c r="AV3" s="59" t="str">
        <f>IF(LEFT(A3,1)="[",LEFT(A3,5)&amp;AU3&amp;A3,"")</f>
        <v>[TCD]People[TCD] Toubou People (Chad)</v>
      </c>
      <c r="AW3" s="59" t="str">
        <f t="shared" ref="AW3" si="1">C3&amp;H3&amp;A3</f>
        <v>3b[TCD] Other[TCD] Toubou People (Chad)</v>
      </c>
      <c r="AX3" s="61"/>
      <c r="AY3" s="61"/>
      <c r="AZ3" s="62" t="s">
        <v>151</v>
      </c>
      <c r="BA3" s="62"/>
      <c r="BB3" s="62"/>
      <c r="BC3" s="63"/>
      <c r="BD3" s="64"/>
      <c r="BE3" s="47"/>
      <c r="BF3" s="64" t="s">
        <v>152</v>
      </c>
      <c r="BG3" s="64"/>
      <c r="BH3" s="64" t="s">
        <v>155</v>
      </c>
      <c r="BI3" s="64"/>
      <c r="BJ3" s="64"/>
      <c r="BK3" s="47"/>
      <c r="BL3" s="64" t="s">
        <v>152</v>
      </c>
      <c r="BM3" s="64" t="s">
        <v>155</v>
      </c>
      <c r="BN3" s="64" t="s">
        <v>151</v>
      </c>
      <c r="BO3" s="64"/>
      <c r="BP3" s="64"/>
      <c r="BQ3" s="64"/>
      <c r="BR3" s="64"/>
      <c r="BS3" s="64"/>
      <c r="BT3" s="64"/>
      <c r="BU3" s="65"/>
      <c r="BV3" s="66"/>
      <c r="BW3" s="66">
        <v>0</v>
      </c>
      <c r="BX3" s="47"/>
      <c r="CB3" s="6"/>
      <c r="CC3" s="6"/>
      <c r="CD3" s="67">
        <v>0</v>
      </c>
      <c r="CE3" s="67">
        <v>0</v>
      </c>
      <c r="CF3" s="67" t="e">
        <v>#REF!</v>
      </c>
      <c r="CG3" s="68" cm="1">
        <f t="array" ref="CG3">SUMPRODUCT(--(LEN(TRIM(BL3:BT3))&gt;0))</f>
        <v>3</v>
      </c>
      <c r="CH3" s="59" t="str">
        <f>IF(CG3=2,"y","n")</f>
        <v>n</v>
      </c>
      <c r="CI3" s="59" t="str">
        <f>IF(CG3=3,"y","n")</f>
        <v>y</v>
      </c>
      <c r="CJ3" s="59" t="str">
        <f>IF(CG3=4,"y","n")</f>
        <v>n</v>
      </c>
      <c r="CK3" s="59" t="str">
        <f>IF(CG3&gt;4,"y","n")</f>
        <v>n</v>
      </c>
      <c r="CL3" s="59" t="str">
        <f>IF(S3=0,"y","n")</f>
        <v>n</v>
      </c>
      <c r="CM3" s="59" t="str">
        <f>IF(S3=2,"y","n")</f>
        <v>y</v>
      </c>
      <c r="CN3" s="59" t="str">
        <f>IF(S3=3,"y","n")</f>
        <v>n</v>
      </c>
      <c r="CO3" s="59" t="str">
        <f>IF(S3&gt;=4,"y","n")</f>
        <v>n</v>
      </c>
      <c r="CP3" s="59" t="str">
        <f>IF(AT3=0,"y","n")</f>
        <v>n</v>
      </c>
      <c r="CQ3" s="59" t="str">
        <f>IF(AT3=1,"y","n")</f>
        <v>y</v>
      </c>
      <c r="CR3" s="59" t="str">
        <f>IF(AT3=2,"y","n")</f>
        <v>n</v>
      </c>
      <c r="CS3" s="59" t="str">
        <f>IF(AT3&gt;=3,"y","n")</f>
        <v>n</v>
      </c>
      <c r="CT3" s="69" t="str">
        <f>CHAR(34)&amp;A3&amp;CHAR(34)</f>
        <v>"[TCD] Toubou People (Chad)"</v>
      </c>
      <c r="CU3" s="70" t="str">
        <f>CHAR(34)&amp;"rgn_"&amp;R3&amp;CHAR(34)</f>
        <v>"rgn_Africa"</v>
      </c>
      <c r="CV3" s="48" t="str">
        <f>CHAR(34)&amp;D3&amp;CHAR(34)</f>
        <v>"https://upload.wikimedia.org/wikipedia/commons/thumb/c/c2/Flag_of_the_Toubou_people.svg/640px-Flag_of_the_Toubou_people.svg.png"</v>
      </c>
      <c r="CW3" s="48" t="str">
        <f>IF(CH3="y",CHAR(34)&amp;CH$1&amp;CHAR(34)&amp;",","")</f>
        <v/>
      </c>
      <c r="CX3" s="48" t="str">
        <f>IF(CI3="y",CHAR(34)&amp;CI$1&amp;CHAR(34)&amp;",","")</f>
        <v>"3Color",</v>
      </c>
      <c r="CY3" s="48" t="str">
        <f>IF(CJ3="y",CHAR(34)&amp;CJ$1&amp;CHAR(34)&amp;",","")</f>
        <v/>
      </c>
      <c r="CZ3" s="48" t="str">
        <f>IF(CK3="y",CHAR(34)&amp;CK$1&amp;CHAR(34)&amp;",","")</f>
        <v/>
      </c>
      <c r="DA3" s="48" t="str">
        <f>IF(Q3&gt;1,CHAR(34)&amp;"words2"&amp;CHAR(34)&amp;",","")</f>
        <v>"words2",</v>
      </c>
      <c r="DB3" s="48" t="str">
        <f>IF(Q3&gt;2,CHAR(34)&amp;"words3"&amp;CHAR(34)&amp;",","")</f>
        <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"lets18",</v>
      </c>
      <c r="DE3" s="48" t="str">
        <f>CHAR(34)&amp;"start"&amp;IFERROR(LEFT(SUBSTITUTE(A3,"["&amp;MID(A3,FIND("[",A3)+1,FIND("]",A3)-FIND("[",A3)-1)&amp;"] ",""),1),LEFT(A3,1))&amp;CHAR(34)&amp;","</f>
        <v>"startT",</v>
      </c>
      <c r="DF3" s="48" t="str">
        <f>IFERROR(IF(SEARCH("tan",A3)&gt;0,CHAR(34)&amp;"withtn"&amp;CHAR(34)&amp;",",""),"")</f>
        <v/>
      </c>
      <c r="DG3" s="48" t="str">
        <f>IFERROR(IF(SEARCH("q",A3)&gt;0,CHAR(34)&amp;"with_q"&amp;CHAR(34)&amp;",",""),"")</f>
        <v/>
      </c>
      <c r="DH3" s="48" t="str">
        <f>IFERROR(IF(SEARCH("v",A3)&gt;0,CHAR(34)&amp;"with_v"&amp;CHAR(34)&amp;",",""),"")</f>
        <v/>
      </c>
      <c r="DI3" s="48" t="str">
        <f>IFERROR(IF(SEARCH("w",A3)&gt;0,CHAR(34)&amp;"with_w"&amp;CHAR(34)&amp;",",""),"")</f>
        <v/>
      </c>
      <c r="DJ3" s="48" t="str">
        <f>IFERROR(IF(SEARCH("y",A3)&gt;0,CHAR(34)&amp;"with_y"&amp;CHAR(34)&amp;",",""),"")</f>
        <v/>
      </c>
      <c r="DK3" s="48" t="str">
        <f>IFERROR(IF(SEARCH("z",A3)&gt;0,CHAR(34)&amp;"with_z"&amp;CHAR(34)&amp;",",""),"")</f>
        <v/>
      </c>
      <c r="DL3" s="48" t="str">
        <f>IF(CG3=2, CHAR(34) &amp; _xlfn.TEXTJOIN("", TRUE, _xlfn._xlws.SORT(HP3:HX3)) &amp; CHAR(34) &amp; ",", "")</f>
        <v/>
      </c>
      <c r="DM3" s="48" t="str" cm="1">
        <f t="array" ref="DM3">IF(CG3=3,CHAR(34) &amp; _xlfn.TEXTJOIN("", TRUE, RIGHT(HP3:HX3, 2)) &amp; CHAR(34) &amp; ",", "")</f>
        <v>"LALUEL",</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
      </c>
      <c r="DP3" s="6" t="str">
        <f>IF(AND(ISNUMBER(SEARCH("20", O3)), ISERROR(SEARCH("1920", O3))), CHAR(34)&amp;"year00"&amp;CHAR(34)&amp;",", "")</f>
        <v/>
      </c>
      <c r="DQ3" s="6" t="str">
        <f>IF(CC3="y",CHAR(34)&amp;"soviet"&amp;CHAR(34)&amp;",","")</f>
        <v/>
      </c>
      <c r="DR3" s="6" t="str">
        <f>IF(BY3="y",CHAR(34)&amp;"dgband"&amp;CHAR(34)&amp;",","")</f>
        <v/>
      </c>
      <c r="DS3" s="6" t="str">
        <f>IF(W3="y",IF(AND(V3="n",BY3&lt;&gt;"y"),CHAR(34)&amp;"allver"&amp;CHAR(34)&amp;",",""),"")</f>
        <v/>
      </c>
      <c r="DT3" s="6" t="str">
        <f>IF(V3="y",IF(AND(W3="n",BY3&lt;&gt;"y"),CHAR(34)&amp;"allhor"&amp;CHAR(34)&amp;",",""),"")</f>
        <v>"allhor",</v>
      </c>
      <c r="DU3" s="6" t="str">
        <f>IF(BY3="y",IF(AND(W3="n",V3="n"),CHAR(34)&amp;"alldia"&amp;CHAR(34)&amp;",",""),"")</f>
        <v/>
      </c>
      <c r="DW3" s="48" t="str">
        <f>IF(CL3="y",CHAR(34)&amp;CL$1&amp;CHAR(34)&amp;",","")</f>
        <v/>
      </c>
      <c r="DX3" s="48" t="str">
        <f>IF(CM3="y",CHAR(34)&amp;CM$1&amp;CHAR(34)&amp;",","")</f>
        <v>"2Bands",</v>
      </c>
      <c r="DY3" s="48" t="str">
        <f>IF(CN3="y",CHAR(34)&amp;CN$1&amp;CHAR(34)&amp;",","")</f>
        <v/>
      </c>
      <c r="DZ3" s="48" t="str">
        <f>IF(CO3="y",CHAR(34)&amp;CO$1&amp;CHAR(34)&amp;",","")</f>
        <v/>
      </c>
      <c r="EA3" s="48" t="str">
        <f>IF(T3="y",CHAR(34)&amp;T$1&amp;CHAR(34)&amp;",","")</f>
        <v/>
      </c>
      <c r="EB3" s="48" t="str">
        <f>IF(U3="y",CHAR(34)&amp;U$1&amp;CHAR(34)&amp;",","")</f>
        <v/>
      </c>
      <c r="EC3" s="48" t="str">
        <f>IF(V3="y",CHAR(34)&amp;V$1&amp;CHAR(34)&amp;",","")</f>
        <v>"Horizo",</v>
      </c>
      <c r="ED3" s="48" t="str">
        <f>IF(W3="y",CHAR(34)&amp;W$1&amp;CHAR(34)&amp;",","")</f>
        <v/>
      </c>
      <c r="EE3" s="48" t="str">
        <f>IF(X3="y",CHAR(34)&amp;X$1&amp;CHAR(34)&amp;",","")</f>
        <v/>
      </c>
      <c r="EF3" s="48" t="str">
        <f>IF(AND(Y3&lt;&gt;"n",Y3&lt;&gt;""),CHAR(34)&amp;Y$1&amp;CHAR(34)&amp;",","")</f>
        <v/>
      </c>
      <c r="EG3" s="48" t="str">
        <f>IF(Z3="y",CHAR(34)&amp;Z$1&amp;CHAR(34)&amp;",","")</f>
        <v/>
      </c>
      <c r="EH3" s="48" t="str">
        <f>IF(AA3="y",CHAR(34)&amp;AA$1&amp;CHAR(34)&amp;",","")</f>
        <v/>
      </c>
      <c r="EI3" s="48" t="str">
        <f>IF(AB3="y",CHAR(34)&amp;AB$1&amp;CHAR(34)&amp;",","")</f>
        <v/>
      </c>
      <c r="EJ3" s="48" t="str">
        <f>IF(AC3="y",CHAR(34)&amp;AC$1&amp;CHAR(34)&amp;",","")</f>
        <v/>
      </c>
      <c r="EK3" s="48" t="str">
        <f>IF(AD3="y",CHAR(34)&amp;AD$1&amp;CHAR(34)&amp;",","")</f>
        <v/>
      </c>
      <c r="EL3" s="48" t="str">
        <f>IF(AE3="y",CHAR(34)&amp;AE$1&amp;CHAR(34)&amp;",","")</f>
        <v/>
      </c>
      <c r="EM3" s="48" t="str">
        <f>IF(AF3="y",CHAR(34)&amp;AF$1&amp;CHAR(34)&amp;",","")</f>
        <v/>
      </c>
      <c r="EN3" s="48" t="str">
        <f>IF(AG3="y",CHAR(34)&amp;AG$1&amp;CHAR(34)&amp;",","")</f>
        <v/>
      </c>
      <c r="EO3" s="48" t="str">
        <f>IF(AH3="y",CHAR(34)&amp;AH$1&amp;CHAR(34)&amp;",","")</f>
        <v>"Center",</v>
      </c>
      <c r="EP3" s="48" t="str">
        <f>IF(AI3="y",CHAR(34)&amp;AI$1&amp;CHAR(34)&amp;",","")</f>
        <v/>
      </c>
      <c r="EQ3" s="48" t="str">
        <f>IF(AJ3="y",CHAR(34)&amp;AJ$1&amp;CHAR(34)&amp;",","")</f>
        <v/>
      </c>
      <c r="ER3" s="48" t="str">
        <f>IF(AK3="y",CHAR(34)&amp;AK$1&amp;CHAR(34)&amp;",","")</f>
        <v/>
      </c>
      <c r="ES3" s="48" t="str">
        <f>IF(AL3="y",CHAR(34)&amp;AL$1&amp;CHAR(34)&amp;",","")</f>
        <v/>
      </c>
      <c r="ET3" s="48" t="str">
        <f>IF(AM3="y",CHAR(34)&amp;AM$1&amp;CHAR(34)&amp;",","")</f>
        <v/>
      </c>
      <c r="EU3" s="48" t="str">
        <f>IF(AN3="y",CHAR(34)&amp;AN$1&amp;CHAR(34)&amp;",","")</f>
        <v/>
      </c>
      <c r="EV3" s="48" t="str">
        <f>IF(AO3="y",CHAR(34)&amp;AO$1&amp;CHAR(34)&amp;",","")</f>
        <v/>
      </c>
      <c r="EW3" s="48" t="str">
        <f>IF(AP3="y",CHAR(34)&amp;AP$1&amp;CHAR(34)&amp;",","")</f>
        <v/>
      </c>
      <c r="EX3" s="48" t="str">
        <f>IF(AQ3="y",CHAR(34)&amp;AQ$1&amp;CHAR(34)&amp;",","")</f>
        <v/>
      </c>
      <c r="EY3" s="48" t="str">
        <f>IF(AR3="y",CHAR(34)&amp;AR$1&amp;CHAR(34)&amp;",","")</f>
        <v/>
      </c>
      <c r="EZ3" s="48" t="str">
        <f>IF(AS3="y",CHAR(34)&amp;AS$1&amp;CHAR(34)&amp;",","")</f>
        <v/>
      </c>
      <c r="FA3" s="48" t="str">
        <f>IF(AT3&gt;0,CHAR(34)&amp;"sta"&amp;AZ3&amp;CHAR(34)&amp;",","")</f>
        <v>"staBLA",</v>
      </c>
      <c r="FB3" s="48" t="str">
        <f>IF(AND(AT3&gt;0,BA3&lt;&gt;""),CHAR(34)&amp;"sta"&amp;BA3&amp;CHAR(34)&amp;",","")</f>
        <v/>
      </c>
      <c r="FD3" s="48" t="str">
        <f>IF(BV3="n",CHAR(34)&amp;"tcWHYE"&amp;CHAR(34)&amp;",",IF(BV3="y",CHAR(34)&amp;FD$1&amp;CHAR(34)&amp;",",""))</f>
        <v/>
      </c>
      <c r="FE3" s="48" t="str">
        <f>IF(COUNTIF(BL3:BT3,"BLU")=0,CHAR(34)&amp;"NO_BLU"&amp;CHAR(34)&amp;",", "")</f>
        <v/>
      </c>
      <c r="FF3" s="48" t="str">
        <f>IF(COUNTIF(BL3:BT3,"WHI")=0,CHAR(34)&amp;"NO_WHI"&amp;CHAR(34)&amp;",", "")</f>
        <v>"NO_WHI",</v>
      </c>
      <c r="FG3" s="48" t="str">
        <f>IF(COUNTIF(BL3:BT3,"RED")=0,CHAR(34)&amp;"NO_RED"&amp;CHAR(34)&amp;",", "")</f>
        <v>"NO_RED",</v>
      </c>
      <c r="FH3" s="48" t="str">
        <f>IF(COUNTIF(BL3:BS3,"GRE")=0,CHAR(34)&amp;"NO_GRE"&amp;CHAR(34)&amp;",", "")</f>
        <v>"NO_GRE",</v>
      </c>
      <c r="FI3" s="48" t="str">
        <f>IF(COUNTIF(BL3:BT3,"YEL")=0,CHAR(34)&amp;"NO_YEL"&amp;CHAR(34)&amp;",", "")</f>
        <v/>
      </c>
      <c r="FJ3" s="48" t="str">
        <f>IF(COUNTIF(BL3:BT3,"BLA")=0,CHAR(34)&amp;"NO_BLA"&amp;CHAR(34)&amp;",", "")</f>
        <v/>
      </c>
      <c r="FK3" s="48" t="str">
        <f>IF(AND(FH3&lt;&gt;"",FF3&lt;&gt;""),CHAR(34)&amp;"WHGRNO"&amp;CHAR(34)&amp;",","")</f>
        <v>"WHGRNO",</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"WHRENO",</v>
      </c>
      <c r="FQ3" s="48" t="str">
        <f>IF(LEN(BF3)=3,CHAR(34)&amp;"001"&amp;BF3&amp;CHAR(34)&amp;",","")</f>
        <v>"001BLU",</v>
      </c>
      <c r="FR3" s="48" t="str">
        <f>IF(LEN(BG3)=3,CHAR(34)&amp;"002"&amp;BG3&amp;CHAR(34)&amp;",","")</f>
        <v/>
      </c>
      <c r="FS3" s="48" t="str">
        <f>IF(LEN(BH3)=3,CHAR(34)&amp;"003"&amp;BH3&amp;CHAR(34)&amp;",","")</f>
        <v>"003YEL",</v>
      </c>
      <c r="FT3" s="48" t="str">
        <f>CHAR(34)&amp;"myr"&amp;BD3&amp;CHAR(34)&amp;","</f>
        <v>"myr",</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
      </c>
      <c r="GG3" s="48" t="str">
        <f>IF(BU3="y",CHAR(34)&amp;"unjack"&amp;CHAR(34)&amp;",","")</f>
        <v/>
      </c>
      <c r="GH3" s="48" t="str">
        <f>IF(CD3=1,CHAR(34)&amp;"southc"&amp;CHAR(34)&amp;",","")</f>
        <v/>
      </c>
      <c r="GI3" s="48" t="str">
        <f>IF(CE3=1,CHAR(34)&amp;"hasmap"&amp;CHAR(34)&amp;",","")</f>
        <v/>
      </c>
      <c r="GJ3" s="48" t="str">
        <f>IF(CP3="y",CHAR(34)&amp;CP$1&amp;CHAR(34)&amp;",","")</f>
        <v/>
      </c>
      <c r="GK3" s="48" t="str">
        <f>IF(GJ3="",CHAR(34)&amp;"HasSta"&amp;CHAR(34)&amp;",","")</f>
        <v>"HasSta",</v>
      </c>
      <c r="GL3" s="48" t="str">
        <f>IF(CQ3="y",CHAR(34)&amp;CQ$1&amp;CHAR(34)&amp;",","")</f>
        <v>"1Stars",</v>
      </c>
      <c r="GM3" s="48" t="str">
        <f>IF(CR3="y",CHAR(34)&amp;CR$1&amp;CHAR(34)&amp;",","")</f>
        <v/>
      </c>
      <c r="GN3" s="48" t="str">
        <f>IF(CS3="y",CHAR(34)&amp;CS$1&amp;CHAR(34)&amp;",","")</f>
        <v/>
      </c>
      <c r="GP3" s="48" t="str">
        <f>CHAR(34)&amp;AU3&amp;CHAR(34)</f>
        <v>"People"</v>
      </c>
      <c r="GS3" s="48" t="str">
        <f>SUBSTITUTE("["&amp;_xlfn.CONCAT(CW3:GN3)&amp;"]",",]","]")</f>
        <v>["3Color","words2","lets18","startT","LALUEL","allhor","2Bands","Horizo","Center","staBLA","NO_WHI","NO_RED","NO_GRE","WHGRNO","WHRENO","001BLU","003YEL","myr","HasSta","1Stars"]</v>
      </c>
      <c r="GT3" s="48" t="str">
        <f>IF(BL3&lt;&gt;"",CHAR(34)&amp;"cl_"&amp;BL3&amp;CHAR(34)&amp;",","")</f>
        <v>"cl_BLU",</v>
      </c>
      <c r="GU3" s="48" t="str">
        <f>IF(BM3&lt;&gt;"",CHAR(34)&amp;"cl_"&amp;BM3&amp;CHAR(34)&amp;",","")</f>
        <v>"cl_YEL",</v>
      </c>
      <c r="GV3" s="48" t="str">
        <f>IF(BN3&lt;&gt;"",CHAR(34)&amp;"cl_"&amp;BN3&amp;CHAR(34)&amp;",","")</f>
        <v>"cl_BLA",</v>
      </c>
      <c r="GW3" s="48" t="str">
        <f>IF(BO3&lt;&gt;"",CHAR(34)&amp;"cl_"&amp;BO3&amp;CHAR(34)&amp;",","")</f>
        <v/>
      </c>
      <c r="GX3" s="48" t="str">
        <f>IF(BP3&lt;&gt;"",CHAR(34)&amp;"cl_"&amp;BP3&amp;CHAR(34)&amp;",","")</f>
        <v/>
      </c>
      <c r="GY3" s="48" t="str">
        <f>IF(BQ3&lt;&gt;"",CHAR(34)&amp;"cl_"&amp;BQ3&amp;CHAR(34)&amp;",","")</f>
        <v/>
      </c>
      <c r="GZ3" s="48" t="str">
        <f>IF(BR3&lt;&gt;"",CHAR(34)&amp;"cl_"&amp;BR3&amp;CHAR(34)&amp;",","")</f>
        <v/>
      </c>
      <c r="HA3" s="48" t="str">
        <f>IF(BS3&lt;&gt;"",CHAR(34)&amp;"cl_"&amp;BS3&amp;CHAR(34)&amp;",","")</f>
        <v/>
      </c>
      <c r="HB3" s="48" t="str">
        <f>IF(BT3&lt;&gt;"",CHAR(34)&amp;"cl_"&amp;BT3&amp;CHAR(34)&amp;",","")</f>
        <v/>
      </c>
      <c r="HC3" s="48" t="str">
        <f>SUBSTITUTE("["&amp;_xlfn.CONCAT(GT3:HB3)&amp;"]",",]","]")</f>
        <v>["cl_BLU","cl_YEL","cl_BLA"]</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{couname:"[TCD] Toubou People (Chad)",year:"???",region:"rgn_Africa",Colors:["cl_BLU","cl_YEL","cl_BLA"],Items:["3Color","words2","lets18","startT","LALUEL","allhor","2Bands","Horizo","Center","staBLA","NO_WHI","NO_RED","NO_GRE","WHGRNO","WHRENO","001BLU","003YEL","myr","HasSta","1Stars"],Flag:"https://upload.wikimedia.org/wikipedia/commons/thumb/c/c2/Flag_of_the_Toubou_people.svg/640px-Flag_of_the_Toubou_people.svg.png",HDFlag:"https://upload.wikimedia.org/wikipedia/commons/thumb/c/c2/Flag_of_the_Toubou_people.svg/2560px-Flag_of_the_Toubou_people.svg.png",type:"People", describe: "\nThe blue mean the sky and the water, the yellow is the land, and the black star is the tubu african man.", isnew:".", links: "https://www.crwflags.com/fotw/flags/xb-toub.html"},</v>
      </c>
      <c r="HG3" s="73" t="str">
        <f>"{couname:"&amp;CT3&amp;(IF(HK3&lt;&gt;"",",subtype:"&amp;CHAR(34)&amp;HK3&amp;CHAR(34),""))&amp;",year:"&amp;HJ3&amp;",region:"&amp;CU3&amp;",Colors:"&amp;HC3&amp;",Items:"&amp;GS3&amp;",Flag:"&amp;CV3&amp;",HDFlag:"&amp;CHAR(34)&amp;E3&amp;CHAR(34)&amp;",type:"&amp;GP3&amp;", describe: "&amp;HI3&amp;", links: "&amp;HL3&amp;"},"</f>
        <v>{couname:"[TCD] Toubou People (Chad)",year:"???",region:"rgn_Africa",Colors:["cl_BLU","cl_YEL","cl_BLA"],Items:["3Color","words2","lets18","startT","LALUEL","allhor","2Bands","Horizo","Center","staBLA","NO_WHI","NO_RED","NO_GRE","WHGRNO","WHRENO","001BLU","003YEL","myr","HasSta","1Stars"],Flag:"https://upload.wikimedia.org/wikipedia/commons/thumb/c/c2/Flag_of_the_Toubou_people.svg/640px-Flag_of_the_Toubou_people.svg.png",HDFlag:"https://upload.wikimedia.org/wikipedia/commons/thumb/c/c2/Flag_of_the_Toubou_people.svg/2560px-Flag_of_the_Toubou_people.svg.png",type:"People", describe: "\nThe blue mean the sky and the water, the yellow is the land, and the black star is the tubu african man.", links: "https://www.crwflags.com/fotw/flags/xb-toub.html"},</v>
      </c>
      <c r="HH3" s="48" t="str">
        <f>IF(P3&lt;&gt;"",CHAR(34)&amp;"\n"&amp;P3&amp;CHAR(34),CHAR(34)&amp;CHAR(34))</f>
        <v>"\nThe blue mean the sky and the water, the yellow is the land, and the black star is the tubu african man."</v>
      </c>
      <c r="HI3" s="48" t="str">
        <f>IF(J3=0,CHAR(34)&amp;CHAR(34),HH3)</f>
        <v>"\nThe blue mean the sky and the water, the yellow is the land, and the black star is the tubu african man."</v>
      </c>
      <c r="HJ3" s="48" t="str">
        <f>CHAR(34)&amp;O3&amp;CHAR(34)</f>
        <v>"???"</v>
      </c>
      <c r="HL3" s="48" t="str">
        <f>CHAR(34)&amp;I3&amp;CHAR(34)</f>
        <v>"https://www.crwflags.com/fotw/flags/xb-toub.html"</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{"couname":"[TCD] Toubou People (Chad)","subtype":"[TCD] Other","year":"???","region":"rgn_Africa","Colors":["cl_BLU","cl_YEL","cl_BLA"],"Items":["3Color","words2","lets18","startT","LALUEL","allhor","2Bands","Horizo","Center","staBLA","NO_WHI","NO_RED","NO_GRE","WHGRNO","WHRENO","001BLU","003YEL","myr","HasSta","1Stars"],"Flag":"https://upload.wikimedia.org/wikipedia/commons/thumb/c/c2/Flag_of_the_Toubou_people.svg/640px-Flag_of_the_Toubou_people.svg.png","HDFlag":"https://upload.wikimedia.org/wikipedia/commons/thumb/c/c2/Flag_of_the_Toubou_people.svg/2560px-Flag_of_the_Toubou_people.svg.png","type":"People", "describe": "\nThe blue mean the sky and the water, the yellow is the land, and the black star is the tubu african man.", "isnew": ".", "links": "https://www.crwflags.com/fotw/flags/xb-toub.html"},</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{"couname":"[TCD] Toubou People (Chad)","subtype":"[TCD] Other","year":"???","region":"rgn_Africa","Colors":["cl_BLU","cl_YEL","cl_BLA"],"Items":["3Color","words2","lets18","startT","LALUEL","allhor","2Bands","Horizo","Center","staBLA","NO_WHI","NO_RED","NO_GRE","WHGRNO","WHRENO","001BLU","003YEL","myr","HasSta","1Stars"],"Flag":"https://upload.wikimedia.org/wikipedia/commons/thumb/c/c2/Flag_of_the_Toubou_people.svg/640px-Flag_of_the_Toubou_people.svg.png","HDFlag":"https://upload.wikimedia.org/wikipedia/commons/thumb/c/c2/Flag_of_the_Toubou_people.svg/2560px-Flag_of_the_Toubou_people.svg.png","type":"People", "describe": "\nThe blue mean the sky and the water, the yellow is the land, and the black star is the tubu african man.", "isnew": ".", "links": "https://www.crwflags.com/fotw/flags/xb-toub.html"},</v>
      </c>
      <c r="HO3" s="75">
        <v>45644</v>
      </c>
      <c r="HP3" s="48" t="str" cm="1">
        <f t="array" ref="HP3">IF(_xlfn.TEXTJOIN(", ", TRUE, IF(ISNUMBER(SEARCH("BLA", BL3:BT3)), COLUMN(BL3:BT3) - COLUMN(BL3) + 1, ""))&lt;&gt;"","BLA","")</f>
        <v>BLA</v>
      </c>
      <c r="HQ3" s="48" t="str" cm="1">
        <f t="array" ref="HQ3">IF(_xlfn.TEXTJOIN(", ", TRUE, IF(ISNUMBER(SEARCH("BLU", BL3:BT3)), COLUMN(BL3:BT3) - COLUMN(BL3) + 1, ""))&lt;&gt;"","BLU","")</f>
        <v>BLU</v>
      </c>
      <c r="HR3" s="48" t="str" cm="1">
        <f t="array" ref="HR3">IF(_xlfn.TEXTJOIN(", ", TRUE, IF(ISNUMBER(SEARCH("GRE", BL3:BT3)), COLUMN(BL3:BT3) - COLUMN(BL3) + 1, ""))&lt;&gt;"","GRE","")</f>
        <v/>
      </c>
      <c r="HS3" s="48" t="str" cm="1">
        <f t="array" ref="HS3">IF(_xlfn.TEXTJOIN(", ", TRUE, IF(ISNUMBER(SEARCH("RED", BL3:BT3)), COLUMN(BL3:BT3) - COLUMN(BL3) + 1, ""))&lt;&gt;"","RED","")</f>
        <v/>
      </c>
      <c r="HT3" s="48" t="str" cm="1">
        <f t="array" ref="HT3">IF(_xlfn.TEXTJOIN(", ", TRUE, IF(ISNUMBER(SEARCH("YEL", BL3:BT3)), COLUMN(BL3:BT3) - COLUMN(BL3) + 1, ""))&lt;&gt;"","YEL","")</f>
        <v>YEL</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
      </c>
      <c r="HY3" s="76"/>
      <c r="HZ3" s="76"/>
      <c r="IA3" s="6"/>
      <c r="IB3" s="6"/>
      <c r="IC3" s="77"/>
      <c r="ID3" s="77"/>
      <c r="IE3" s="77"/>
      <c r="IF3" s="77"/>
      <c r="IG3" s="77"/>
      <c r="IH3" s="77"/>
      <c r="II3" s="77"/>
      <c r="IJ3" s="77"/>
      <c r="IK3" s="77"/>
      <c r="IM3" s="45">
        <f>COUNTIF(IC3:IK3,"&gt;0")-CG3</f>
        <v>-3</v>
      </c>
      <c r="IN3" s="78" t="str">
        <f>"http://mkweb.bcgsc.ca/color-summarizer/?url="&amp;D3&amp;"&amp;precision=low&amp;num_clusters="&amp;CG3&amp;"&amp;text=1"</f>
        <v>http://mkweb.bcgsc.ca/color-summarizer/?url=https://upload.wikimedia.org/wikipedia/commons/thumb/c/c2/Flag_of_the_Toubou_people.svg/640px-Flag_of_the_Toubou_people.svg.png&amp;precision=low&amp;num_clusters=3&amp;text=1</v>
      </c>
      <c r="IO3" s="48" t="str">
        <f>IF(HP3&lt;&gt;"",CHAR(34)&amp;"black"&amp;CHAR(34),"")</f>
        <v>"black"</v>
      </c>
      <c r="IP3" s="48" t="str">
        <f>IF(HQ3&lt;&gt;"",CHAR(34)&amp;"blue"&amp;CHAR(34),"")</f>
        <v>"blue"</v>
      </c>
      <c r="IQ3" s="48" t="str">
        <f>IF(HR3&lt;&gt;"",CHAR(34)&amp;"green"&amp;CHAR(34),"")</f>
        <v/>
      </c>
      <c r="IR3" s="48" t="str">
        <f>IF(HS3&lt;&gt;"",CHAR(34)&amp;"red"&amp;CHAR(34),"")</f>
        <v/>
      </c>
      <c r="IS3" s="48" t="str">
        <f>IF(HT3&lt;&gt;"",CHAR(34)&amp;"yellow"&amp;CHAR(34),"")</f>
        <v>"yellow"</v>
      </c>
      <c r="IT3" s="48" t="str">
        <f>IF(HU3&lt;&gt;"",CHAR(34)&amp;"orange"&amp;CHAR(34),"")</f>
        <v/>
      </c>
      <c r="IU3" s="48" t="str">
        <f>IF(HV3&lt;&gt;"",CHAR(34)&amp;"brown"&amp;CHAR(34),"")</f>
        <v/>
      </c>
      <c r="IV3" s="48" t="str">
        <f>IF(HW3&lt;&gt;"",CHAR(34)&amp;"purple"&amp;CHAR(34),"")</f>
        <v/>
      </c>
      <c r="IW3" s="48" t="str">
        <f>IF(HX3&lt;&gt;"",CHAR(34)&amp;"white"&amp;CHAR(34),"")</f>
        <v/>
      </c>
      <c r="IX3" s="48" t="str">
        <f>"{"&amp;CHAR(34)&amp;"url"&amp;CHAR(34)&amp;":"&amp;CHAR(34)&amp;IN3&amp;CHAR(34)&amp;","&amp;CHAR(34)&amp;"name"&amp;CHAR(34)&amp;":"&amp;CHAR(34)&amp;A3&amp;CHAR(34)&amp;"},"</f>
        <v>{"url":"http://mkweb.bcgsc.ca/color-summarizer/?url=https://upload.wikimedia.org/wikipedia/commons/thumb/c/c2/Flag_of_the_Toubou_people.svg/640px-Flag_of_the_Toubou_people.svg.png&amp;precision=low&amp;num_clusters=3&amp;text=1","name":"[TCD] Toubou People (Chad)"},</v>
      </c>
      <c r="IY3" s="48">
        <v>1503</v>
      </c>
    </row>
  </sheetData>
  <autoFilter ref="A1:IY1" xr:uid="{A1051193-A95B-4CFB-A73C-F0184620C81F}">
    <sortState xmlns:xlrd2="http://schemas.microsoft.com/office/spreadsheetml/2017/richdata2" ref="A2:IY5">
      <sortCondition ref="AW1"/>
    </sortState>
  </autoFilter>
  <conditionalFormatting sqref="H1 CW1:GS1 IA1:IB1">
    <cfRule type="cellIs" dxfId="862" priority="118" operator="greaterThan">
      <formula>0</formula>
    </cfRule>
  </conditionalFormatting>
  <conditionalFormatting sqref="H1 H4:H1048576">
    <cfRule type="cellIs" dxfId="861" priority="84" stopIfTrue="1" operator="notEqual">
      <formula>""</formula>
    </cfRule>
  </conditionalFormatting>
  <conditionalFormatting sqref="T1:BK1">
    <cfRule type="cellIs" dxfId="860" priority="121" operator="greaterThan">
      <formula>0</formula>
    </cfRule>
  </conditionalFormatting>
  <conditionalFormatting sqref="BV1:BW1 BV4:BW1048576">
    <cfRule type="cellIs" dxfId="859" priority="120" operator="equal">
      <formula>"nc"</formula>
    </cfRule>
  </conditionalFormatting>
  <conditionalFormatting sqref="HF1:HG1">
    <cfRule type="cellIs" dxfId="858" priority="122" operator="greaterThan">
      <formula>0</formula>
    </cfRule>
  </conditionalFormatting>
  <conditionalFormatting sqref="HK1">
    <cfRule type="cellIs" dxfId="857" priority="119" operator="greaterThan">
      <formula>0</formula>
    </cfRule>
  </conditionalFormatting>
  <conditionalFormatting sqref="HP1:HX1">
    <cfRule type="cellIs" dxfId="856" priority="96" operator="equal">
      <formula>"PIN"</formula>
    </cfRule>
    <cfRule type="cellIs" dxfId="855" priority="97" operator="equal">
      <formula>"ORA"</formula>
    </cfRule>
    <cfRule type="cellIs" dxfId="854" priority="98" operator="equal">
      <formula>"GRA"</formula>
    </cfRule>
    <cfRule type="cellIs" dxfId="853" priority="99" operator="equal">
      <formula>"PUR"</formula>
    </cfRule>
    <cfRule type="cellIs" dxfId="852" priority="100" operator="equal">
      <formula>"BRO"</formula>
    </cfRule>
    <cfRule type="cellIs" dxfId="851" priority="101" operator="equal">
      <formula>"YEL"</formula>
    </cfRule>
    <cfRule type="cellIs" dxfId="850" priority="102" operator="equal">
      <formula>"BLU"</formula>
    </cfRule>
    <cfRule type="cellIs" dxfId="849" priority="103" operator="equal">
      <formula>"WHI"</formula>
    </cfRule>
    <cfRule type="cellIs" dxfId="848" priority="104" operator="equal">
      <formula>"GRE"</formula>
    </cfRule>
    <cfRule type="cellIs" dxfId="847" priority="105" operator="equal">
      <formula>"RED"</formula>
    </cfRule>
    <cfRule type="cellIs" dxfId="846" priority="106" operator="equal">
      <formula>"BLA"</formula>
    </cfRule>
  </conditionalFormatting>
  <conditionalFormatting sqref="IC1:IK1">
    <cfRule type="cellIs" dxfId="845" priority="107" operator="equal">
      <formula>"PIN"</formula>
    </cfRule>
    <cfRule type="cellIs" dxfId="844" priority="108" operator="equal">
      <formula>"ORA"</formula>
    </cfRule>
    <cfRule type="cellIs" dxfId="843" priority="109" operator="equal">
      <formula>"GRA"</formula>
    </cfRule>
    <cfRule type="cellIs" dxfId="842" priority="110" operator="equal">
      <formula>"PUR"</formula>
    </cfRule>
    <cfRule type="cellIs" dxfId="841" priority="111" operator="equal">
      <formula>"BRO"</formula>
    </cfRule>
    <cfRule type="cellIs" dxfId="840" priority="112" operator="equal">
      <formula>"YEL"</formula>
    </cfRule>
    <cfRule type="cellIs" dxfId="839" priority="113" operator="equal">
      <formula>"BLU"</formula>
    </cfRule>
    <cfRule type="cellIs" dxfId="838" priority="114" operator="equal">
      <formula>"WHI"</formula>
    </cfRule>
    <cfRule type="cellIs" dxfId="837" priority="115" operator="equal">
      <formula>"GRE"</formula>
    </cfRule>
    <cfRule type="cellIs" dxfId="836" priority="116" operator="equal">
      <formula>"RED"</formula>
    </cfRule>
    <cfRule type="cellIs" dxfId="835" priority="117" operator="equal">
      <formula>"BLA"</formula>
    </cfRule>
  </conditionalFormatting>
  <conditionalFormatting sqref="IO1:IW1">
    <cfRule type="cellIs" dxfId="834" priority="85" operator="equal">
      <formula>"PIN"</formula>
    </cfRule>
    <cfRule type="cellIs" dxfId="833" priority="86" operator="equal">
      <formula>"ORA"</formula>
    </cfRule>
    <cfRule type="cellIs" dxfId="832" priority="87" operator="equal">
      <formula>"GRA"</formula>
    </cfRule>
    <cfRule type="cellIs" dxfId="831" priority="88" operator="equal">
      <formula>"PUR"</formula>
    </cfRule>
    <cfRule type="cellIs" dxfId="830" priority="89" operator="equal">
      <formula>"BRO"</formula>
    </cfRule>
    <cfRule type="cellIs" dxfId="829" priority="90" operator="equal">
      <formula>"YEL"</formula>
    </cfRule>
    <cfRule type="cellIs" dxfId="828" priority="91" operator="equal">
      <formula>"BLU"</formula>
    </cfRule>
    <cfRule type="cellIs" dxfId="827" priority="92" operator="equal">
      <formula>"WHI"</formula>
    </cfRule>
    <cfRule type="cellIs" dxfId="826" priority="93" operator="equal">
      <formula>"GRE"</formula>
    </cfRule>
    <cfRule type="cellIs" dxfId="825" priority="94" operator="equal">
      <formula>"RED"</formula>
    </cfRule>
    <cfRule type="cellIs" dxfId="824" priority="95" operator="equal">
      <formula>"BLA"</formula>
    </cfRule>
  </conditionalFormatting>
  <conditionalFormatting sqref="H3">
    <cfRule type="cellIs" dxfId="823" priority="76" stopIfTrue="1" operator="notEqual">
      <formula>""</formula>
    </cfRule>
  </conditionalFormatting>
  <conditionalFormatting sqref="R3 CU3">
    <cfRule type="cellIs" dxfId="822" priority="79" operator="greaterThan">
      <formula>0</formula>
    </cfRule>
  </conditionalFormatting>
  <conditionalFormatting sqref="T3:AS3 CH3:CS3">
    <cfRule type="cellIs" dxfId="821" priority="73" stopIfTrue="1" operator="equal">
      <formula>"n"</formula>
    </cfRule>
    <cfRule type="cellIs" dxfId="820" priority="74" stopIfTrue="1" operator="equal">
      <formula>"y"</formula>
    </cfRule>
    <cfRule type="cellIs" dxfId="819" priority="75" operator="greaterThan">
      <formula>0</formula>
    </cfRule>
  </conditionalFormatting>
  <conditionalFormatting sqref="AZ3:BB3">
    <cfRule type="expression" dxfId="818" priority="60">
      <formula>$AT3=0</formula>
    </cfRule>
  </conditionalFormatting>
  <conditionalFormatting sqref="CD3:CF3 BX3:CA3 AZ3:BU3">
    <cfRule type="cellIs" dxfId="817" priority="61" operator="equal">
      <formula>"PIN"</formula>
    </cfRule>
    <cfRule type="cellIs" dxfId="816" priority="62" operator="equal">
      <formula>"ORA"</formula>
    </cfRule>
    <cfRule type="cellIs" dxfId="815" priority="63" operator="equal">
      <formula>"GRA"</formula>
    </cfRule>
    <cfRule type="cellIs" dxfId="814" priority="64" operator="equal">
      <formula>"PUR"</formula>
    </cfRule>
    <cfRule type="cellIs" dxfId="813" priority="65" operator="equal">
      <formula>"BRO"</formula>
    </cfRule>
    <cfRule type="cellIs" dxfId="812" priority="66" operator="equal">
      <formula>"YEL"</formula>
    </cfRule>
    <cfRule type="cellIs" dxfId="811" priority="67" operator="equal">
      <formula>"BLU"</formula>
    </cfRule>
    <cfRule type="cellIs" dxfId="810" priority="68" operator="equal">
      <formula>"WHI"</formula>
    </cfRule>
    <cfRule type="cellIs" dxfId="809" priority="69" operator="equal">
      <formula>"GRE"</formula>
    </cfRule>
    <cfRule type="cellIs" dxfId="808" priority="70" operator="equal">
      <formula>"RED"</formula>
    </cfRule>
    <cfRule type="cellIs" dxfId="807" priority="71" operator="equal">
      <formula>"BLA"</formula>
    </cfRule>
  </conditionalFormatting>
  <conditionalFormatting sqref="BV3">
    <cfRule type="cellIs" dxfId="806" priority="78" operator="equal">
      <formula>"nc"</formula>
    </cfRule>
  </conditionalFormatting>
  <conditionalFormatting sqref="CD3:CF3 BX3:CA3">
    <cfRule type="cellIs" dxfId="805" priority="77" operator="equal">
      <formula>"y"</formula>
    </cfRule>
  </conditionalFormatting>
  <conditionalFormatting sqref="CD3:CF3 BZ3:CA3">
    <cfRule type="cellIs" dxfId="804" priority="72" operator="greaterThan">
      <formula>0</formula>
    </cfRule>
  </conditionalFormatting>
  <conditionalFormatting sqref="IC3:IK3">
    <cfRule type="expression" dxfId="803" priority="59">
      <formula>$IL3&gt;0</formula>
    </cfRule>
  </conditionalFormatting>
  <conditionalFormatting sqref="IC3">
    <cfRule type="cellIs" dxfId="802" priority="53" stopIfTrue="1" operator="greaterThan">
      <formula>0</formula>
    </cfRule>
  </conditionalFormatting>
  <conditionalFormatting sqref="ID3">
    <cfRule type="cellIs" dxfId="801" priority="51" stopIfTrue="1" operator="greaterThan">
      <formula>0</formula>
    </cfRule>
  </conditionalFormatting>
  <conditionalFormatting sqref="II3 IE3:IF3">
    <cfRule type="cellIs" dxfId="800" priority="58" operator="greaterThan">
      <formula>0</formula>
    </cfRule>
  </conditionalFormatting>
  <conditionalFormatting sqref="II3 IF3">
    <cfRule type="cellIs" dxfId="799" priority="52" stopIfTrue="1" operator="greaterThan">
      <formula>0</formula>
    </cfRule>
  </conditionalFormatting>
  <conditionalFormatting sqref="IG3">
    <cfRule type="cellIs" dxfId="798" priority="57" operator="greaterThan">
      <formula>0</formula>
    </cfRule>
  </conditionalFormatting>
  <conditionalFormatting sqref="IH3:II3">
    <cfRule type="cellIs" dxfId="797" priority="56" operator="greaterThan">
      <formula>0</formula>
    </cfRule>
  </conditionalFormatting>
  <conditionalFormatting sqref="IJ3">
    <cfRule type="cellIs" dxfId="796" priority="55" operator="greaterThan">
      <formula>0</formula>
    </cfRule>
  </conditionalFormatting>
  <conditionalFormatting sqref="IK3">
    <cfRule type="cellIs" dxfId="795" priority="54" operator="greaterThan">
      <formula>0</formula>
    </cfRule>
  </conditionalFormatting>
  <conditionalFormatting sqref="IF3">
    <cfRule type="cellIs" dxfId="794" priority="50" stopIfTrue="1" operator="greaterThan">
      <formula>0</formula>
    </cfRule>
  </conditionalFormatting>
  <conditionalFormatting sqref="IM3">
    <cfRule type="cellIs" dxfId="793" priority="49" operator="equal">
      <formula>0</formula>
    </cfRule>
  </conditionalFormatting>
  <conditionalFormatting sqref="BX3:CA3 CD3:CF3">
    <cfRule type="cellIs" dxfId="792" priority="37" operator="equal">
      <formula>"y"</formula>
    </cfRule>
    <cfRule type="cellIs" dxfId="791" priority="38" operator="equal">
      <formula>"PIN"</formula>
    </cfRule>
    <cfRule type="cellIs" dxfId="790" priority="39" operator="equal">
      <formula>"ORA"</formula>
    </cfRule>
    <cfRule type="cellIs" dxfId="789" priority="40" operator="equal">
      <formula>"GRA"</formula>
    </cfRule>
    <cfRule type="cellIs" dxfId="788" priority="41" operator="equal">
      <formula>"PUR"</formula>
    </cfRule>
    <cfRule type="cellIs" dxfId="787" priority="42" operator="equal">
      <formula>"BRO"</formula>
    </cfRule>
    <cfRule type="cellIs" dxfId="786" priority="43" operator="equal">
      <formula>"YEL"</formula>
    </cfRule>
    <cfRule type="cellIs" dxfId="785" priority="44" operator="equal">
      <formula>"BLU"</formula>
    </cfRule>
    <cfRule type="cellIs" dxfId="784" priority="45" operator="equal">
      <formula>"WHI"</formula>
    </cfRule>
    <cfRule type="cellIs" dxfId="783" priority="46" operator="equal">
      <formula>"GRE"</formula>
    </cfRule>
    <cfRule type="cellIs" dxfId="782" priority="47" operator="equal">
      <formula>"RED"</formula>
    </cfRule>
    <cfRule type="cellIs" dxfId="781" priority="48" operator="equal">
      <formula>"BLA"</formula>
    </cfRule>
  </conditionalFormatting>
  <conditionalFormatting sqref="AT3">
    <cfRule type="colorScale" priority="80">
      <colorScale>
        <cfvo type="min"/>
        <cfvo type="max"/>
        <color rgb="FFFCFCFF"/>
        <color theme="8" tint="0.39997558519241921"/>
      </colorScale>
    </cfRule>
  </conditionalFormatting>
  <conditionalFormatting sqref="S3">
    <cfRule type="colorScale" priority="81">
      <colorScale>
        <cfvo type="min"/>
        <cfvo type="max"/>
        <color rgb="FFFCFCFF"/>
        <color rgb="FF754BFB"/>
      </colorScale>
    </cfRule>
  </conditionalFormatting>
  <conditionalFormatting sqref="J3">
    <cfRule type="colorScale" priority="82">
      <colorScale>
        <cfvo type="min"/>
        <cfvo type="percentile" val="50"/>
        <cfvo type="max"/>
        <color rgb="FFF8696B"/>
        <color rgb="FFFFEB84"/>
        <color rgb="FF63BE7B"/>
      </colorScale>
    </cfRule>
  </conditionalFormatting>
  <conditionalFormatting sqref="CG3">
    <cfRule type="colorScale" priority="83">
      <colorScale>
        <cfvo type="min"/>
        <cfvo type="max"/>
        <color rgb="FFFCFCFF"/>
        <color rgb="FF63BE7B"/>
      </colorScale>
    </cfRule>
  </conditionalFormatting>
  <conditionalFormatting sqref="H2">
    <cfRule type="cellIs" dxfId="780" priority="30" stopIfTrue="1" operator="notEqual">
      <formula>""</formula>
    </cfRule>
  </conditionalFormatting>
  <conditionalFormatting sqref="R2 CU2">
    <cfRule type="cellIs" dxfId="779" priority="32" operator="greaterThan">
      <formula>0</formula>
    </cfRule>
  </conditionalFormatting>
  <conditionalFormatting sqref="T2:AS2 CH2:CS2">
    <cfRule type="cellIs" dxfId="778" priority="27" stopIfTrue="1" operator="equal">
      <formula>"n"</formula>
    </cfRule>
    <cfRule type="cellIs" dxfId="777" priority="28" stopIfTrue="1" operator="equal">
      <formula>"y"</formula>
    </cfRule>
    <cfRule type="cellIs" dxfId="776" priority="29" operator="greaterThan">
      <formula>0</formula>
    </cfRule>
  </conditionalFormatting>
  <conditionalFormatting sqref="AZ2:BB2">
    <cfRule type="expression" dxfId="775" priority="14">
      <formula>$AT2=0</formula>
    </cfRule>
  </conditionalFormatting>
  <conditionalFormatting sqref="AZ2:BU2">
    <cfRule type="cellIs" dxfId="774" priority="15" operator="equal">
      <formula>"PIN"</formula>
    </cfRule>
    <cfRule type="cellIs" dxfId="773" priority="16" operator="equal">
      <formula>"ORA"</formula>
    </cfRule>
    <cfRule type="cellIs" dxfId="772" priority="17" operator="equal">
      <formula>"GRA"</formula>
    </cfRule>
    <cfRule type="cellIs" dxfId="771" priority="18" operator="equal">
      <formula>"PUR"</formula>
    </cfRule>
    <cfRule type="cellIs" dxfId="770" priority="19" operator="equal">
      <formula>"BRO"</formula>
    </cfRule>
    <cfRule type="cellIs" dxfId="769" priority="20" operator="equal">
      <formula>"YEL"</formula>
    </cfRule>
    <cfRule type="cellIs" dxfId="768" priority="21" operator="equal">
      <formula>"BLU"</formula>
    </cfRule>
    <cfRule type="cellIs" dxfId="767" priority="22" operator="equal">
      <formula>"WHI"</formula>
    </cfRule>
    <cfRule type="cellIs" dxfId="766" priority="23" operator="equal">
      <formula>"GRE"</formula>
    </cfRule>
    <cfRule type="cellIs" dxfId="765" priority="24" operator="equal">
      <formula>"RED"</formula>
    </cfRule>
    <cfRule type="cellIs" dxfId="764" priority="25" operator="equal">
      <formula>"BLA"</formula>
    </cfRule>
  </conditionalFormatting>
  <conditionalFormatting sqref="BV2">
    <cfRule type="cellIs" dxfId="763" priority="31" operator="equal">
      <formula>"nc"</formula>
    </cfRule>
  </conditionalFormatting>
  <conditionalFormatting sqref="CD2:CF2 BZ2:CA2">
    <cfRule type="cellIs" dxfId="762" priority="26" operator="greaterThan">
      <formula>0</formula>
    </cfRule>
  </conditionalFormatting>
  <conditionalFormatting sqref="IC2:IK2">
    <cfRule type="expression" dxfId="761" priority="13">
      <formula>$IL2&gt;0</formula>
    </cfRule>
  </conditionalFormatting>
  <conditionalFormatting sqref="BX2:CA2 CD2:CF2">
    <cfRule type="cellIs" dxfId="760" priority="1" operator="equal">
      <formula>"y"</formula>
    </cfRule>
    <cfRule type="cellIs" dxfId="759" priority="2" operator="equal">
      <formula>"PIN"</formula>
    </cfRule>
    <cfRule type="cellIs" dxfId="758" priority="3" operator="equal">
      <formula>"ORA"</formula>
    </cfRule>
    <cfRule type="cellIs" dxfId="757" priority="4" operator="equal">
      <formula>"GRA"</formula>
    </cfRule>
    <cfRule type="cellIs" dxfId="756" priority="5" operator="equal">
      <formula>"PUR"</formula>
    </cfRule>
    <cfRule type="cellIs" dxfId="755" priority="6" operator="equal">
      <formula>"BRO"</formula>
    </cfRule>
    <cfRule type="cellIs" dxfId="754" priority="7" operator="equal">
      <formula>"YEL"</formula>
    </cfRule>
    <cfRule type="cellIs" dxfId="753" priority="8" operator="equal">
      <formula>"BLU"</formula>
    </cfRule>
    <cfRule type="cellIs" dxfId="752" priority="9" operator="equal">
      <formula>"WHI"</formula>
    </cfRule>
    <cfRule type="cellIs" dxfId="751" priority="10" operator="equal">
      <formula>"GRE"</formula>
    </cfRule>
    <cfRule type="cellIs" dxfId="750" priority="11" operator="equal">
      <formula>"RED"</formula>
    </cfRule>
    <cfRule type="cellIs" dxfId="749" priority="12" operator="equal">
      <formula>"BLA"</formula>
    </cfRule>
  </conditionalFormatting>
  <conditionalFormatting sqref="J2">
    <cfRule type="colorScale" priority="33">
      <colorScale>
        <cfvo type="min"/>
        <cfvo type="percentile" val="50"/>
        <cfvo type="max"/>
        <color rgb="FFF8696B"/>
        <color rgb="FFFFEB84"/>
        <color rgb="FF63BE7B"/>
      </colorScale>
    </cfRule>
  </conditionalFormatting>
  <conditionalFormatting sqref="S2">
    <cfRule type="colorScale" priority="34">
      <colorScale>
        <cfvo type="min"/>
        <cfvo type="max"/>
        <color rgb="FFFCFCFF"/>
        <color rgb="FF754BFB"/>
      </colorScale>
    </cfRule>
  </conditionalFormatting>
  <conditionalFormatting sqref="AT2">
    <cfRule type="colorScale" priority="35">
      <colorScale>
        <cfvo type="min"/>
        <cfvo type="max"/>
        <color rgb="FFFCFCFF"/>
        <color theme="8" tint="0.39997558519241921"/>
      </colorScale>
    </cfRule>
  </conditionalFormatting>
  <conditionalFormatting sqref="CG2">
    <cfRule type="colorScale" priority="36">
      <colorScale>
        <cfvo type="min"/>
        <cfvo type="max"/>
        <color rgb="FFFCFCFF"/>
        <color rgb="FF63BE7B"/>
      </colorScale>
    </cfRule>
  </conditionalFormatting>
  <hyperlinks>
    <hyperlink ref="A2" r:id="rId1" display="https://fbref.com/en/country/CHA/Chad-Football" xr:uid="{E51FB28B-CCBC-4D33-B64B-FED4034A7F5C}"/>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3313" r:id="rId5"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13314" r:id="rId6"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13315" r:id="rId7"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1FE4EF-1C6E-4F30-919C-57552F516D41}">
  <sheetPr codeName="Sheet25"/>
  <dimension ref="A1:IY8"/>
  <sheetViews>
    <sheetView zoomScale="70" zoomScaleNormal="70" workbookViewId="0">
      <pane xSplit="5" ySplit="1" topLeftCell="F2" activePane="bottomRight" state="frozen"/>
      <selection pane="topRight" activeCell="F1" sqref="F1"/>
      <selection pane="bottomLeft" activeCell="A2" sqref="A2"/>
      <selection pane="bottomRight" activeCell="M3" sqref="M3"/>
    </sheetView>
  </sheetViews>
  <sheetFormatPr defaultRowHeight="38.4" customHeight="1" x14ac:dyDescent="0.3"/>
  <cols>
    <col min="1" max="1" width="52.44140625" style="81" bestFit="1" customWidth="1"/>
    <col min="2" max="2" width="10.109375" style="81" customWidth="1"/>
    <col min="3" max="3" width="7.44140625" style="82" customWidth="1"/>
    <col min="4" max="4" width="4.77734375" style="83" customWidth="1"/>
    <col min="5" max="5" width="4.5546875" style="83" customWidth="1"/>
    <col min="6" max="6" width="5.77734375" style="83" customWidth="1"/>
    <col min="7" max="7" width="7.44140625" style="81" customWidth="1"/>
    <col min="8" max="8" width="11.44140625" style="81" customWidth="1"/>
    <col min="9" max="9" width="10" style="81" customWidth="1"/>
    <col min="10" max="10" width="4.21875" style="81" customWidth="1"/>
    <col min="11" max="11" width="5.6640625" style="83" customWidth="1"/>
    <col min="12" max="12" width="2.88671875" style="83" customWidth="1"/>
    <col min="13" max="13" width="6.44140625" style="83" customWidth="1"/>
    <col min="14" max="14" width="4.5546875" style="83" customWidth="1"/>
    <col min="15" max="15" width="10.5546875" style="84" customWidth="1"/>
    <col min="16" max="16" width="6.88671875" style="83" customWidth="1"/>
    <col min="17" max="17" width="4.77734375" style="83" customWidth="1"/>
    <col min="18" max="18" width="13.109375" style="82" customWidth="1"/>
    <col min="19" max="19" width="6.77734375" style="82" customWidth="1"/>
    <col min="20" max="46" width="8.44140625" style="81" customWidth="1"/>
    <col min="47" max="47" width="24.5546875" style="81" customWidth="1"/>
    <col min="48" max="51" width="16.6640625" style="81" customWidth="1"/>
    <col min="52" max="52" width="6.5546875" style="81" customWidth="1"/>
    <col min="53" max="54" width="5.88671875" style="81" customWidth="1"/>
    <col min="55" max="55" width="1.33203125" style="81" customWidth="1"/>
    <col min="56" max="56" width="7.44140625" style="81" customWidth="1"/>
    <col min="57" max="57" width="2.33203125" style="81" customWidth="1"/>
    <col min="58" max="62" width="6.109375" style="81" customWidth="1"/>
    <col min="63" max="63" width="2.33203125" style="81" customWidth="1"/>
    <col min="64" max="64" width="7" style="81" bestFit="1" customWidth="1"/>
    <col min="65" max="65" width="6.44140625" style="81" bestFit="1" customWidth="1"/>
    <col min="66" max="66" width="7.109375" style="81" bestFit="1" customWidth="1"/>
    <col min="67" max="71" width="6.44140625" style="81" bestFit="1" customWidth="1"/>
    <col min="72" max="73" width="6.44140625" style="81" customWidth="1"/>
    <col min="74" max="75" width="13.44140625" style="81" customWidth="1"/>
    <col min="76" max="84" width="14.6640625" style="81" customWidth="1"/>
    <col min="85" max="85" width="6.44140625" style="81" customWidth="1"/>
    <col min="86" max="87" width="11.6640625" style="81" bestFit="1" customWidth="1"/>
    <col min="88" max="88" width="11.6640625" style="81" customWidth="1"/>
    <col min="89" max="89" width="12.77734375" style="81" bestFit="1" customWidth="1"/>
    <col min="90" max="90" width="16.44140625" style="82" bestFit="1" customWidth="1"/>
    <col min="91" max="92" width="14.88671875" style="82" bestFit="1" customWidth="1"/>
    <col min="93" max="93" width="16" style="82" bestFit="1" customWidth="1"/>
    <col min="94" max="97" width="7.77734375" style="81" customWidth="1"/>
    <col min="98" max="98" width="33.21875" style="81" customWidth="1"/>
    <col min="99" max="99" width="18" style="81" customWidth="1"/>
    <col min="100" max="100" width="75.6640625" style="81" customWidth="1"/>
    <col min="101" max="125" width="33" style="81" customWidth="1"/>
    <col min="126" max="126" width="8.88671875" style="81"/>
    <col min="127" max="128" width="9.44140625" style="81" bestFit="1" customWidth="1"/>
    <col min="129" max="129" width="10.77734375" style="81" bestFit="1" customWidth="1"/>
    <col min="130" max="134" width="10.77734375" style="81" customWidth="1"/>
    <col min="135" max="135" width="10.109375" style="81" bestFit="1" customWidth="1"/>
    <col min="136" max="136" width="7.77734375" style="81" bestFit="1" customWidth="1"/>
    <col min="137" max="137" width="7.77734375" style="81" customWidth="1"/>
    <col min="138" max="138" width="9" style="81" bestFit="1" customWidth="1"/>
    <col min="139" max="139" width="11.33203125" style="81" bestFit="1" customWidth="1"/>
    <col min="140" max="140" width="9.109375" style="81" bestFit="1" customWidth="1"/>
    <col min="141" max="141" width="9" style="81" bestFit="1" customWidth="1"/>
    <col min="142" max="142" width="12" style="81" bestFit="1" customWidth="1"/>
    <col min="143" max="166" width="12" style="81" customWidth="1"/>
    <col min="167" max="167" width="17.21875" style="81" customWidth="1"/>
    <col min="168" max="191" width="12" style="81" customWidth="1"/>
    <col min="192" max="192" width="8.5546875" style="81" bestFit="1" customWidth="1"/>
    <col min="193" max="193" width="8.5546875" style="81" customWidth="1"/>
    <col min="194" max="194" width="7.109375" style="81" bestFit="1" customWidth="1"/>
    <col min="195" max="195" width="7.5546875" style="81" bestFit="1" customWidth="1"/>
    <col min="196" max="196" width="8.5546875" style="81" bestFit="1" customWidth="1"/>
    <col min="197" max="200" width="8.5546875" style="81" customWidth="1"/>
    <col min="201" max="201" width="188.88671875" style="81" customWidth="1"/>
    <col min="202" max="202" width="9.5546875" style="81" bestFit="1" customWidth="1"/>
    <col min="203" max="203" width="10.44140625" style="81" bestFit="1" customWidth="1"/>
    <col min="204" max="204" width="11.109375" style="81" bestFit="1" customWidth="1"/>
    <col min="205" max="205" width="10.44140625" style="81" bestFit="1" customWidth="1"/>
    <col min="206" max="210" width="10.44140625" style="81" customWidth="1"/>
    <col min="211" max="211" width="45.44140625" style="81" customWidth="1"/>
    <col min="212" max="212" width="47.5546875" style="81" bestFit="1" customWidth="1"/>
    <col min="213" max="213" width="9.33203125" style="85" customWidth="1"/>
    <col min="214" max="214" width="119.5546875" style="81" customWidth="1"/>
    <col min="215" max="215" width="69.6640625" style="81" customWidth="1"/>
    <col min="216" max="218" width="8.88671875" style="81"/>
    <col min="219" max="219" width="37.109375" style="81" customWidth="1"/>
    <col min="220" max="220" width="16.33203125" style="81" customWidth="1"/>
    <col min="221" max="222" width="8.88671875" style="81"/>
    <col min="223" max="223" width="10.109375" style="81" bestFit="1" customWidth="1"/>
    <col min="224" max="232" width="10.88671875" style="81" customWidth="1"/>
    <col min="233" max="234" width="30.77734375" style="81" customWidth="1"/>
    <col min="235" max="235" width="5.109375" style="81" customWidth="1"/>
    <col min="236" max="236" width="3" style="81" customWidth="1"/>
    <col min="237" max="245" width="6.77734375" style="86" customWidth="1"/>
    <col min="246" max="247" width="8.88671875" style="81"/>
    <col min="248" max="248" width="61.5546875" style="81" customWidth="1"/>
    <col min="249" max="253" width="8.88671875" style="81"/>
    <col min="254" max="254" width="9" style="81" customWidth="1"/>
    <col min="255" max="16384" width="8.88671875" style="8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505</v>
      </c>
      <c r="B2" s="40" t="e" vm="124">
        <v>#VALUE!</v>
      </c>
      <c r="C2" s="41">
        <v>1</v>
      </c>
      <c r="D2" s="42" t="s">
        <v>506</v>
      </c>
      <c r="E2" s="43" t="s">
        <v>507</v>
      </c>
      <c r="F2" s="44" t="s">
        <v>163</v>
      </c>
      <c r="G2" s="45">
        <f>COUNTIF($A$1:$A$8373,A2)</f>
        <v>1</v>
      </c>
      <c r="H2" s="46"/>
      <c r="I2" s="47" t="s">
        <v>508</v>
      </c>
      <c r="J2" s="48" t="str">
        <f>""</f>
        <v/>
      </c>
      <c r="K2" s="49">
        <v>9000000</v>
      </c>
      <c r="L2" s="50">
        <v>482000</v>
      </c>
      <c r="M2" s="50" t="s">
        <v>1118</v>
      </c>
      <c r="N2" s="51" t="s">
        <v>180</v>
      </c>
      <c r="O2" s="52" t="s">
        <v>422</v>
      </c>
      <c r="P2" s="53" t="s">
        <v>509</v>
      </c>
      <c r="Q2" s="54">
        <v>1</v>
      </c>
      <c r="R2" s="55" t="s">
        <v>180</v>
      </c>
      <c r="S2" s="56">
        <v>5</v>
      </c>
      <c r="T2" s="57" t="s">
        <v>164</v>
      </c>
      <c r="U2" s="58" t="s">
        <v>164</v>
      </c>
      <c r="V2" s="58" t="s">
        <v>167</v>
      </c>
      <c r="W2" s="58" t="s">
        <v>164</v>
      </c>
      <c r="X2" s="58" t="s">
        <v>164</v>
      </c>
      <c r="Y2" s="58" t="s">
        <v>164</v>
      </c>
      <c r="Z2" s="58" t="s">
        <v>164</v>
      </c>
      <c r="AA2" s="58" t="s">
        <v>164</v>
      </c>
      <c r="AB2" s="58" t="s">
        <v>164</v>
      </c>
      <c r="AC2" s="58" t="s">
        <v>164</v>
      </c>
      <c r="AD2" s="58" t="s">
        <v>164</v>
      </c>
      <c r="AE2" s="58" t="s">
        <v>164</v>
      </c>
      <c r="AF2" s="59" t="s">
        <v>164</v>
      </c>
      <c r="AG2" s="59" t="s">
        <v>164</v>
      </c>
      <c r="AH2" s="59" t="s">
        <v>164</v>
      </c>
      <c r="AI2" s="59" t="s">
        <v>167</v>
      </c>
      <c r="AJ2" s="59" t="s">
        <v>164</v>
      </c>
      <c r="AK2" s="59" t="s">
        <v>164</v>
      </c>
      <c r="AL2" s="59" t="s">
        <v>164</v>
      </c>
      <c r="AM2" s="59" t="s">
        <v>164</v>
      </c>
      <c r="AN2" s="59" t="s">
        <v>164</v>
      </c>
      <c r="AO2" s="59" t="s">
        <v>164</v>
      </c>
      <c r="AP2" s="59" t="s">
        <v>164</v>
      </c>
      <c r="AQ2" s="59" t="s">
        <v>164</v>
      </c>
      <c r="AR2" s="59" t="s">
        <v>164</v>
      </c>
      <c r="AS2" s="59" t="s">
        <v>164</v>
      </c>
      <c r="AT2" s="60">
        <v>1</v>
      </c>
      <c r="AU2" s="59"/>
      <c r="AV2" s="59" t="str">
        <f>IF(LEFT(A2,1)="[",LEFT(A2,5)&amp;AU2&amp;A2,"")</f>
        <v/>
      </c>
      <c r="AW2" s="59" t="str">
        <f t="shared" ref="AW2:AW3" si="0">C2&amp;H2&amp;A2</f>
        <v>1Togo</v>
      </c>
      <c r="AX2" s="61" t="str">
        <f>_xlfn.TEXTJOIN(";",TRUE,AU2:AW2)</f>
        <v>1Togo</v>
      </c>
      <c r="AY2" s="61"/>
      <c r="AZ2" s="62" t="s">
        <v>159</v>
      </c>
      <c r="BA2" s="62"/>
      <c r="BB2" s="62"/>
      <c r="BC2" s="63"/>
      <c r="BD2" s="64" t="s">
        <v>153</v>
      </c>
      <c r="BE2" s="47"/>
      <c r="BF2" s="64" t="s">
        <v>153</v>
      </c>
      <c r="BG2" s="64" t="s">
        <v>153</v>
      </c>
      <c r="BH2" s="64" t="s">
        <v>153</v>
      </c>
      <c r="BI2" s="64" t="s">
        <v>155</v>
      </c>
      <c r="BJ2" s="64"/>
      <c r="BK2" s="47"/>
      <c r="BL2" s="64" t="s">
        <v>153</v>
      </c>
      <c r="BM2" s="64" t="s">
        <v>155</v>
      </c>
      <c r="BN2" s="64" t="s">
        <v>154</v>
      </c>
      <c r="BO2" s="64" t="s">
        <v>159</v>
      </c>
      <c r="BP2" s="64"/>
      <c r="BQ2" s="64"/>
      <c r="BR2" s="64"/>
      <c r="BS2" s="64"/>
      <c r="BT2" s="64"/>
      <c r="BU2" s="65" t="s">
        <v>164</v>
      </c>
      <c r="BV2" s="66" t="s">
        <v>167</v>
      </c>
      <c r="BW2" s="66" t="s">
        <v>166</v>
      </c>
      <c r="BX2" s="47"/>
      <c r="CB2" s="6" t="s">
        <v>137</v>
      </c>
      <c r="CC2" s="6"/>
      <c r="CD2" s="67">
        <v>0</v>
      </c>
      <c r="CE2" s="67">
        <v>0</v>
      </c>
      <c r="CF2" s="67" t="e">
        <v>#REF!</v>
      </c>
      <c r="CG2" s="68" cm="1">
        <f t="array" ref="CG2">SUMPRODUCT(--(LEN(TRIM(BL2:BT2))&gt;0))</f>
        <v>4</v>
      </c>
      <c r="CH2" s="59" t="str">
        <f>IF(CG2=2,"y","n")</f>
        <v>n</v>
      </c>
      <c r="CI2" s="59" t="str">
        <f>IF(CG2=3,"y","n")</f>
        <v>n</v>
      </c>
      <c r="CJ2" s="59" t="str">
        <f>IF(CG2=4,"y","n")</f>
        <v>y</v>
      </c>
      <c r="CK2" s="59" t="str">
        <f>IF(CG2&gt;4,"y","n")</f>
        <v>n</v>
      </c>
      <c r="CL2" s="59" t="str">
        <f>IF(S2=0,"y","n")</f>
        <v>n</v>
      </c>
      <c r="CM2" s="59" t="str">
        <f>IF(S2=2,"y","n")</f>
        <v>n</v>
      </c>
      <c r="CN2" s="59" t="str">
        <f>IF(S2=3,"y","n")</f>
        <v>n</v>
      </c>
      <c r="CO2" s="59" t="str">
        <f>IF(S2&gt;=4,"y","n")</f>
        <v>y</v>
      </c>
      <c r="CP2" s="59" t="str">
        <f>IF(AT2=0,"y","n")</f>
        <v>n</v>
      </c>
      <c r="CQ2" s="59" t="str">
        <f>IF(AT2=1,"y","n")</f>
        <v>y</v>
      </c>
      <c r="CR2" s="59" t="str">
        <f>IF(AT2=2,"y","n")</f>
        <v>n</v>
      </c>
      <c r="CS2" s="59" t="str">
        <f>IF(AT2&gt;=3,"y","n")</f>
        <v>n</v>
      </c>
      <c r="CT2" s="69" t="str">
        <f>CHAR(34)&amp;A2&amp;CHAR(34)</f>
        <v>"Togo"</v>
      </c>
      <c r="CU2" s="70" t="str">
        <f>CHAR(34)&amp;"rgn_"&amp;R2&amp;CHAR(34)</f>
        <v>"rgn_Africa"</v>
      </c>
      <c r="CV2" s="48" t="str">
        <f>CHAR(34)&amp;D2&amp;CHAR(34)</f>
        <v>"https://i.ibb.co/Z89CzBV/Togo-Flag.png"</v>
      </c>
      <c r="CW2" s="48" t="str">
        <f>IF(CH2="y",CHAR(34)&amp;CH$1&amp;CHAR(34)&amp;",","")</f>
        <v/>
      </c>
      <c r="CX2" s="48" t="str">
        <f>IF(CI2="y",CHAR(34)&amp;CI$1&amp;CHAR(34)&amp;",","")</f>
        <v/>
      </c>
      <c r="CY2" s="48" t="str">
        <f>IF(CJ2="y",CHAR(34)&amp;CJ$1&amp;CHAR(34)&amp;",","")</f>
        <v>"4Color",</v>
      </c>
      <c r="CZ2" s="48" t="str">
        <f>IF(CK2="y",CHAR(34)&amp;CK$1&amp;CHAR(34)&amp;",","")</f>
        <v/>
      </c>
      <c r="DA2" s="48" t="str">
        <f>IF(Q2&gt;1,CHAR(34)&amp;"words2"&amp;CHAR(34)&amp;",","")</f>
        <v/>
      </c>
      <c r="DB2" s="48" t="str">
        <f>IF(Q2&gt;2,CHAR(34)&amp;"words3"&amp;CHAR(34)&amp;",","")</f>
        <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"lets04",</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"startT",</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
      </c>
      <c r="DS2" s="6" t="str">
        <f>IF(W2="y",IF(AND(V2="n",BY2&lt;&gt;"y"),CHAR(34)&amp;"allver"&amp;CHAR(34)&amp;",",""),"")</f>
        <v/>
      </c>
      <c r="DT2" s="6" t="str">
        <f>IF(V2="y",IF(AND(W2="n",BY2&lt;&gt;"y"),CHAR(34)&amp;"allhor"&amp;CHAR(34)&amp;",",""),"")</f>
        <v>"allhor",</v>
      </c>
      <c r="DU2" s="6" t="str">
        <f>IF(BY2="y",IF(AND(W2="n",V2="n"),CHAR(34)&amp;"alldia"&amp;CHAR(34)&amp;",",""),"")</f>
        <v/>
      </c>
      <c r="DV2" s="48" t="str">
        <f>IF(IA2&lt;&gt;"",(IF(IA2="y",CHAR(34)&amp;"largec"&amp;CHAR(34)&amp;",",CHAR(34)&amp;"smallc"&amp;CHAR(34)&amp;",")),"")</f>
        <v/>
      </c>
      <c r="DW2" s="48" t="str">
        <f>IF(CL2="y",CHAR(34)&amp;CL$1&amp;CHAR(34)&amp;",","")</f>
        <v/>
      </c>
      <c r="DX2" s="48" t="str">
        <f>IF(CM2="y",CHAR(34)&amp;CM$1&amp;CHAR(34)&amp;",","")</f>
        <v/>
      </c>
      <c r="DY2" s="48" t="str">
        <f>IF(CN2="y",CHAR(34)&amp;CN$1&amp;CHAR(34)&amp;",","")</f>
        <v/>
      </c>
      <c r="DZ2" s="48" t="str">
        <f>IF(CO2="y",CHAR(34)&amp;CO$1&amp;CHAR(34)&amp;",","")</f>
        <v>"4+Band",</v>
      </c>
      <c r="EA2" s="48" t="str">
        <f>IF(T2="y",CHAR(34)&amp;T$1&amp;CHAR(34)&amp;",","")</f>
        <v/>
      </c>
      <c r="EB2" s="48" t="str">
        <f>IF(U2="y",CHAR(34)&amp;U$1&amp;CHAR(34)&amp;",","")</f>
        <v/>
      </c>
      <c r="EC2" s="48" t="str">
        <f>IF(V2="y",CHAR(34)&amp;V$1&amp;CHAR(34)&amp;",","")</f>
        <v>"Horizo",</v>
      </c>
      <c r="ED2" s="48" t="str">
        <f>IF(W2="y",CHAR(34)&amp;W$1&amp;CHAR(34)&amp;",","")</f>
        <v/>
      </c>
      <c r="EE2" s="48" t="str">
        <f>IF(X2="y",CHAR(34)&amp;X$1&amp;CHAR(34)&amp;",","")</f>
        <v/>
      </c>
      <c r="EF2" s="48" t="str">
        <f>IF(AND(Y2&lt;&gt;"n",Y2&lt;&gt;""),CHAR(34)&amp;Y$1&amp;CHAR(34)&amp;",","")</f>
        <v/>
      </c>
      <c r="EG2" s="48" t="str">
        <f>IF(Z2="y",CHAR(34)&amp;Z$1&amp;CHAR(34)&amp;",","")</f>
        <v/>
      </c>
      <c r="EH2" s="48" t="str">
        <f>IF(AA2="y",CHAR(34)&amp;AA$1&amp;CHAR(34)&amp;",","")</f>
        <v/>
      </c>
      <c r="EI2" s="48" t="str">
        <f>IF(AB2="y",CHAR(34)&amp;AB$1&amp;CHAR(34)&amp;",","")</f>
        <v/>
      </c>
      <c r="EJ2" s="48" t="str">
        <f>IF(AC2="y",CHAR(34)&amp;AC$1&amp;CHAR(34)&amp;",","")</f>
        <v/>
      </c>
      <c r="EK2" s="48" t="str">
        <f>IF(AD2="y",CHAR(34)&amp;AD$1&amp;CHAR(34)&amp;",","")</f>
        <v/>
      </c>
      <c r="EL2" s="48" t="str">
        <f>IF(AE2="y",CHAR(34)&amp;AE$1&amp;CHAR(34)&amp;",","")</f>
        <v/>
      </c>
      <c r="EM2" s="48" t="str">
        <f>IF(AF2="y",CHAR(34)&amp;AF$1&amp;CHAR(34)&amp;",","")</f>
        <v/>
      </c>
      <c r="EN2" s="48" t="str">
        <f>IF(AG2="y",CHAR(34)&amp;AG$1&amp;CHAR(34)&amp;",","")</f>
        <v/>
      </c>
      <c r="EO2" s="48" t="str">
        <f>IF(AH2="y",CHAR(34)&amp;AH$1&amp;CHAR(34)&amp;",","")</f>
        <v/>
      </c>
      <c r="EP2" s="48" t="str">
        <f>IF(AI2="y",CHAR(34)&amp;AI$1&amp;CHAR(34)&amp;",","")</f>
        <v>"Canton",</v>
      </c>
      <c r="EQ2" s="48" t="str">
        <f>IF(AJ2="y",CHAR(34)&amp;AJ$1&amp;CHAR(34)&amp;",","")</f>
        <v/>
      </c>
      <c r="ER2" s="48" t="str">
        <f>IF(AK2="y",CHAR(34)&amp;AK$1&amp;CHAR(34)&amp;",","")</f>
        <v/>
      </c>
      <c r="ES2" s="48" t="str">
        <f>IF(AL2="y",CHAR(34)&amp;AL$1&amp;CHAR(34)&amp;",","")</f>
        <v/>
      </c>
      <c r="ET2" s="48" t="str">
        <f>IF(AM2="y",CHAR(34)&amp;AM$1&amp;CHAR(34)&amp;",","")</f>
        <v/>
      </c>
      <c r="EU2" s="48" t="str">
        <f>IF(AN2="y",CHAR(34)&amp;AN$1&amp;CHAR(34)&amp;",","")</f>
        <v/>
      </c>
      <c r="EV2" s="48" t="str">
        <f>IF(AO2="y",CHAR(34)&amp;AO$1&amp;CHAR(34)&amp;",","")</f>
        <v/>
      </c>
      <c r="EW2" s="48" t="str">
        <f>IF(AP2="y",CHAR(34)&amp;AP$1&amp;CHAR(34)&amp;",","")</f>
        <v/>
      </c>
      <c r="EX2" s="48" t="str">
        <f>IF(AQ2="y",CHAR(34)&amp;AQ$1&amp;CHAR(34)&amp;",","")</f>
        <v/>
      </c>
      <c r="EY2" s="48" t="str">
        <f>IF(AR2="y",CHAR(34)&amp;AR$1&amp;CHAR(34)&amp;",","")</f>
        <v/>
      </c>
      <c r="EZ2" s="48" t="str">
        <f>IF(AS2="y",CHAR(34)&amp;AS$1&amp;CHAR(34)&amp;",","")</f>
        <v/>
      </c>
      <c r="FA2" s="48" t="str">
        <f>IF(AT2&gt;0,CHAR(34)&amp;"sta"&amp;AZ2&amp;CHAR(34)&amp;",","")</f>
        <v>"staWHI",</v>
      </c>
      <c r="FB2" s="48" t="str">
        <f>IF(AND(AT2&gt;0,BA2&lt;&gt;""),CHAR(34)&amp;"sta"&amp;BA2&amp;CHAR(34)&amp;",","")</f>
        <v/>
      </c>
      <c r="FC2" s="48" t="str">
        <f>IF(AND(AT2&gt;0,BB2&lt;&gt;""),CHAR(34)&amp;"sta"&amp;BB2&amp;CHAR(34)&amp;",","")</f>
        <v/>
      </c>
      <c r="FD2" s="48" t="str">
        <f>IF(BV2="n",CHAR(34)&amp;"tcWHYE"&amp;CHAR(34)&amp;",",IF(BV2="y",CHAR(34)&amp;FD$1&amp;CHAR(34)&amp;",",""))</f>
        <v>"ntWHYE",</v>
      </c>
      <c r="FE2" s="48" t="str">
        <f>IF(COUNTIF(BL2:BT2,"BLU")=0,CHAR(34)&amp;"NO_BLU"&amp;CHAR(34)&amp;",", "")</f>
        <v>"NO_BLU",</v>
      </c>
      <c r="FF2" s="48" t="str">
        <f>IF(COUNTIF(BL2:BT2,"WHI")=0,CHAR(34)&amp;"NO_WHI"&amp;CHAR(34)&amp;",", "")</f>
        <v/>
      </c>
      <c r="FG2" s="48" t="str">
        <f>IF(COUNTIF(BL2:BT2,"RED")=0,CHAR(34)&amp;"NO_RED"&amp;CHAR(34)&amp;",", "")</f>
        <v/>
      </c>
      <c r="FH2" s="48" t="str">
        <f>IF(COUNTIF(BL2:BS2,"GRE")=0,CHAR(34)&amp;"NO_GRE"&amp;CHAR(34)&amp;",", "")</f>
        <v/>
      </c>
      <c r="FI2" s="48" t="str">
        <f>IF(COUNTIF(BL2:BT2,"YEL")=0,CHAR(34)&amp;"NO_YEL"&amp;CHAR(34)&amp;",", "")</f>
        <v/>
      </c>
      <c r="FJ2" s="48" t="str">
        <f>IF(COUNTIF(BL2:BT2,"BLA")=0,CHAR(34)&amp;"NO_BLA"&amp;CHAR(34)&amp;",", "")</f>
        <v>"NO_BLA",</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
      </c>
      <c r="FP2" s="48" t="str">
        <f>IF(AND(FF2&lt;&gt;"",FF2&lt;&gt;""),CHAR(34)&amp;"WHRENO"&amp;CHAR(34)&amp;",","")</f>
        <v/>
      </c>
      <c r="FQ2" s="48" t="str">
        <f>IF(LEN(BF2)=3,CHAR(34)&amp;"001"&amp;BF2&amp;CHAR(34)&amp;",","")</f>
        <v>"001GRE",</v>
      </c>
      <c r="FR2" s="48" t="str">
        <f>IF(LEN(BG2)=3,CHAR(34)&amp;"002"&amp;BG2&amp;CHAR(34)&amp;",","")</f>
        <v>"002GRE",</v>
      </c>
      <c r="FS2" s="48" t="str">
        <f>IF(LEN(BH2)=3,CHAR(34)&amp;"003"&amp;BH2&amp;CHAR(34)&amp;",","")</f>
        <v>"003GRE",</v>
      </c>
      <c r="FT2" s="48" t="str">
        <f>CHAR(34)&amp;"myr"&amp;BD2&amp;CHAR(34)&amp;","</f>
        <v>"myrGRE",</v>
      </c>
      <c r="FU2" s="48" t="str">
        <f>IF(AY2="y",CHAR(34)&amp;"island"&amp;CHAR(34)&amp;",","")</f>
        <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
      </c>
      <c r="GA2" s="48" t="str">
        <f>IFERROR(IF(SEARCH("French",CB2)&gt;0,CHAR(34)&amp;"french"&amp;CHAR(34)&amp;",",""),"")</f>
        <v>"french",</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
      </c>
      <c r="GK2" s="48" t="str">
        <f>IF(GJ2="",CHAR(34)&amp;"HasSta"&amp;CHAR(34)&amp;",","")</f>
        <v>"HasSta",</v>
      </c>
      <c r="GL2" s="48" t="str">
        <f>IF(CQ2="y",CHAR(34)&amp;CQ$1&amp;CHAR(34)&amp;",","")</f>
        <v>"1Stars",</v>
      </c>
      <c r="GM2" s="48" t="str">
        <f>IF(CR2="y",CHAR(34)&amp;CR$1&amp;CHAR(34)&amp;",","")</f>
        <v/>
      </c>
      <c r="GN2" s="48" t="str">
        <f>IF(CS2="y",CHAR(34)&amp;CS$1&amp;CHAR(34)&amp;",","")</f>
        <v/>
      </c>
      <c r="GP2" s="48" t="str">
        <f>CHAR(34)&amp;AU2&amp;CHAR(34)</f>
        <v>""</v>
      </c>
      <c r="GS2" s="48" t="str">
        <f>SUBSTITUTE("["&amp;_xlfn.CONCAT(CW2:GN2)&amp;"]",",]","]")</f>
        <v>["4Color","lets04","startT","year19","allhor","4+Band","Horizo","Canton","staWHI","ntWHYE","NO_BLU","NO_BLA","001GRE","002GRE","003GRE","myrGRE","french","HasSta","1Stars"]</v>
      </c>
      <c r="GT2" s="48" t="str">
        <f>IF(BL2&lt;&gt;"",CHAR(34)&amp;"cl_"&amp;BL2&amp;CHAR(34)&amp;",","")</f>
        <v>"cl_GRE",</v>
      </c>
      <c r="GU2" s="48" t="str">
        <f>IF(BM2&lt;&gt;"",CHAR(34)&amp;"cl_"&amp;BM2&amp;CHAR(34)&amp;",","")</f>
        <v>"cl_YEL",</v>
      </c>
      <c r="GV2" s="48" t="str">
        <f>IF(BN2&lt;&gt;"",CHAR(34)&amp;"cl_"&amp;BN2&amp;CHAR(34)&amp;",","")</f>
        <v>"cl_RED",</v>
      </c>
      <c r="GW2" s="48" t="str">
        <f>IF(BO2&lt;&gt;"",CHAR(34)&amp;"cl_"&amp;BO2&amp;CHAR(34)&amp;",","")</f>
        <v>"cl_WHI",</v>
      </c>
      <c r="GX2" s="48" t="str">
        <f>IF(BP2&lt;&gt;"",CHAR(34)&amp;"cl_"&amp;BP2&amp;CHAR(34)&amp;",","")</f>
        <v/>
      </c>
      <c r="GY2" s="48" t="str">
        <f>IF(BQ2&lt;&gt;"",CHAR(34)&amp;"cl_"&amp;BQ2&amp;CHAR(34)&amp;",","")</f>
        <v/>
      </c>
      <c r="GZ2" s="48" t="str">
        <f>IF(BR2&lt;&gt;"",CHAR(34)&amp;"cl_"&amp;BR2&amp;CHAR(34)&amp;",","")</f>
        <v/>
      </c>
      <c r="HA2" s="48" t="str">
        <f>IF(BS2&lt;&gt;"",CHAR(34)&amp;"cl_"&amp;BS2&amp;CHAR(34)&amp;",","")</f>
        <v/>
      </c>
      <c r="HB2" s="48" t="str">
        <f>IF(BT2&lt;&gt;"",CHAR(34)&amp;"cl_"&amp;BT2&amp;CHAR(34)&amp;",","")</f>
        <v/>
      </c>
      <c r="HC2" s="48" t="str">
        <f>SUBSTITUTE("["&amp;_xlfn.CONCAT(GT2:HB2)&amp;"]",",]","]")</f>
        <v>["cl_GRE","cl_YEL","cl_RED","cl_WHI"]</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{couname:"Togo",year:"1960 ",region:"rgn_Africa",Colors:["cl_GRE","cl_YEL","cl_RED","cl_WHI"],Items:["4Color","lets04","startT","year19","allhor","4+Band","Horizo","Canton","staWHI","ntWHYE","NO_BLU","NO_BLA","001GRE","002GRE","003GRE","myrGRE","french","HasSta","1Stars"],Flag:"https://i.ibb.co/Z89CzBV/Togo-Flag.png",HDFlag:"https://upload.wikimedia.org/wikipedia/commons/thumb/6/68/Flag_of_Togo.svg/2560px-Flag_of_Togo.svg.png",type:"", describe: "\n\n • Red represents blood shed by Togo's freedom fighters\n\n • White star represents hope\n\n • Green represents the forests, agriculture, nature, and overall hope for the future\n\n • Yellow represents the natural resources of the country\n\n • The five stripes represent the five regions of Togo.", isnew:".", links: "https://en.wikipedia.org/wiki/Flag_of_Togo"},</v>
      </c>
      <c r="HG2" s="73" t="str">
        <f>"{couname:"&amp;CT2&amp;(IF(HK2&lt;&gt;"",",subtype:"&amp;CHAR(34)&amp;HK2&amp;CHAR(34),""))&amp;",year:"&amp;HJ2&amp;",region:"&amp;CU2&amp;",Colors:"&amp;HC2&amp;",Items:"&amp;GS2&amp;",Flag:"&amp;CV2&amp;",HDFlag:"&amp;CHAR(34)&amp;E2&amp;CHAR(34)&amp;",type:"&amp;GP2&amp;", describe: "&amp;HI2&amp;", links: "&amp;HL2&amp;"},"</f>
        <v>{couname:"Togo",year:"1960 ",region:"rgn_Africa",Colors:["cl_GRE","cl_YEL","cl_RED","cl_WHI"],Items:["4Color","lets04","startT","year19","allhor","4+Band","Horizo","Canton","staWHI","ntWHYE","NO_BLU","NO_BLA","001GRE","002GRE","003GRE","myrGRE","french","HasSta","1Stars"],Flag:"https://i.ibb.co/Z89CzBV/Togo-Flag.png",HDFlag:"https://upload.wikimedia.org/wikipedia/commons/thumb/6/68/Flag_of_Togo.svg/2560px-Flag_of_Togo.svg.png",type:"", describe: "\n\n • Red represents blood shed by Togo's freedom fighters\n\n • White star represents hope\n\n • Green represents the forests, agriculture, nature, and overall hope for the future\n\n • Yellow represents the natural resources of the country\n\n • The five stripes represent the five regions of Togo.", links: "https://en.wikipedia.org/wiki/Flag_of_Togo"},</v>
      </c>
      <c r="HH2" s="48" t="str">
        <f>IF(P2&lt;&gt;"",CHAR(34)&amp;"\n"&amp;P2&amp;CHAR(34),CHAR(34)&amp;CHAR(34))</f>
        <v>"\n\n • Red represents blood shed by Togo's freedom fighters\n\n • White star represents hope\n\n • Green represents the forests, agriculture, nature, and overall hope for the future\n\n • Yellow represents the natural resources of the country\n\n • The five stripes represent the five regions of Togo."</v>
      </c>
      <c r="HI2" s="48" t="str">
        <f>IF(J2=0,CHAR(34)&amp;CHAR(34),HH2)</f>
        <v>"\n\n • Red represents blood shed by Togo's freedom fighters\n\n • White star represents hope\n\n • Green represents the forests, agriculture, nature, and overall hope for the future\n\n • Yellow represents the natural resources of the country\n\n • The five stripes represent the five regions of Togo."</v>
      </c>
      <c r="HJ2" s="48" t="str">
        <f>CHAR(34)&amp;O2&amp;CHAR(34)</f>
        <v>"1960 "</v>
      </c>
      <c r="HL2" s="48" t="str">
        <f>CHAR(34)&amp;I2&amp;CHAR(34)</f>
        <v>"https://en.wikipedia.org/wiki/Flag_of_Togo"</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{"couname":"Togo","year":"1960 ","region":"rgn_Africa","Colors":["cl_GRE","cl_YEL","cl_RED","cl_WHI"],"Items":["4Color","lets04","startT","year19","allhor","4+Band","Horizo","Canton","staWHI","ntWHYE","NO_BLU","NO_BLA","001GRE","002GRE","003GRE","myrGRE","french","HasSta","1Stars"],"Flag":"https://i.ibb.co/Z89CzBV/Togo-Flag.png","HDFlag":"https://upload.wikimedia.org/wikipedia/commons/thumb/6/68/Flag_of_Togo.svg/2560px-Flag_of_Togo.svg.png","type":"", "describe": "\n\n • Red represents blood shed by Togo's freedom fighters\n\n • White star represents hope\n\n • Green represents the forests, agriculture, nature, and overall hope for the future\n\n • Yellow represents the natural resources of the country\n\n • The five stripes represent the five regions of Togo.", "isnew": ".", "links": "https://en.wikipedia.org/wiki/Flag_of_Togo"},</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{"couname":"Togo","year":"1960 ","region":"rgn_Africa","Colors":["cl_GRE","cl_YEL","cl_RED","cl_WHI"],"Items":["4Color","lets04","startT","year19","allhor","4+Band","Horizo","Canton","staWHI","ntWHYE","NO_BLU","NO_BLA","001GRE","002GRE","003GRE","myrGRE","french","HasSta","1Stars"],"Flag":"https://i.ibb.co/Z89CzBV/Togo-Flag.png","HDFlag":"https://upload.wikimedia.org/wikipedia/commons/thumb/6/68/Flag_of_Togo.svg/2560px-Flag_of_Togo.svg.png","type":"", "describe": "\n\n • Red represents blood shed by Togo's freedom fighters\n\n • White star represents hope\n\n • Green represents the forests, agriculture, nature, and overall hope for the future\n\n • Yellow represents the natural resources of the country\n\n • The five stripes represent the five regions of Togo.", "isnew": ".", "links": "https://en.wikipedia.org/wiki/Flag_of_Togo"},</v>
      </c>
      <c r="HO2" s="75"/>
      <c r="HP2" s="48" t="str" cm="1">
        <f t="array" ref="HP2">IF(_xlfn.TEXTJOIN(", ", TRUE, IF(ISNUMBER(SEARCH("BLA", BL2:BT2)), COLUMN(BL2:BT2) - COLUMN(BL2) + 1, ""))&lt;&gt;"","BLA","")</f>
        <v/>
      </c>
      <c r="HQ2" s="48" t="str" cm="1">
        <f t="array" ref="HQ2">IF(_xlfn.TEXTJOIN(", ", TRUE, IF(ISNUMBER(SEARCH("BLU", BL2:BT2)), COLUMN(BL2:BT2) - COLUMN(BL2) + 1, ""))&lt;&gt;"","BLU","")</f>
        <v/>
      </c>
      <c r="HR2" s="48" t="str" cm="1">
        <f t="array" ref="HR2">IF(_xlfn.TEXTJOIN(", ", TRUE, IF(ISNUMBER(SEARCH("GRE", BL2:BT2)), COLUMN(BL2:BT2) - COLUMN(BL2) + 1, ""))&lt;&gt;"","GRE","")</f>
        <v>GRE</v>
      </c>
      <c r="HS2" s="48" t="str" cm="1">
        <f t="array" ref="HS2">IF(_xlfn.TEXTJOIN(", ", TRUE, IF(ISNUMBER(SEARCH("RED", BL2:BT2)), COLUMN(BL2:BT2) - COLUMN(BL2) + 1, ""))&lt;&gt;"","RED","")</f>
        <v>RED</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c r="IB2" s="6"/>
      <c r="IC2" s="77"/>
      <c r="ID2" s="77"/>
      <c r="IE2" s="77"/>
      <c r="IF2" s="77"/>
      <c r="IG2" s="77"/>
      <c r="IH2" s="77"/>
      <c r="II2" s="77"/>
      <c r="IJ2" s="77"/>
      <c r="IK2" s="77"/>
      <c r="IL2" s="48">
        <f>SUM(IC2:IK2)</f>
        <v>0</v>
      </c>
      <c r="IM2" s="45">
        <f>COUNTIF(IC2:IK2,"&gt;0")-CG2</f>
        <v>-4</v>
      </c>
      <c r="IN2" s="78" t="str">
        <f>"http://mkweb.bcgsc.ca/color-summarizer/?url="&amp;D2&amp;"&amp;precision=low&amp;num_clusters="&amp;CG2&amp;"&amp;text=1"</f>
        <v>http://mkweb.bcgsc.ca/color-summarizer/?url=https://i.ibb.co/Z89CzBV/Togo-Flag.png&amp;precision=low&amp;num_clusters=4&amp;text=1</v>
      </c>
      <c r="IO2" s="48" t="str">
        <f>IF(HP2&lt;&gt;"",CHAR(34)&amp;"black"&amp;CHAR(34),"")</f>
        <v/>
      </c>
      <c r="IP2" s="48" t="str">
        <f>IF(HQ2&lt;&gt;"",CHAR(34)&amp;"blue"&amp;CHAR(34),"")</f>
        <v/>
      </c>
      <c r="IQ2" s="48" t="str">
        <f>IF(HR2&lt;&gt;"",CHAR(34)&amp;"green"&amp;CHAR(34),"")</f>
        <v>"green"</v>
      </c>
      <c r="IR2" s="48" t="str">
        <f>IF(HS2&lt;&gt;"",CHAR(34)&amp;"red"&amp;CHAR(34),"")</f>
        <v>"red"</v>
      </c>
      <c r="IS2" s="48" t="str">
        <f>IF(HT2&lt;&gt;"",CHAR(34)&amp;"yellow"&amp;CHAR(34),"")</f>
        <v>"yellow"</v>
      </c>
      <c r="IT2" s="48" t="str">
        <f>IF(HU2&lt;&gt;"",CHAR(34)&amp;"orange"&amp;CHAR(34),"")</f>
        <v/>
      </c>
      <c r="IU2" s="48" t="str">
        <f>IF(HV2&lt;&gt;"",CHAR(34)&amp;"brown"&amp;CHAR(34),"")</f>
        <v/>
      </c>
      <c r="IV2" s="48" t="str">
        <f>IF(HW2&lt;&gt;"",CHAR(34)&amp;"purple"&amp;CHAR(34),"")</f>
        <v/>
      </c>
      <c r="IW2" s="48" t="str">
        <f>IF(HX2&lt;&gt;"",CHAR(34)&amp;"white"&amp;CHAR(34),"")</f>
        <v>"white"</v>
      </c>
      <c r="IX2" s="48" t="str">
        <f>"{"&amp;CHAR(34)&amp;"url"&amp;CHAR(34)&amp;":"&amp;CHAR(34)&amp;IN2&amp;CHAR(34)&amp;","&amp;CHAR(34)&amp;"name"&amp;CHAR(34)&amp;":"&amp;CHAR(34)&amp;A2&amp;CHAR(34)&amp;"},"</f>
        <v>{"url":"http://mkweb.bcgsc.ca/color-summarizer/?url=https://i.ibb.co/Z89CzBV/Togo-Flag.png&amp;precision=low&amp;num_clusters=4&amp;text=1","name":"Togo"},</v>
      </c>
      <c r="IY2" s="48">
        <v>219</v>
      </c>
    </row>
    <row r="3" spans="1:259" s="48" customFormat="1" ht="38.4" customHeight="1" thickBot="1" x14ac:dyDescent="0.35">
      <c r="A3" s="80" t="s">
        <v>510</v>
      </c>
      <c r="B3" s="40" t="e" vm="125">
        <v>#VALUE!</v>
      </c>
      <c r="C3" s="41" t="s">
        <v>173</v>
      </c>
      <c r="D3" s="42" t="s">
        <v>511</v>
      </c>
      <c r="E3" s="43" t="s">
        <v>512</v>
      </c>
      <c r="F3" s="44" t="s">
        <v>163</v>
      </c>
      <c r="G3" s="45">
        <f>COUNTIF($A$1:$A$8388,A3)</f>
        <v>1</v>
      </c>
      <c r="H3" s="46" t="s">
        <v>516</v>
      </c>
      <c r="I3" s="47" t="s">
        <v>513</v>
      </c>
      <c r="J3" s="48" t="str">
        <f>""</f>
        <v/>
      </c>
      <c r="K3" s="49"/>
      <c r="L3" s="50"/>
      <c r="M3" s="50"/>
      <c r="N3" s="51" t="s">
        <v>180</v>
      </c>
      <c r="O3" s="52" t="s">
        <v>514</v>
      </c>
      <c r="P3" s="53" t="s">
        <v>515</v>
      </c>
      <c r="Q3" s="54">
        <v>2</v>
      </c>
      <c r="R3" s="55" t="s">
        <v>180</v>
      </c>
      <c r="S3" s="56">
        <v>0</v>
      </c>
      <c r="T3" s="57" t="s">
        <v>164</v>
      </c>
      <c r="U3" s="58" t="s">
        <v>164</v>
      </c>
      <c r="V3" s="58" t="s">
        <v>164</v>
      </c>
      <c r="W3" s="58" t="s">
        <v>164</v>
      </c>
      <c r="X3" s="58" t="s">
        <v>164</v>
      </c>
      <c r="Y3" s="58" t="s">
        <v>164</v>
      </c>
      <c r="Z3" s="58" t="s">
        <v>164</v>
      </c>
      <c r="AA3" s="58" t="s">
        <v>164</v>
      </c>
      <c r="AB3" s="58" t="s">
        <v>164</v>
      </c>
      <c r="AC3" s="58" t="s">
        <v>164</v>
      </c>
      <c r="AD3" s="58" t="s">
        <v>164</v>
      </c>
      <c r="AE3" s="58" t="s">
        <v>164</v>
      </c>
      <c r="AF3" s="59" t="s">
        <v>164</v>
      </c>
      <c r="AG3" s="59" t="s">
        <v>164</v>
      </c>
      <c r="AH3" s="59" t="s">
        <v>164</v>
      </c>
      <c r="AI3" s="59" t="s">
        <v>167</v>
      </c>
      <c r="AJ3" s="59" t="s">
        <v>164</v>
      </c>
      <c r="AK3" s="59" t="s">
        <v>164</v>
      </c>
      <c r="AL3" s="59" t="s">
        <v>164</v>
      </c>
      <c r="AM3" s="59" t="s">
        <v>164</v>
      </c>
      <c r="AN3" s="59" t="s">
        <v>164</v>
      </c>
      <c r="AO3" s="59" t="s">
        <v>164</v>
      </c>
      <c r="AP3" s="59" t="s">
        <v>164</v>
      </c>
      <c r="AQ3" s="59" t="s">
        <v>164</v>
      </c>
      <c r="AR3" s="59" t="s">
        <v>164</v>
      </c>
      <c r="AS3" s="59" t="s">
        <v>164</v>
      </c>
      <c r="AT3" s="60">
        <v>2</v>
      </c>
      <c r="AU3" s="59" t="s">
        <v>174</v>
      </c>
      <c r="AV3" s="59" t="str">
        <f>IF(LEFT(A3,1)="[",LEFT(A3,5)&amp;AU3&amp;A3,"")</f>
        <v>[TGO]Historical[TGO] French Togoland (1956-1960)</v>
      </c>
      <c r="AW3" s="59" t="str">
        <f t="shared" si="0"/>
        <v>3b[TGO] Other[TGO] French Togoland (1956-1960)</v>
      </c>
      <c r="AX3" s="61"/>
      <c r="AY3" s="61"/>
      <c r="AZ3" s="62" t="s">
        <v>155</v>
      </c>
      <c r="BA3" s="62"/>
      <c r="BB3" s="62"/>
      <c r="BC3" s="63"/>
      <c r="BD3" s="64" t="s">
        <v>153</v>
      </c>
      <c r="BE3" s="47"/>
      <c r="BF3" s="64"/>
      <c r="BG3" s="64"/>
      <c r="BH3" s="64"/>
      <c r="BI3" s="64"/>
      <c r="BJ3" s="64"/>
      <c r="BK3" s="47"/>
      <c r="BL3" s="64" t="s">
        <v>153</v>
      </c>
      <c r="BM3" s="64" t="s">
        <v>155</v>
      </c>
      <c r="BN3" s="64" t="s">
        <v>159</v>
      </c>
      <c r="BO3" s="64" t="s">
        <v>154</v>
      </c>
      <c r="BP3" s="64" t="s">
        <v>152</v>
      </c>
      <c r="BQ3" s="64"/>
      <c r="BR3" s="64"/>
      <c r="BS3" s="64"/>
      <c r="BT3" s="64"/>
      <c r="BU3" s="65" t="s">
        <v>164</v>
      </c>
      <c r="BV3" s="66"/>
      <c r="BW3" s="66">
        <v>0</v>
      </c>
      <c r="BX3" s="47"/>
      <c r="CB3" s="6"/>
      <c r="CC3" s="6"/>
      <c r="CD3" s="67">
        <v>0</v>
      </c>
      <c r="CE3" s="67">
        <v>0</v>
      </c>
      <c r="CF3" s="67" t="e">
        <v>#REF!</v>
      </c>
      <c r="CG3" s="68" cm="1">
        <f t="array" ref="CG3">SUMPRODUCT(--(LEN(TRIM(BL3:BT3))&gt;0))</f>
        <v>5</v>
      </c>
      <c r="CH3" s="59" t="str">
        <f>IF(CG3=2,"y","n")</f>
        <v>n</v>
      </c>
      <c r="CI3" s="59" t="str">
        <f>IF(CG3=3,"y","n")</f>
        <v>n</v>
      </c>
      <c r="CJ3" s="59" t="str">
        <f>IF(CG3=4,"y","n")</f>
        <v>n</v>
      </c>
      <c r="CK3" s="59" t="str">
        <f>IF(CG3&gt;4,"y","n")</f>
        <v>y</v>
      </c>
      <c r="CL3" s="59" t="str">
        <f>IF(S3=0,"y","n")</f>
        <v>y</v>
      </c>
      <c r="CM3" s="59" t="str">
        <f>IF(S3=2,"y","n")</f>
        <v>n</v>
      </c>
      <c r="CN3" s="59" t="str">
        <f>IF(S3=3,"y","n")</f>
        <v>n</v>
      </c>
      <c r="CO3" s="59" t="str">
        <f>IF(S3&gt;=4,"y","n")</f>
        <v>n</v>
      </c>
      <c r="CP3" s="59" t="str">
        <f>IF(AT3=0,"y","n")</f>
        <v>n</v>
      </c>
      <c r="CQ3" s="59" t="str">
        <f>IF(AT3=1,"y","n")</f>
        <v>n</v>
      </c>
      <c r="CR3" s="59" t="str">
        <f>IF(AT3=2,"y","n")</f>
        <v>y</v>
      </c>
      <c r="CS3" s="59" t="str">
        <f>IF(AT3&gt;=3,"y","n")</f>
        <v>n</v>
      </c>
      <c r="CT3" s="69" t="str">
        <f>CHAR(34)&amp;A3&amp;CHAR(34)</f>
        <v>"[TGO] French Togoland (1956-1960)"</v>
      </c>
      <c r="CU3" s="70" t="str">
        <f>CHAR(34)&amp;"rgn_"&amp;R3&amp;CHAR(34)</f>
        <v>"rgn_Africa"</v>
      </c>
      <c r="CV3" s="48" t="str">
        <f>CHAR(34)&amp;D3&amp;CHAR(34)</f>
        <v>"https://upload.wikimedia.org/wikipedia/commons/thumb/a/af/Flag_of_French_Togoland_%28yellow_stars%29.png/800px-Flag_of_French_Togoland_%28yellow_stars%29.png"</v>
      </c>
      <c r="CW3" s="48" t="str">
        <f>IF(CH3="y",CHAR(34)&amp;CH$1&amp;CHAR(34)&amp;",","")</f>
        <v/>
      </c>
      <c r="CX3" s="48" t="str">
        <f>IF(CI3="y",CHAR(34)&amp;CI$1&amp;CHAR(34)&amp;",","")</f>
        <v/>
      </c>
      <c r="CY3" s="48" t="str">
        <f>IF(CJ3="y",CHAR(34)&amp;CJ$1&amp;CHAR(34)&amp;",","")</f>
        <v/>
      </c>
      <c r="CZ3" s="48" t="str">
        <f>IF(CK3="y",CHAR(34)&amp;CK$1&amp;CHAR(34)&amp;",","")</f>
        <v>"5+Colo",</v>
      </c>
      <c r="DA3" s="48" t="str">
        <f>IF(Q3&gt;1,CHAR(34)&amp;"words2"&amp;CHAR(34)&amp;",","")</f>
        <v>"words2",</v>
      </c>
      <c r="DB3" s="48" t="str">
        <f>IF(Q3&gt;2,CHAR(34)&amp;"words3"&amp;CHAR(34)&amp;",","")</f>
        <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"lets24",</v>
      </c>
      <c r="DE3" s="48" t="str">
        <f>CHAR(34)&amp;"start"&amp;IFERROR(LEFT(SUBSTITUTE(A3,"["&amp;MID(A3,FIND("[",A3)+1,FIND("]",A3)-FIND("[",A3)-1)&amp;"] ",""),1),LEFT(A3,1))&amp;CHAR(34)&amp;","</f>
        <v>"startF",</v>
      </c>
      <c r="DF3" s="48" t="str">
        <f>IFERROR(IF(SEARCH("tan",A3)&gt;0,CHAR(34)&amp;"withtn"&amp;CHAR(34)&amp;",",""),"")</f>
        <v/>
      </c>
      <c r="DG3" s="48" t="str">
        <f>IFERROR(IF(SEARCH("q",A3)&gt;0,CHAR(34)&amp;"with_q"&amp;CHAR(34)&amp;",",""),"")</f>
        <v/>
      </c>
      <c r="DH3" s="48" t="str">
        <f>IFERROR(IF(SEARCH("v",A3)&gt;0,CHAR(34)&amp;"with_v"&amp;CHAR(34)&amp;",",""),"")</f>
        <v/>
      </c>
      <c r="DI3" s="48" t="str">
        <f>IFERROR(IF(SEARCH("w",A3)&gt;0,CHAR(34)&amp;"with_w"&amp;CHAR(34)&amp;",",""),"")</f>
        <v/>
      </c>
      <c r="DJ3" s="48" t="str">
        <f>IFERROR(IF(SEARCH("y",A3)&gt;0,CHAR(34)&amp;"with_y"&amp;CHAR(34)&amp;",",""),"")</f>
        <v/>
      </c>
      <c r="DK3" s="48" t="str">
        <f>IFERROR(IF(SEARCH("z",A3)&gt;0,CHAR(34)&amp;"with_z"&amp;CHAR(34)&amp;",",""),"")</f>
        <v/>
      </c>
      <c r="DL3" s="48" t="str">
        <f>IF(CG3=2, CHAR(34) &amp; _xlfn.TEXTJOIN("", TRUE, _xlfn._xlws.SORT(HP3:HX3)) &amp; CHAR(34) &amp; ",", "")</f>
        <v/>
      </c>
      <c r="DM3" s="48" t="str" cm="1">
        <f t="array" ref="DM3">IF(CG3=3,CHAR(34) &amp; _xlfn.TEXTJOIN("", TRUE, RIGHT(HP3:HX3, 2)) &amp; CHAR(34) &amp; ",", "")</f>
        <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"year19",</v>
      </c>
      <c r="DP3" s="6" t="str">
        <f>IF(AND(ISNUMBER(SEARCH("20", O3)), ISERROR(SEARCH("1920", O3))), CHAR(34)&amp;"year00"&amp;CHAR(34)&amp;",", "")</f>
        <v/>
      </c>
      <c r="DQ3" s="6" t="str">
        <f>IF(CC3="y",CHAR(34)&amp;"soviet"&amp;CHAR(34)&amp;",","")</f>
        <v/>
      </c>
      <c r="DR3" s="6" t="str">
        <f>IF(BY3="y",CHAR(34)&amp;"dgband"&amp;CHAR(34)&amp;",","")</f>
        <v/>
      </c>
      <c r="DS3" s="6" t="str">
        <f>IF(W3="y",IF(AND(V3="n",BY3&lt;&gt;"y"),CHAR(34)&amp;"allver"&amp;CHAR(34)&amp;",",""),"")</f>
        <v/>
      </c>
      <c r="DT3" s="6" t="str">
        <f>IF(V3="y",IF(AND(W3="n",BY3&lt;&gt;"y"),CHAR(34)&amp;"allhor"&amp;CHAR(34)&amp;",",""),"")</f>
        <v/>
      </c>
      <c r="DU3" s="6" t="str">
        <f>IF(BY3="y",IF(AND(W3="n",V3="n"),CHAR(34)&amp;"alldia"&amp;CHAR(34)&amp;",",""),"")</f>
        <v/>
      </c>
      <c r="DW3" s="48" t="str">
        <f>IF(CL3="y",CHAR(34)&amp;CL$1&amp;CHAR(34)&amp;",","")</f>
        <v>"NoBand",</v>
      </c>
      <c r="DX3" s="48" t="str">
        <f>IF(CM3="y",CHAR(34)&amp;CM$1&amp;CHAR(34)&amp;",","")</f>
        <v/>
      </c>
      <c r="DY3" s="48" t="str">
        <f>IF(CN3="y",CHAR(34)&amp;CN$1&amp;CHAR(34)&amp;",","")</f>
        <v/>
      </c>
      <c r="DZ3" s="48" t="str">
        <f>IF(CO3="y",CHAR(34)&amp;CO$1&amp;CHAR(34)&amp;",","")</f>
        <v/>
      </c>
      <c r="EA3" s="48" t="str">
        <f>IF(T3="y",CHAR(34)&amp;T$1&amp;CHAR(34)&amp;",","")</f>
        <v/>
      </c>
      <c r="EB3" s="48" t="str">
        <f>IF(U3="y",CHAR(34)&amp;U$1&amp;CHAR(34)&amp;",","")</f>
        <v/>
      </c>
      <c r="EC3" s="48" t="str">
        <f>IF(V3="y",CHAR(34)&amp;V$1&amp;CHAR(34)&amp;",","")</f>
        <v/>
      </c>
      <c r="ED3" s="48" t="str">
        <f>IF(W3="y",CHAR(34)&amp;W$1&amp;CHAR(34)&amp;",","")</f>
        <v/>
      </c>
      <c r="EE3" s="48" t="str">
        <f>IF(X3="y",CHAR(34)&amp;X$1&amp;CHAR(34)&amp;",","")</f>
        <v/>
      </c>
      <c r="EF3" s="48" t="str">
        <f>IF(AND(Y3&lt;&gt;"n",Y3&lt;&gt;""),CHAR(34)&amp;Y$1&amp;CHAR(34)&amp;",","")</f>
        <v/>
      </c>
      <c r="EG3" s="48" t="str">
        <f>IF(Z3="y",CHAR(34)&amp;Z$1&amp;CHAR(34)&amp;",","")</f>
        <v/>
      </c>
      <c r="EH3" s="48" t="str">
        <f>IF(AA3="y",CHAR(34)&amp;AA$1&amp;CHAR(34)&amp;",","")</f>
        <v/>
      </c>
      <c r="EI3" s="48" t="str">
        <f>IF(AB3="y",CHAR(34)&amp;AB$1&amp;CHAR(34)&amp;",","")</f>
        <v/>
      </c>
      <c r="EJ3" s="48" t="str">
        <f>IF(AC3="y",CHAR(34)&amp;AC$1&amp;CHAR(34)&amp;",","")</f>
        <v/>
      </c>
      <c r="EK3" s="48" t="str">
        <f>IF(AD3="y",CHAR(34)&amp;AD$1&amp;CHAR(34)&amp;",","")</f>
        <v/>
      </c>
      <c r="EL3" s="48" t="str">
        <f>IF(AE3="y",CHAR(34)&amp;AE$1&amp;CHAR(34)&amp;",","")</f>
        <v/>
      </c>
      <c r="EM3" s="48" t="str">
        <f>IF(AF3="y",CHAR(34)&amp;AF$1&amp;CHAR(34)&amp;",","")</f>
        <v/>
      </c>
      <c r="EN3" s="48" t="str">
        <f>IF(AG3="y",CHAR(34)&amp;AG$1&amp;CHAR(34)&amp;",","")</f>
        <v/>
      </c>
      <c r="EO3" s="48" t="str">
        <f>IF(AH3="y",CHAR(34)&amp;AH$1&amp;CHAR(34)&amp;",","")</f>
        <v/>
      </c>
      <c r="EP3" s="48" t="str">
        <f>IF(AI3="y",CHAR(34)&amp;AI$1&amp;CHAR(34)&amp;",","")</f>
        <v>"Canton",</v>
      </c>
      <c r="EQ3" s="48" t="str">
        <f>IF(AJ3="y",CHAR(34)&amp;AJ$1&amp;CHAR(34)&amp;",","")</f>
        <v/>
      </c>
      <c r="ER3" s="48" t="str">
        <f>IF(AK3="y",CHAR(34)&amp;AK$1&amp;CHAR(34)&amp;",","")</f>
        <v/>
      </c>
      <c r="ES3" s="48" t="str">
        <f>IF(AL3="y",CHAR(34)&amp;AL$1&amp;CHAR(34)&amp;",","")</f>
        <v/>
      </c>
      <c r="ET3" s="48" t="str">
        <f>IF(AM3="y",CHAR(34)&amp;AM$1&amp;CHAR(34)&amp;",","")</f>
        <v/>
      </c>
      <c r="EU3" s="48" t="str">
        <f>IF(AN3="y",CHAR(34)&amp;AN$1&amp;CHAR(34)&amp;",","")</f>
        <v/>
      </c>
      <c r="EV3" s="48" t="str">
        <f>IF(AO3="y",CHAR(34)&amp;AO$1&amp;CHAR(34)&amp;",","")</f>
        <v/>
      </c>
      <c r="EW3" s="48" t="str">
        <f>IF(AP3="y",CHAR(34)&amp;AP$1&amp;CHAR(34)&amp;",","")</f>
        <v/>
      </c>
      <c r="EX3" s="48" t="str">
        <f>IF(AQ3="y",CHAR(34)&amp;AQ$1&amp;CHAR(34)&amp;",","")</f>
        <v/>
      </c>
      <c r="EY3" s="48" t="str">
        <f>IF(AR3="y",CHAR(34)&amp;AR$1&amp;CHAR(34)&amp;",","")</f>
        <v/>
      </c>
      <c r="EZ3" s="48" t="str">
        <f>IF(AS3="y",CHAR(34)&amp;AS$1&amp;CHAR(34)&amp;",","")</f>
        <v/>
      </c>
      <c r="FA3" s="48" t="str">
        <f>IF(AT3&gt;0,CHAR(34)&amp;"sta"&amp;AZ3&amp;CHAR(34)&amp;",","")</f>
        <v>"staYEL",</v>
      </c>
      <c r="FB3" s="48" t="str">
        <f>IF(AND(AT3&gt;0,BA3&lt;&gt;""),CHAR(34)&amp;"sta"&amp;BA3&amp;CHAR(34)&amp;",","")</f>
        <v/>
      </c>
      <c r="FD3" s="48" t="str">
        <f>IF(BV3="n",CHAR(34)&amp;"tcWHYE"&amp;CHAR(34)&amp;",",IF(BV3="y",CHAR(34)&amp;FD$1&amp;CHAR(34)&amp;",",""))</f>
        <v/>
      </c>
      <c r="FE3" s="48" t="str">
        <f>IF(COUNTIF(BL3:BT3,"BLU")=0,CHAR(34)&amp;"NO_BLU"&amp;CHAR(34)&amp;",", "")</f>
        <v/>
      </c>
      <c r="FF3" s="48" t="str">
        <f>IF(COUNTIF(BL3:BT3,"WHI")=0,CHAR(34)&amp;"NO_WHI"&amp;CHAR(34)&amp;",", "")</f>
        <v/>
      </c>
      <c r="FG3" s="48" t="str">
        <f>IF(COUNTIF(BL3:BT3,"RED")=0,CHAR(34)&amp;"NO_RED"&amp;CHAR(34)&amp;",", "")</f>
        <v/>
      </c>
      <c r="FH3" s="48" t="str">
        <f>IF(COUNTIF(BL3:BS3,"GRE")=0,CHAR(34)&amp;"NO_GRE"&amp;CHAR(34)&amp;",", "")</f>
        <v/>
      </c>
      <c r="FI3" s="48" t="str">
        <f>IF(COUNTIF(BL3:BT3,"YEL")=0,CHAR(34)&amp;"NO_YEL"&amp;CHAR(34)&amp;",", "")</f>
        <v/>
      </c>
      <c r="FJ3" s="48" t="str">
        <f>IF(COUNTIF(BL3:BT3,"BLA")=0,CHAR(34)&amp;"NO_BLA"&amp;CHAR(34)&amp;",", "")</f>
        <v>"NO_BLA",</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
      </c>
      <c r="FQ3" s="48" t="str">
        <f>IF(LEN(BF3)=3,CHAR(34)&amp;"001"&amp;BF3&amp;CHAR(34)&amp;",","")</f>
        <v/>
      </c>
      <c r="FR3" s="48" t="str">
        <f>IF(LEN(BG3)=3,CHAR(34)&amp;"002"&amp;BG3&amp;CHAR(34)&amp;",","")</f>
        <v/>
      </c>
      <c r="FS3" s="48" t="str">
        <f>IF(LEN(BH3)=3,CHAR(34)&amp;"003"&amp;BH3&amp;CHAR(34)&amp;",","")</f>
        <v/>
      </c>
      <c r="FT3" s="48" t="str">
        <f>CHAR(34)&amp;"myr"&amp;BD3&amp;CHAR(34)&amp;","</f>
        <v>"myrGRE",</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"histor",</v>
      </c>
      <c r="GG3" s="48" t="str">
        <f>IF(BU3="y",CHAR(34)&amp;"unjack"&amp;CHAR(34)&amp;",","")</f>
        <v/>
      </c>
      <c r="GH3" s="48" t="str">
        <f>IF(CD3=1,CHAR(34)&amp;"southc"&amp;CHAR(34)&amp;",","")</f>
        <v/>
      </c>
      <c r="GI3" s="48" t="str">
        <f>IF(CE3=1,CHAR(34)&amp;"hasmap"&amp;CHAR(34)&amp;",","")</f>
        <v/>
      </c>
      <c r="GJ3" s="48" t="str">
        <f>IF(CP3="y",CHAR(34)&amp;CP$1&amp;CHAR(34)&amp;",","")</f>
        <v/>
      </c>
      <c r="GK3" s="48" t="str">
        <f>IF(GJ3="",CHAR(34)&amp;"HasSta"&amp;CHAR(34)&amp;",","")</f>
        <v>"HasSta",</v>
      </c>
      <c r="GL3" s="48" t="str">
        <f>IF(CQ3="y",CHAR(34)&amp;CQ$1&amp;CHAR(34)&amp;",","")</f>
        <v/>
      </c>
      <c r="GM3" s="48" t="str">
        <f>IF(CR3="y",CHAR(34)&amp;CR$1&amp;CHAR(34)&amp;",","")</f>
        <v>"2Stars",</v>
      </c>
      <c r="GN3" s="48" t="str">
        <f>IF(CS3="y",CHAR(34)&amp;CS$1&amp;CHAR(34)&amp;",","")</f>
        <v/>
      </c>
      <c r="GP3" s="48" t="str">
        <f>CHAR(34)&amp;AU3&amp;CHAR(34)</f>
        <v>"Historical"</v>
      </c>
      <c r="GS3" s="48" t="str">
        <f>SUBSTITUTE("["&amp;_xlfn.CONCAT(CW3:GN3)&amp;"]",",]","]")</f>
        <v>["5+Colo","words2","lets24","startF","year19","NoBand","Canton","staYEL","NO_BLA","myrGRE","histor","HasSta","2Stars"]</v>
      </c>
      <c r="GT3" s="48" t="str">
        <f>IF(BL3&lt;&gt;"",CHAR(34)&amp;"cl_"&amp;BL3&amp;CHAR(34)&amp;",","")</f>
        <v>"cl_GRE",</v>
      </c>
      <c r="GU3" s="48" t="str">
        <f>IF(BM3&lt;&gt;"",CHAR(34)&amp;"cl_"&amp;BM3&amp;CHAR(34)&amp;",","")</f>
        <v>"cl_YEL",</v>
      </c>
      <c r="GV3" s="48" t="str">
        <f>IF(BN3&lt;&gt;"",CHAR(34)&amp;"cl_"&amp;BN3&amp;CHAR(34)&amp;",","")</f>
        <v>"cl_WHI",</v>
      </c>
      <c r="GW3" s="48" t="str">
        <f>IF(BO3&lt;&gt;"",CHAR(34)&amp;"cl_"&amp;BO3&amp;CHAR(34)&amp;",","")</f>
        <v>"cl_RED",</v>
      </c>
      <c r="GX3" s="48" t="str">
        <f>IF(BP3&lt;&gt;"",CHAR(34)&amp;"cl_"&amp;BP3&amp;CHAR(34)&amp;",","")</f>
        <v>"cl_BLU",</v>
      </c>
      <c r="GY3" s="48" t="str">
        <f>IF(BQ3&lt;&gt;"",CHAR(34)&amp;"cl_"&amp;BQ3&amp;CHAR(34)&amp;",","")</f>
        <v/>
      </c>
      <c r="GZ3" s="48" t="str">
        <f>IF(BR3&lt;&gt;"",CHAR(34)&amp;"cl_"&amp;BR3&amp;CHAR(34)&amp;",","")</f>
        <v/>
      </c>
      <c r="HA3" s="48" t="str">
        <f>IF(BS3&lt;&gt;"",CHAR(34)&amp;"cl_"&amp;BS3&amp;CHAR(34)&amp;",","")</f>
        <v/>
      </c>
      <c r="HB3" s="48" t="str">
        <f>IF(BT3&lt;&gt;"",CHAR(34)&amp;"cl_"&amp;BT3&amp;CHAR(34)&amp;",","")</f>
        <v/>
      </c>
      <c r="HC3" s="48" t="str">
        <f>SUBSTITUTE("["&amp;_xlfn.CONCAT(GT3:HB3)&amp;"]",",]","]")</f>
        <v>["cl_GRE","cl_YEL","cl_WHI","cl_RED","cl_BLU"]</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{couname:"[TGO] French Togoland (1956-1960)",year:"1956",region:"rgn_Africa",Colors:["cl_GRE","cl_YEL","cl_WHI","cl_RED","cl_BLU"],Items:["5+Colo","words2","lets24","startF","year19","NoBand","Canton","staYEL","NO_BLA","myrGRE","histor","HasSta","2Stars"],Flag:"https://upload.wikimedia.org/wikipedia/commons/thumb/a/af/Flag_of_French_Togoland_%28yellow_stars%29.png/800px-Flag_of_French_Togoland_%28yellow_stars%29.png",HDFlag:"https://upload.wikimedia.org/wikipedia/commons/a/af/Flag_of_French_Togoland_%28yellow_stars%29.png",type:"Historical", describe: "\nThe flag was a green field with the French tricolour in the canton and two five-pointed yellow stars, one in the lower hoist and one in the upper fly. The green field represented agriculture, hope, and youth, while the two stars represented Togo's northern savannas and southern coastal plains.\nThere is also a version with white stars.", isnew:".", links: "https://en.wikipedia.org/wiki/French_Togoland"},</v>
      </c>
      <c r="HG3" s="73" t="str">
        <f>"{couname:"&amp;CT3&amp;(IF(HK3&lt;&gt;"",",subtype:"&amp;CHAR(34)&amp;HK3&amp;CHAR(34),""))&amp;",year:"&amp;HJ3&amp;",region:"&amp;CU3&amp;",Colors:"&amp;HC3&amp;",Items:"&amp;GS3&amp;",Flag:"&amp;CV3&amp;",HDFlag:"&amp;CHAR(34)&amp;E3&amp;CHAR(34)&amp;",type:"&amp;GP3&amp;", describe: "&amp;HI3&amp;", links: "&amp;HL3&amp;"},"</f>
        <v>{couname:"[TGO] French Togoland (1956-1960)",year:"1956",region:"rgn_Africa",Colors:["cl_GRE","cl_YEL","cl_WHI","cl_RED","cl_BLU"],Items:["5+Colo","words2","lets24","startF","year19","NoBand","Canton","staYEL","NO_BLA","myrGRE","histor","HasSta","2Stars"],Flag:"https://upload.wikimedia.org/wikipedia/commons/thumb/a/af/Flag_of_French_Togoland_%28yellow_stars%29.png/800px-Flag_of_French_Togoland_%28yellow_stars%29.png",HDFlag:"https://upload.wikimedia.org/wikipedia/commons/a/af/Flag_of_French_Togoland_%28yellow_stars%29.png",type:"Historical", describe: "\nThe flag was a green field with the French tricolour in the canton and two five-pointed yellow stars, one in the lower hoist and one in the upper fly. The green field represented agriculture, hope, and youth, while the two stars represented Togo's northern savannas and southern coastal plains.\nThere is also a version with white stars.", links: "https://en.wikipedia.org/wiki/French_Togoland"},</v>
      </c>
      <c r="HH3" s="48" t="str">
        <f>IF(P3&lt;&gt;"",CHAR(34)&amp;"\n"&amp;P3&amp;CHAR(34),CHAR(34)&amp;CHAR(34))</f>
        <v>"\nThe flag was a green field with the French tricolour in the canton and two five-pointed yellow stars, one in the lower hoist and one in the upper fly. The green field represented agriculture, hope, and youth, while the two stars represented Togo's northern savannas and southern coastal plains.\nThere is also a version with white stars."</v>
      </c>
      <c r="HI3" s="48" t="str">
        <f>IF(J3=0,CHAR(34)&amp;CHAR(34),HH3)</f>
        <v>"\nThe flag was a green field with the French tricolour in the canton and two five-pointed yellow stars, one in the lower hoist and one in the upper fly. The green field represented agriculture, hope, and youth, while the two stars represented Togo's northern savannas and southern coastal plains.\nThere is also a version with white stars."</v>
      </c>
      <c r="HJ3" s="48" t="str">
        <f>CHAR(34)&amp;O3&amp;CHAR(34)</f>
        <v>"1956"</v>
      </c>
      <c r="HL3" s="48" t="str">
        <f>CHAR(34)&amp;I3&amp;CHAR(34)</f>
        <v>"https://en.wikipedia.org/wiki/French_Togoland"</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{"couname":"[TGO] French Togoland (1956-1960)","subtype":"[TGO] Other","year":"1956","region":"rgn_Africa","Colors":["cl_GRE","cl_YEL","cl_WHI","cl_RED","cl_BLU"],"Items":["5+Colo","words2","lets24","startF","year19","NoBand","Canton","staYEL","NO_BLA","myrGRE","histor","HasSta","2Stars"],"Flag":"https://upload.wikimedia.org/wikipedia/commons/thumb/a/af/Flag_of_French_Togoland_%28yellow_stars%29.png/800px-Flag_of_French_Togoland_%28yellow_stars%29.png","HDFlag":"https://upload.wikimedia.org/wikipedia/commons/a/af/Flag_of_French_Togoland_%28yellow_stars%29.png","type":"Historical", "describe": "\nThe flag was a green field with the French tricolour in the canton and two five-pointed yellow stars, one in the lower hoist and one in the upper fly. The green field represented agriculture, hope, and youth, while the two stars represented Togo's northern savannas and southern coastal plains.\nThere is also a version with white stars.", "isnew": ".", "links": "https://en.wikipedia.org/wiki/French_Togoland"},</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{"couname":"[TGO] French Togoland (1956-1960)","subtype":"[TGO] Other","year":"1956","region":"rgn_Africa","Colors":["cl_GRE","cl_YEL","cl_WHI","cl_RED","cl_BLU"],"Items":["5+Colo","words2","lets24","startF","year19","NoBand","Canton","staYEL","NO_BLA","myrGRE","histor","HasSta","2Stars"],"Flag":"https://upload.wikimedia.org/wikipedia/commons/thumb/a/af/Flag_of_French_Togoland_%28yellow_stars%29.png/800px-Flag_of_French_Togoland_%28yellow_stars%29.png","HDFlag":"https://upload.wikimedia.org/wikipedia/commons/a/af/Flag_of_French_Togoland_%28yellow_stars%29.png","type":"Historical", "describe": "\nThe flag was a green field with the French tricolour in the canton and two five-pointed yellow stars, one in the lower hoist and one in the upper fly. The green field represented agriculture, hope, and youth, while the two stars represented Togo's northern savannas and southern coastal plains.\nThere is also a version with white stars.", "isnew": ".", "links": "https://en.wikipedia.org/wiki/French_Togoland"},</v>
      </c>
      <c r="HO3" s="75">
        <v>45596</v>
      </c>
      <c r="HP3" s="48" t="str" cm="1">
        <f t="array" ref="HP3">IF(_xlfn.TEXTJOIN(", ", TRUE, IF(ISNUMBER(SEARCH("BLA", BL3:BT3)), COLUMN(BL3:BT3) - COLUMN(BL3) + 1, ""))&lt;&gt;"","BLA","")</f>
        <v/>
      </c>
      <c r="HQ3" s="48" t="str" cm="1">
        <f t="array" ref="HQ3">IF(_xlfn.TEXTJOIN(", ", TRUE, IF(ISNUMBER(SEARCH("BLU", BL3:BT3)), COLUMN(BL3:BT3) - COLUMN(BL3) + 1, ""))&lt;&gt;"","BLU","")</f>
        <v>BLU</v>
      </c>
      <c r="HR3" s="48" t="str" cm="1">
        <f t="array" ref="HR3">IF(_xlfn.TEXTJOIN(", ", TRUE, IF(ISNUMBER(SEARCH("GRE", BL3:BT3)), COLUMN(BL3:BT3) - COLUMN(BL3) + 1, ""))&lt;&gt;"","GRE","")</f>
        <v>GRE</v>
      </c>
      <c r="HS3" s="48" t="str" cm="1">
        <f t="array" ref="HS3">IF(_xlfn.TEXTJOIN(", ", TRUE, IF(ISNUMBER(SEARCH("RED", BL3:BT3)), COLUMN(BL3:BT3) - COLUMN(BL3) + 1, ""))&lt;&gt;"","RED","")</f>
        <v>RED</v>
      </c>
      <c r="HT3" s="48" t="str" cm="1">
        <f t="array" ref="HT3">IF(_xlfn.TEXTJOIN(", ", TRUE, IF(ISNUMBER(SEARCH("YEL", BL3:BT3)), COLUMN(BL3:BT3) - COLUMN(BL3) + 1, ""))&lt;&gt;"","YEL","")</f>
        <v>YEL</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M3" s="45">
        <f>COUNTIF(IC3:IK3,"&gt;0")-CG3</f>
        <v>-5</v>
      </c>
      <c r="IN3" s="78" t="str">
        <f>"http://mkweb.bcgsc.ca/color-summarizer/?url="&amp;D3&amp;"&amp;precision=low&amp;num_clusters="&amp;CG3&amp;"&amp;text=1"</f>
        <v>http://mkweb.bcgsc.ca/color-summarizer/?url=https://upload.wikimedia.org/wikipedia/commons/thumb/a/af/Flag_of_French_Togoland_%28yellow_stars%29.png/800px-Flag_of_French_Togoland_%28yellow_stars%29.png&amp;precision=low&amp;num_clusters=5&amp;text=1</v>
      </c>
      <c r="IO3" s="48" t="str">
        <f>IF(HP3&lt;&gt;"",CHAR(34)&amp;"black"&amp;CHAR(34),"")</f>
        <v/>
      </c>
      <c r="IP3" s="48" t="str">
        <f>IF(HQ3&lt;&gt;"",CHAR(34)&amp;"blue"&amp;CHAR(34),"")</f>
        <v>"blue"</v>
      </c>
      <c r="IQ3" s="48" t="str">
        <f>IF(HR3&lt;&gt;"",CHAR(34)&amp;"green"&amp;CHAR(34),"")</f>
        <v>"green"</v>
      </c>
      <c r="IR3" s="48" t="str">
        <f>IF(HS3&lt;&gt;"",CHAR(34)&amp;"red"&amp;CHAR(34),"")</f>
        <v>"red"</v>
      </c>
      <c r="IS3" s="48" t="str">
        <f>IF(HT3&lt;&gt;"",CHAR(34)&amp;"yellow"&amp;CHAR(34),"")</f>
        <v>"yellow"</v>
      </c>
      <c r="IT3" s="48" t="str">
        <f>IF(HU3&lt;&gt;"",CHAR(34)&amp;"orange"&amp;CHAR(34),"")</f>
        <v/>
      </c>
      <c r="IU3" s="48" t="str">
        <f>IF(HV3&lt;&gt;"",CHAR(34)&amp;"brown"&amp;CHAR(34),"")</f>
        <v/>
      </c>
      <c r="IV3" s="48" t="str">
        <f>IF(HW3&lt;&gt;"",CHAR(34)&amp;"purple"&amp;CHAR(34),"")</f>
        <v/>
      </c>
      <c r="IW3" s="48" t="str">
        <f>IF(HX3&lt;&gt;"",CHAR(34)&amp;"white"&amp;CHAR(34),"")</f>
        <v>"white"</v>
      </c>
      <c r="IX3" s="48" t="str">
        <f>"{"&amp;CHAR(34)&amp;"url"&amp;CHAR(34)&amp;":"&amp;CHAR(34)&amp;IN3&amp;CHAR(34)&amp;","&amp;CHAR(34)&amp;"name"&amp;CHAR(34)&amp;":"&amp;CHAR(34)&amp;A3&amp;CHAR(34)&amp;"},"</f>
        <v>{"url":"http://mkweb.bcgsc.ca/color-summarizer/?url=https://upload.wikimedia.org/wikipedia/commons/thumb/a/af/Flag_of_French_Togoland_%28yellow_stars%29.png/800px-Flag_of_French_Togoland_%28yellow_stars%29.png&amp;precision=low&amp;num_clusters=5&amp;text=1","name":"[TGO] French Togoland (1956-1960)"},</v>
      </c>
      <c r="IY3" s="48">
        <v>1415</v>
      </c>
    </row>
    <row r="4" spans="1:259" ht="38.4" customHeight="1" x14ac:dyDescent="0.3">
      <c r="F4" s="82"/>
      <c r="G4" s="82"/>
      <c r="H4" s="82"/>
      <c r="I4" s="82"/>
      <c r="J4" s="82"/>
      <c r="K4" s="82"/>
    </row>
    <row r="5" spans="1:259" ht="38.4" customHeight="1" x14ac:dyDescent="0.3">
      <c r="E5" s="81"/>
      <c r="F5" s="81"/>
      <c r="I5" s="82"/>
      <c r="J5" s="82"/>
      <c r="K5" s="82"/>
    </row>
    <row r="6" spans="1:259" ht="38.4" customHeight="1" x14ac:dyDescent="0.3">
      <c r="E6" s="81"/>
      <c r="F6" s="81"/>
    </row>
    <row r="7" spans="1:259" ht="38.4" customHeight="1" x14ac:dyDescent="0.3">
      <c r="E7" s="81"/>
      <c r="F7" s="81"/>
    </row>
    <row r="8" spans="1:259" ht="38.4" customHeight="1" x14ac:dyDescent="0.3">
      <c r="E8" s="81"/>
      <c r="F8" s="81"/>
    </row>
  </sheetData>
  <autoFilter ref="A1:IY1" xr:uid="{A1051193-A95B-4CFB-A73C-F0184620C81F}">
    <sortState xmlns:xlrd2="http://schemas.microsoft.com/office/spreadsheetml/2017/richdata2" ref="A2:IY5">
      <sortCondition ref="AW1"/>
    </sortState>
  </autoFilter>
  <conditionalFormatting sqref="H1 CW1:GS1 IA1:IB1">
    <cfRule type="cellIs" dxfId="748" priority="118" operator="greaterThan">
      <formula>0</formula>
    </cfRule>
  </conditionalFormatting>
  <conditionalFormatting sqref="H1 H6:H1048576 E5:H8">
    <cfRule type="cellIs" dxfId="747" priority="84" stopIfTrue="1" operator="notEqual">
      <formula>""</formula>
    </cfRule>
  </conditionalFormatting>
  <conditionalFormatting sqref="T1:BK1">
    <cfRule type="cellIs" dxfId="746" priority="121" operator="greaterThan">
      <formula>0</formula>
    </cfRule>
  </conditionalFormatting>
  <conditionalFormatting sqref="BV1:BW1 BV4:BW1048576">
    <cfRule type="cellIs" dxfId="745" priority="120" operator="equal">
      <formula>"nc"</formula>
    </cfRule>
  </conditionalFormatting>
  <conditionalFormatting sqref="HF1:HG1">
    <cfRule type="cellIs" dxfId="744" priority="122" operator="greaterThan">
      <formula>0</formula>
    </cfRule>
  </conditionalFormatting>
  <conditionalFormatting sqref="HK1">
    <cfRule type="cellIs" dxfId="743" priority="119" operator="greaterThan">
      <formula>0</formula>
    </cfRule>
  </conditionalFormatting>
  <conditionalFormatting sqref="HP1:HX1">
    <cfRule type="cellIs" dxfId="742" priority="96" operator="equal">
      <formula>"PIN"</formula>
    </cfRule>
    <cfRule type="cellIs" dxfId="741" priority="97" operator="equal">
      <formula>"ORA"</formula>
    </cfRule>
    <cfRule type="cellIs" dxfId="740" priority="98" operator="equal">
      <formula>"GRA"</formula>
    </cfRule>
    <cfRule type="cellIs" dxfId="739" priority="99" operator="equal">
      <formula>"PUR"</formula>
    </cfRule>
    <cfRule type="cellIs" dxfId="738" priority="100" operator="equal">
      <formula>"BRO"</formula>
    </cfRule>
    <cfRule type="cellIs" dxfId="737" priority="101" operator="equal">
      <formula>"YEL"</formula>
    </cfRule>
    <cfRule type="cellIs" dxfId="736" priority="102" operator="equal">
      <formula>"BLU"</formula>
    </cfRule>
    <cfRule type="cellIs" dxfId="735" priority="103" operator="equal">
      <formula>"WHI"</formula>
    </cfRule>
    <cfRule type="cellIs" dxfId="734" priority="104" operator="equal">
      <formula>"GRE"</formula>
    </cfRule>
    <cfRule type="cellIs" dxfId="733" priority="105" operator="equal">
      <formula>"RED"</formula>
    </cfRule>
    <cfRule type="cellIs" dxfId="732" priority="106" operator="equal">
      <formula>"BLA"</formula>
    </cfRule>
  </conditionalFormatting>
  <conditionalFormatting sqref="IC1:IK1">
    <cfRule type="cellIs" dxfId="731" priority="107" operator="equal">
      <formula>"PIN"</formula>
    </cfRule>
    <cfRule type="cellIs" dxfId="730" priority="108" operator="equal">
      <formula>"ORA"</formula>
    </cfRule>
    <cfRule type="cellIs" dxfId="729" priority="109" operator="equal">
      <formula>"GRA"</formula>
    </cfRule>
    <cfRule type="cellIs" dxfId="728" priority="110" operator="equal">
      <formula>"PUR"</formula>
    </cfRule>
    <cfRule type="cellIs" dxfId="727" priority="111" operator="equal">
      <formula>"BRO"</formula>
    </cfRule>
    <cfRule type="cellIs" dxfId="726" priority="112" operator="equal">
      <formula>"YEL"</formula>
    </cfRule>
    <cfRule type="cellIs" dxfId="725" priority="113" operator="equal">
      <formula>"BLU"</formula>
    </cfRule>
    <cfRule type="cellIs" dxfId="724" priority="114" operator="equal">
      <formula>"WHI"</formula>
    </cfRule>
    <cfRule type="cellIs" dxfId="723" priority="115" operator="equal">
      <formula>"GRE"</formula>
    </cfRule>
    <cfRule type="cellIs" dxfId="722" priority="116" operator="equal">
      <formula>"RED"</formula>
    </cfRule>
    <cfRule type="cellIs" dxfId="721" priority="117" operator="equal">
      <formula>"BLA"</formula>
    </cfRule>
  </conditionalFormatting>
  <conditionalFormatting sqref="IO1:IW1">
    <cfRule type="cellIs" dxfId="720" priority="85" operator="equal">
      <formula>"PIN"</formula>
    </cfRule>
    <cfRule type="cellIs" dxfId="719" priority="86" operator="equal">
      <formula>"ORA"</formula>
    </cfRule>
    <cfRule type="cellIs" dxfId="718" priority="87" operator="equal">
      <formula>"GRA"</formula>
    </cfRule>
    <cfRule type="cellIs" dxfId="717" priority="88" operator="equal">
      <formula>"PUR"</formula>
    </cfRule>
    <cfRule type="cellIs" dxfId="716" priority="89" operator="equal">
      <formula>"BRO"</formula>
    </cfRule>
    <cfRule type="cellIs" dxfId="715" priority="90" operator="equal">
      <formula>"YEL"</formula>
    </cfRule>
    <cfRule type="cellIs" dxfId="714" priority="91" operator="equal">
      <formula>"BLU"</formula>
    </cfRule>
    <cfRule type="cellIs" dxfId="713" priority="92" operator="equal">
      <formula>"WHI"</formula>
    </cfRule>
    <cfRule type="cellIs" dxfId="712" priority="93" operator="equal">
      <formula>"GRE"</formula>
    </cfRule>
    <cfRule type="cellIs" dxfId="711" priority="94" operator="equal">
      <formula>"RED"</formula>
    </cfRule>
    <cfRule type="cellIs" dxfId="710" priority="95" operator="equal">
      <formula>"BLA"</formula>
    </cfRule>
  </conditionalFormatting>
  <conditionalFormatting sqref="H2">
    <cfRule type="cellIs" dxfId="709" priority="77" stopIfTrue="1" operator="notEqual">
      <formula>""</formula>
    </cfRule>
  </conditionalFormatting>
  <conditionalFormatting sqref="R2 CU2">
    <cfRule type="cellIs" dxfId="708" priority="79" operator="greaterThan">
      <formula>0</formula>
    </cfRule>
  </conditionalFormatting>
  <conditionalFormatting sqref="T2:AS2 CH2:CS2">
    <cfRule type="cellIs" dxfId="707" priority="74" stopIfTrue="1" operator="equal">
      <formula>"n"</formula>
    </cfRule>
    <cfRule type="cellIs" dxfId="706" priority="75" stopIfTrue="1" operator="equal">
      <formula>"y"</formula>
    </cfRule>
    <cfRule type="cellIs" dxfId="705" priority="76" operator="greaterThan">
      <formula>0</formula>
    </cfRule>
  </conditionalFormatting>
  <conditionalFormatting sqref="AZ2:BB2">
    <cfRule type="expression" dxfId="704" priority="61">
      <formula>$AT2=0</formula>
    </cfRule>
  </conditionalFormatting>
  <conditionalFormatting sqref="AZ2:BU2">
    <cfRule type="cellIs" dxfId="703" priority="62" operator="equal">
      <formula>"PIN"</formula>
    </cfRule>
    <cfRule type="cellIs" dxfId="702" priority="63" operator="equal">
      <formula>"ORA"</formula>
    </cfRule>
    <cfRule type="cellIs" dxfId="701" priority="64" operator="equal">
      <formula>"GRA"</formula>
    </cfRule>
    <cfRule type="cellIs" dxfId="700" priority="65" operator="equal">
      <formula>"PUR"</formula>
    </cfRule>
    <cfRule type="cellIs" dxfId="699" priority="66" operator="equal">
      <formula>"BRO"</formula>
    </cfRule>
    <cfRule type="cellIs" dxfId="698" priority="67" operator="equal">
      <formula>"YEL"</formula>
    </cfRule>
    <cfRule type="cellIs" dxfId="697" priority="68" operator="equal">
      <formula>"BLU"</formula>
    </cfRule>
    <cfRule type="cellIs" dxfId="696" priority="69" operator="equal">
      <formula>"WHI"</formula>
    </cfRule>
    <cfRule type="cellIs" dxfId="695" priority="70" operator="equal">
      <formula>"GRE"</formula>
    </cfRule>
    <cfRule type="cellIs" dxfId="694" priority="71" operator="equal">
      <formula>"RED"</formula>
    </cfRule>
    <cfRule type="cellIs" dxfId="693" priority="72" operator="equal">
      <formula>"BLA"</formula>
    </cfRule>
  </conditionalFormatting>
  <conditionalFormatting sqref="BV2">
    <cfRule type="cellIs" dxfId="692" priority="78" operator="equal">
      <formula>"nc"</formula>
    </cfRule>
  </conditionalFormatting>
  <conditionalFormatting sqref="CD2:CF2 BZ2:CA2">
    <cfRule type="cellIs" dxfId="691" priority="73" operator="greaterThan">
      <formula>0</formula>
    </cfRule>
  </conditionalFormatting>
  <conditionalFormatting sqref="IC2:IK2">
    <cfRule type="expression" dxfId="690" priority="60">
      <formula>$IL2&gt;0</formula>
    </cfRule>
  </conditionalFormatting>
  <conditionalFormatting sqref="BX2:CA2 CD2:CF2">
    <cfRule type="cellIs" dxfId="689" priority="48" operator="equal">
      <formula>"y"</formula>
    </cfRule>
    <cfRule type="cellIs" dxfId="688" priority="49" operator="equal">
      <formula>"PIN"</formula>
    </cfRule>
    <cfRule type="cellIs" dxfId="687" priority="50" operator="equal">
      <formula>"ORA"</formula>
    </cfRule>
    <cfRule type="cellIs" dxfId="686" priority="51" operator="equal">
      <formula>"GRA"</formula>
    </cfRule>
    <cfRule type="cellIs" dxfId="685" priority="52" operator="equal">
      <formula>"PUR"</formula>
    </cfRule>
    <cfRule type="cellIs" dxfId="684" priority="53" operator="equal">
      <formula>"BRO"</formula>
    </cfRule>
    <cfRule type="cellIs" dxfId="683" priority="54" operator="equal">
      <formula>"YEL"</formula>
    </cfRule>
    <cfRule type="cellIs" dxfId="682" priority="55" operator="equal">
      <formula>"BLU"</formula>
    </cfRule>
    <cfRule type="cellIs" dxfId="681" priority="56" operator="equal">
      <formula>"WHI"</formula>
    </cfRule>
    <cfRule type="cellIs" dxfId="680" priority="57" operator="equal">
      <formula>"GRE"</formula>
    </cfRule>
    <cfRule type="cellIs" dxfId="679" priority="58" operator="equal">
      <formula>"RED"</formula>
    </cfRule>
    <cfRule type="cellIs" dxfId="678" priority="59" operator="equal">
      <formula>"BLA"</formula>
    </cfRule>
  </conditionalFormatting>
  <conditionalFormatting sqref="J2">
    <cfRule type="colorScale" priority="80">
      <colorScale>
        <cfvo type="min"/>
        <cfvo type="percentile" val="50"/>
        <cfvo type="max"/>
        <color rgb="FFF8696B"/>
        <color rgb="FFFFEB84"/>
        <color rgb="FF63BE7B"/>
      </colorScale>
    </cfRule>
  </conditionalFormatting>
  <conditionalFormatting sqref="S2">
    <cfRule type="colorScale" priority="81">
      <colorScale>
        <cfvo type="min"/>
        <cfvo type="max"/>
        <color rgb="FFFCFCFF"/>
        <color rgb="FF754BFB"/>
      </colorScale>
    </cfRule>
  </conditionalFormatting>
  <conditionalFormatting sqref="AT2">
    <cfRule type="colorScale" priority="82">
      <colorScale>
        <cfvo type="min"/>
        <cfvo type="max"/>
        <color rgb="FFFCFCFF"/>
        <color theme="8" tint="0.39997558519241921"/>
      </colorScale>
    </cfRule>
  </conditionalFormatting>
  <conditionalFormatting sqref="CG2">
    <cfRule type="colorScale" priority="83">
      <colorScale>
        <cfvo type="min"/>
        <cfvo type="max"/>
        <color rgb="FFFCFCFF"/>
        <color rgb="FF63BE7B"/>
      </colorScale>
    </cfRule>
  </conditionalFormatting>
  <conditionalFormatting sqref="H3">
    <cfRule type="cellIs" dxfId="677" priority="40" stopIfTrue="1" operator="notEqual">
      <formula>""</formula>
    </cfRule>
  </conditionalFormatting>
  <conditionalFormatting sqref="R3 CU3">
    <cfRule type="cellIs" dxfId="676" priority="43" operator="greaterThan">
      <formula>0</formula>
    </cfRule>
  </conditionalFormatting>
  <conditionalFormatting sqref="T3:AS3 CH3:CS3">
    <cfRule type="cellIs" dxfId="675" priority="37" stopIfTrue="1" operator="equal">
      <formula>"n"</formula>
    </cfRule>
    <cfRule type="cellIs" dxfId="674" priority="38" stopIfTrue="1" operator="equal">
      <formula>"y"</formula>
    </cfRule>
    <cfRule type="cellIs" dxfId="673" priority="39" operator="greaterThan">
      <formula>0</formula>
    </cfRule>
  </conditionalFormatting>
  <conditionalFormatting sqref="AZ3:BB3">
    <cfRule type="expression" dxfId="672" priority="24">
      <formula>$AT3=0</formula>
    </cfRule>
  </conditionalFormatting>
  <conditionalFormatting sqref="CD3:CF3 BX3:CA3 AZ3:BU3">
    <cfRule type="cellIs" dxfId="671" priority="25" operator="equal">
      <formula>"PIN"</formula>
    </cfRule>
    <cfRule type="cellIs" dxfId="670" priority="26" operator="equal">
      <formula>"ORA"</formula>
    </cfRule>
    <cfRule type="cellIs" dxfId="669" priority="27" operator="equal">
      <formula>"GRA"</formula>
    </cfRule>
    <cfRule type="cellIs" dxfId="668" priority="28" operator="equal">
      <formula>"PUR"</formula>
    </cfRule>
    <cfRule type="cellIs" dxfId="667" priority="29" operator="equal">
      <formula>"BRO"</formula>
    </cfRule>
    <cfRule type="cellIs" dxfId="666" priority="30" operator="equal">
      <formula>"YEL"</formula>
    </cfRule>
    <cfRule type="cellIs" dxfId="665" priority="31" operator="equal">
      <formula>"BLU"</formula>
    </cfRule>
    <cfRule type="cellIs" dxfId="664" priority="32" operator="equal">
      <formula>"WHI"</formula>
    </cfRule>
    <cfRule type="cellIs" dxfId="663" priority="33" operator="equal">
      <formula>"GRE"</formula>
    </cfRule>
    <cfRule type="cellIs" dxfId="662" priority="34" operator="equal">
      <formula>"RED"</formula>
    </cfRule>
    <cfRule type="cellIs" dxfId="661" priority="35" operator="equal">
      <formula>"BLA"</formula>
    </cfRule>
  </conditionalFormatting>
  <conditionalFormatting sqref="BV3">
    <cfRule type="cellIs" dxfId="660" priority="42" operator="equal">
      <formula>"nc"</formula>
    </cfRule>
  </conditionalFormatting>
  <conditionalFormatting sqref="CD3:CF3 BX3:CA3">
    <cfRule type="cellIs" dxfId="659" priority="41" operator="equal">
      <formula>"y"</formula>
    </cfRule>
  </conditionalFormatting>
  <conditionalFormatting sqref="CD3:CF3 BZ3:CA3">
    <cfRule type="cellIs" dxfId="658" priority="36" operator="greaterThan">
      <formula>0</formula>
    </cfRule>
  </conditionalFormatting>
  <conditionalFormatting sqref="IC3:IK3">
    <cfRule type="expression" dxfId="657" priority="23">
      <formula>$IL3&gt;0</formula>
    </cfRule>
  </conditionalFormatting>
  <conditionalFormatting sqref="IC3">
    <cfRule type="cellIs" dxfId="656" priority="17" stopIfTrue="1" operator="greaterThan">
      <formula>0</formula>
    </cfRule>
  </conditionalFormatting>
  <conditionalFormatting sqref="ID3">
    <cfRule type="cellIs" dxfId="655" priority="15" stopIfTrue="1" operator="greaterThan">
      <formula>0</formula>
    </cfRule>
  </conditionalFormatting>
  <conditionalFormatting sqref="II3 IE3:IF3">
    <cfRule type="cellIs" dxfId="654" priority="22" operator="greaterThan">
      <formula>0</formula>
    </cfRule>
  </conditionalFormatting>
  <conditionalFormatting sqref="II3 IF3">
    <cfRule type="cellIs" dxfId="653" priority="16" stopIfTrue="1" operator="greaterThan">
      <formula>0</formula>
    </cfRule>
  </conditionalFormatting>
  <conditionalFormatting sqref="IG3">
    <cfRule type="cellIs" dxfId="652" priority="21" operator="greaterThan">
      <formula>0</formula>
    </cfRule>
  </conditionalFormatting>
  <conditionalFormatting sqref="IH3:II3">
    <cfRule type="cellIs" dxfId="651" priority="20" operator="greaterThan">
      <formula>0</formula>
    </cfRule>
  </conditionalFormatting>
  <conditionalFormatting sqref="IJ3">
    <cfRule type="cellIs" dxfId="650" priority="19" operator="greaterThan">
      <formula>0</formula>
    </cfRule>
  </conditionalFormatting>
  <conditionalFormatting sqref="IK3">
    <cfRule type="cellIs" dxfId="649" priority="18" operator="greaterThan">
      <formula>0</formula>
    </cfRule>
  </conditionalFormatting>
  <conditionalFormatting sqref="IF3">
    <cfRule type="cellIs" dxfId="648" priority="14" stopIfTrue="1" operator="greaterThan">
      <formula>0</formula>
    </cfRule>
  </conditionalFormatting>
  <conditionalFormatting sqref="IM3">
    <cfRule type="cellIs" dxfId="647" priority="13" operator="equal">
      <formula>0</formula>
    </cfRule>
  </conditionalFormatting>
  <conditionalFormatting sqref="BX3:CA3 CD3:CF3">
    <cfRule type="cellIs" dxfId="646" priority="1" operator="equal">
      <formula>"y"</formula>
    </cfRule>
    <cfRule type="cellIs" dxfId="645" priority="2" operator="equal">
      <formula>"PIN"</formula>
    </cfRule>
    <cfRule type="cellIs" dxfId="644" priority="3" operator="equal">
      <formula>"ORA"</formula>
    </cfRule>
    <cfRule type="cellIs" dxfId="643" priority="4" operator="equal">
      <formula>"GRA"</formula>
    </cfRule>
    <cfRule type="cellIs" dxfId="642" priority="5" operator="equal">
      <formula>"PUR"</formula>
    </cfRule>
    <cfRule type="cellIs" dxfId="641" priority="6" operator="equal">
      <formula>"BRO"</formula>
    </cfRule>
    <cfRule type="cellIs" dxfId="640" priority="7" operator="equal">
      <formula>"YEL"</formula>
    </cfRule>
    <cfRule type="cellIs" dxfId="639" priority="8" operator="equal">
      <formula>"BLU"</formula>
    </cfRule>
    <cfRule type="cellIs" dxfId="638" priority="9" operator="equal">
      <formula>"WHI"</formula>
    </cfRule>
    <cfRule type="cellIs" dxfId="637" priority="10" operator="equal">
      <formula>"GRE"</formula>
    </cfRule>
    <cfRule type="cellIs" dxfId="636" priority="11" operator="equal">
      <formula>"RED"</formula>
    </cfRule>
    <cfRule type="cellIs" dxfId="635" priority="12" operator="equal">
      <formula>"BLA"</formula>
    </cfRule>
  </conditionalFormatting>
  <conditionalFormatting sqref="AT3">
    <cfRule type="colorScale" priority="44">
      <colorScale>
        <cfvo type="min"/>
        <cfvo type="max"/>
        <color rgb="FFFCFCFF"/>
        <color theme="8" tint="0.39997558519241921"/>
      </colorScale>
    </cfRule>
  </conditionalFormatting>
  <conditionalFormatting sqref="S3">
    <cfRule type="colorScale" priority="45">
      <colorScale>
        <cfvo type="min"/>
        <cfvo type="max"/>
        <color rgb="FFFCFCFF"/>
        <color rgb="FF754BFB"/>
      </colorScale>
    </cfRule>
  </conditionalFormatting>
  <conditionalFormatting sqref="J3">
    <cfRule type="colorScale" priority="46">
      <colorScale>
        <cfvo type="min"/>
        <cfvo type="percentile" val="50"/>
        <cfvo type="max"/>
        <color rgb="FFF8696B"/>
        <color rgb="FFFFEB84"/>
        <color rgb="FF63BE7B"/>
      </colorScale>
    </cfRule>
  </conditionalFormatting>
  <conditionalFormatting sqref="CG3">
    <cfRule type="colorScale" priority="47">
      <colorScale>
        <cfvo type="min"/>
        <cfvo type="max"/>
        <color rgb="FFFCFCFF"/>
        <color rgb="FF63BE7B"/>
      </colorScale>
    </cfRule>
  </conditionalFormatting>
  <hyperlinks>
    <hyperlink ref="A2" r:id="rId1" display="https://fbref.com/en/country/TOG/Togo-Football" xr:uid="{6CDF6C02-3128-42F2-A4AC-116DAC8FC893}"/>
    <hyperlink ref="E2" r:id="rId2" xr:uid="{F00C8EDE-0E43-4745-BB25-E88E46616828}"/>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2289" r:id="rId6"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12290" r:id="rId7"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12291" r:id="rId8"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A7EC26-483C-4126-A05C-6FBABE20FF9A}">
  <sheetPr codeName="Sheet24"/>
  <dimension ref="A1:IY6"/>
  <sheetViews>
    <sheetView zoomScale="70" zoomScaleNormal="70" workbookViewId="0">
      <pane xSplit="5" ySplit="1" topLeftCell="F2" activePane="bottomRight" state="frozen"/>
      <selection pane="topRight" activeCell="F1" sqref="F1"/>
      <selection pane="bottomLeft" activeCell="A2" sqref="A2"/>
      <selection pane="bottomRight" activeCell="M3" sqref="M3"/>
    </sheetView>
  </sheetViews>
  <sheetFormatPr defaultRowHeight="38.4" customHeight="1" x14ac:dyDescent="0.3"/>
  <cols>
    <col min="1" max="1" width="52.44140625" style="81" bestFit="1" customWidth="1"/>
    <col min="2" max="2" width="10.109375" style="81" customWidth="1"/>
    <col min="3" max="3" width="7.44140625" style="82" customWidth="1"/>
    <col min="4" max="4" width="4.77734375" style="83" customWidth="1"/>
    <col min="5" max="5" width="4.5546875" style="83" customWidth="1"/>
    <col min="6" max="6" width="5.77734375" style="83" customWidth="1"/>
    <col min="7" max="7" width="7.44140625" style="81" customWidth="1"/>
    <col min="8" max="8" width="11.44140625" style="81" customWidth="1"/>
    <col min="9" max="9" width="10" style="81" customWidth="1"/>
    <col min="10" max="10" width="4.21875" style="81" customWidth="1"/>
    <col min="11" max="11" width="5.6640625" style="83" customWidth="1"/>
    <col min="12" max="12" width="2.88671875" style="83" customWidth="1"/>
    <col min="13" max="13" width="6.44140625" style="83" customWidth="1"/>
    <col min="14" max="14" width="4.5546875" style="83" customWidth="1"/>
    <col min="15" max="15" width="10.5546875" style="84" customWidth="1"/>
    <col min="16" max="16" width="6.88671875" style="83" customWidth="1"/>
    <col min="17" max="17" width="4.77734375" style="83" customWidth="1"/>
    <col min="18" max="18" width="13.109375" style="82" customWidth="1"/>
    <col min="19" max="19" width="6.77734375" style="82" customWidth="1"/>
    <col min="20" max="46" width="8.44140625" style="81" customWidth="1"/>
    <col min="47" max="47" width="24.5546875" style="81" customWidth="1"/>
    <col min="48" max="51" width="16.6640625" style="81" customWidth="1"/>
    <col min="52" max="52" width="6.5546875" style="81" customWidth="1"/>
    <col min="53" max="54" width="5.88671875" style="81" customWidth="1"/>
    <col min="55" max="55" width="1.33203125" style="81" customWidth="1"/>
    <col min="56" max="56" width="7.44140625" style="81" customWidth="1"/>
    <col min="57" max="57" width="2.33203125" style="81" customWidth="1"/>
    <col min="58" max="62" width="6.109375" style="81" customWidth="1"/>
    <col min="63" max="63" width="2.33203125" style="81" customWidth="1"/>
    <col min="64" max="64" width="7" style="81" bestFit="1" customWidth="1"/>
    <col min="65" max="65" width="6.44140625" style="81" bestFit="1" customWidth="1"/>
    <col min="66" max="66" width="7.109375" style="81" bestFit="1" customWidth="1"/>
    <col min="67" max="71" width="6.44140625" style="81" bestFit="1" customWidth="1"/>
    <col min="72" max="73" width="6.44140625" style="81" customWidth="1"/>
    <col min="74" max="75" width="13.44140625" style="81" customWidth="1"/>
    <col min="76" max="84" width="14.6640625" style="81" customWidth="1"/>
    <col min="85" max="85" width="6.44140625" style="81" customWidth="1"/>
    <col min="86" max="87" width="11.6640625" style="81" bestFit="1" customWidth="1"/>
    <col min="88" max="88" width="11.6640625" style="81" customWidth="1"/>
    <col min="89" max="89" width="12.77734375" style="81" bestFit="1" customWidth="1"/>
    <col min="90" max="90" width="16.44140625" style="82" bestFit="1" customWidth="1"/>
    <col min="91" max="92" width="14.88671875" style="82" bestFit="1" customWidth="1"/>
    <col min="93" max="93" width="16" style="82" bestFit="1" customWidth="1"/>
    <col min="94" max="97" width="7.77734375" style="81" customWidth="1"/>
    <col min="98" max="98" width="33.21875" style="81" customWidth="1"/>
    <col min="99" max="99" width="18" style="81" customWidth="1"/>
    <col min="100" max="100" width="75.6640625" style="81" customWidth="1"/>
    <col min="101" max="125" width="33" style="81" customWidth="1"/>
    <col min="126" max="126" width="8.88671875" style="81"/>
    <col min="127" max="128" width="9.44140625" style="81" bestFit="1" customWidth="1"/>
    <col min="129" max="129" width="10.77734375" style="81" bestFit="1" customWidth="1"/>
    <col min="130" max="134" width="10.77734375" style="81" customWidth="1"/>
    <col min="135" max="135" width="10.109375" style="81" bestFit="1" customWidth="1"/>
    <col min="136" max="136" width="7.77734375" style="81" bestFit="1" customWidth="1"/>
    <col min="137" max="137" width="7.77734375" style="81" customWidth="1"/>
    <col min="138" max="138" width="9" style="81" bestFit="1" customWidth="1"/>
    <col min="139" max="139" width="11.33203125" style="81" bestFit="1" customWidth="1"/>
    <col min="140" max="140" width="9.109375" style="81" bestFit="1" customWidth="1"/>
    <col min="141" max="141" width="9" style="81" bestFit="1" customWidth="1"/>
    <col min="142" max="142" width="12" style="81" bestFit="1" customWidth="1"/>
    <col min="143" max="166" width="12" style="81" customWidth="1"/>
    <col min="167" max="167" width="17.21875" style="81" customWidth="1"/>
    <col min="168" max="191" width="12" style="81" customWidth="1"/>
    <col min="192" max="192" width="8.5546875" style="81" bestFit="1" customWidth="1"/>
    <col min="193" max="193" width="8.5546875" style="81" customWidth="1"/>
    <col min="194" max="194" width="7.109375" style="81" bestFit="1" customWidth="1"/>
    <col min="195" max="195" width="7.5546875" style="81" bestFit="1" customWidth="1"/>
    <col min="196" max="196" width="8.5546875" style="81" bestFit="1" customWidth="1"/>
    <col min="197" max="200" width="8.5546875" style="81" customWidth="1"/>
    <col min="201" max="201" width="188.88671875" style="81" customWidth="1"/>
    <col min="202" max="202" width="9.5546875" style="81" bestFit="1" customWidth="1"/>
    <col min="203" max="203" width="10.44140625" style="81" bestFit="1" customWidth="1"/>
    <col min="204" max="204" width="11.109375" style="81" bestFit="1" customWidth="1"/>
    <col min="205" max="205" width="10.44140625" style="81" bestFit="1" customWidth="1"/>
    <col min="206" max="210" width="10.44140625" style="81" customWidth="1"/>
    <col min="211" max="211" width="45.44140625" style="81" customWidth="1"/>
    <col min="212" max="212" width="47.5546875" style="81" bestFit="1" customWidth="1"/>
    <col min="213" max="213" width="9.33203125" style="85" customWidth="1"/>
    <col min="214" max="214" width="119.5546875" style="81" customWidth="1"/>
    <col min="215" max="215" width="69.6640625" style="81" customWidth="1"/>
    <col min="216" max="218" width="8.88671875" style="81"/>
    <col min="219" max="219" width="37.109375" style="81" customWidth="1"/>
    <col min="220" max="220" width="16.33203125" style="81" customWidth="1"/>
    <col min="221" max="222" width="8.88671875" style="81"/>
    <col min="223" max="223" width="10.109375" style="81" bestFit="1" customWidth="1"/>
    <col min="224" max="232" width="10.88671875" style="81" customWidth="1"/>
    <col min="233" max="234" width="30.77734375" style="81" customWidth="1"/>
    <col min="235" max="235" width="5.109375" style="81" customWidth="1"/>
    <col min="236" max="236" width="3" style="81" customWidth="1"/>
    <col min="237" max="245" width="6.77734375" style="86" customWidth="1"/>
    <col min="246" max="247" width="8.88671875" style="81"/>
    <col min="248" max="248" width="61.5546875" style="81" customWidth="1"/>
    <col min="249" max="253" width="8.88671875" style="81"/>
    <col min="254" max="254" width="9" style="81" customWidth="1"/>
    <col min="255" max="16384" width="8.88671875" style="8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1073</v>
      </c>
      <c r="B2" s="40" t="e" vm="126">
        <v>#VALUE!</v>
      </c>
      <c r="C2" s="41">
        <v>1</v>
      </c>
      <c r="D2" s="42" t="s">
        <v>1074</v>
      </c>
      <c r="E2" s="43" t="s">
        <v>1075</v>
      </c>
      <c r="F2" s="44" t="s">
        <v>163</v>
      </c>
      <c r="G2" s="45">
        <f>COUNTIF($A$1:$A$8336,A2)</f>
        <v>1</v>
      </c>
      <c r="H2" s="46"/>
      <c r="I2" s="47" t="s">
        <v>1076</v>
      </c>
      <c r="J2" s="48" t="str">
        <f>""</f>
        <v/>
      </c>
      <c r="K2" s="49">
        <v>12000000</v>
      </c>
      <c r="L2" s="50">
        <v>9370000</v>
      </c>
      <c r="M2" s="50" t="s">
        <v>1080</v>
      </c>
      <c r="N2" s="51" t="s">
        <v>180</v>
      </c>
      <c r="O2" s="52" t="s">
        <v>1077</v>
      </c>
      <c r="P2" s="53" t="s">
        <v>1078</v>
      </c>
      <c r="Q2" s="54">
        <v>1</v>
      </c>
      <c r="R2" s="55" t="s">
        <v>180</v>
      </c>
      <c r="S2" s="56">
        <v>0</v>
      </c>
      <c r="T2" s="57" t="s">
        <v>164</v>
      </c>
      <c r="U2" s="58" t="s">
        <v>164</v>
      </c>
      <c r="V2" s="58" t="s">
        <v>164</v>
      </c>
      <c r="W2" s="58" t="s">
        <v>164</v>
      </c>
      <c r="X2" s="58" t="s">
        <v>167</v>
      </c>
      <c r="Y2" s="58" t="s">
        <v>164</v>
      </c>
      <c r="Z2" s="58" t="s">
        <v>164</v>
      </c>
      <c r="AA2" s="58" t="s">
        <v>164</v>
      </c>
      <c r="AB2" s="58" t="s">
        <v>164</v>
      </c>
      <c r="AC2" s="58" t="s">
        <v>164</v>
      </c>
      <c r="AD2" s="58" t="s">
        <v>164</v>
      </c>
      <c r="AE2" s="58" t="s">
        <v>167</v>
      </c>
      <c r="AF2" s="59" t="s">
        <v>164</v>
      </c>
      <c r="AG2" s="59" t="s">
        <v>164</v>
      </c>
      <c r="AH2" s="59" t="s">
        <v>167</v>
      </c>
      <c r="AI2" s="59" t="s">
        <v>164</v>
      </c>
      <c r="AJ2" s="59" t="s">
        <v>164</v>
      </c>
      <c r="AK2" s="59" t="s">
        <v>164</v>
      </c>
      <c r="AL2" s="59" t="s">
        <v>164</v>
      </c>
      <c r="AM2" s="59" t="s">
        <v>164</v>
      </c>
      <c r="AN2" s="59" t="s">
        <v>164</v>
      </c>
      <c r="AO2" s="59" t="s">
        <v>164</v>
      </c>
      <c r="AP2" s="59" t="s">
        <v>164</v>
      </c>
      <c r="AQ2" s="59" t="s">
        <v>164</v>
      </c>
      <c r="AR2" s="59" t="s">
        <v>164</v>
      </c>
      <c r="AS2" s="59" t="s">
        <v>164</v>
      </c>
      <c r="AT2" s="60">
        <v>1</v>
      </c>
      <c r="AU2" s="59"/>
      <c r="AV2" s="59" t="str">
        <f>IF(LEFT(A2,1)="[",LEFT(A2,5)&amp;AU2&amp;A2,"")</f>
        <v/>
      </c>
      <c r="AW2" s="59" t="str">
        <f>C2&amp;H2&amp;A2</f>
        <v>1Tunisia</v>
      </c>
      <c r="AX2" s="61" t="str">
        <f>_xlfn.TEXTJOIN(";",TRUE,AU2:AW2)</f>
        <v>1Tunisia</v>
      </c>
      <c r="AY2" s="61"/>
      <c r="AZ2" s="62" t="s">
        <v>154</v>
      </c>
      <c r="BA2" s="62"/>
      <c r="BB2" s="62"/>
      <c r="BC2" s="63"/>
      <c r="BD2" s="64" t="s">
        <v>154</v>
      </c>
      <c r="BE2" s="47"/>
      <c r="BF2" s="64"/>
      <c r="BG2" s="64"/>
      <c r="BH2" s="64"/>
      <c r="BI2" s="64"/>
      <c r="BJ2" s="64"/>
      <c r="BK2" s="47"/>
      <c r="BL2" s="64" t="s">
        <v>154</v>
      </c>
      <c r="BM2" s="64" t="s">
        <v>159</v>
      </c>
      <c r="BN2" s="64"/>
      <c r="BO2" s="64"/>
      <c r="BP2" s="64"/>
      <c r="BQ2" s="64"/>
      <c r="BR2" s="64"/>
      <c r="BS2" s="64"/>
      <c r="BT2" s="64"/>
      <c r="BU2" s="65"/>
      <c r="BV2" s="66" t="s">
        <v>165</v>
      </c>
      <c r="BW2" s="66" t="s">
        <v>166</v>
      </c>
      <c r="BX2" s="47"/>
      <c r="CB2" s="6" t="s">
        <v>135</v>
      </c>
      <c r="CC2" s="6"/>
      <c r="CD2" s="67">
        <v>0</v>
      </c>
      <c r="CE2" s="67">
        <v>0</v>
      </c>
      <c r="CF2" s="67" t="e">
        <v>#REF!</v>
      </c>
      <c r="CG2" s="68" cm="1">
        <f t="array" ref="CG2">SUMPRODUCT(--(LEN(TRIM(BL2:BT2))&gt;0))</f>
        <v>2</v>
      </c>
      <c r="CH2" s="59" t="str">
        <f>IF(CG2=2,"y","n")</f>
        <v>y</v>
      </c>
      <c r="CI2" s="59" t="str">
        <f>IF(CG2=3,"y","n")</f>
        <v>n</v>
      </c>
      <c r="CJ2" s="59" t="str">
        <f>IF(CG2=4,"y","n")</f>
        <v>n</v>
      </c>
      <c r="CK2" s="59" t="str">
        <f>IF(CG2&gt;4,"y","n")</f>
        <v>n</v>
      </c>
      <c r="CL2" s="59" t="str">
        <f>IF(S2=0,"y","n")</f>
        <v>y</v>
      </c>
      <c r="CM2" s="59" t="str">
        <f>IF(S2=2,"y","n")</f>
        <v>n</v>
      </c>
      <c r="CN2" s="59" t="str">
        <f>IF(S2=3,"y","n")</f>
        <v>n</v>
      </c>
      <c r="CO2" s="59" t="str">
        <f>IF(S2&gt;=4,"y","n")</f>
        <v>n</v>
      </c>
      <c r="CP2" s="59" t="str">
        <f>IF(AT2=0,"y","n")</f>
        <v>n</v>
      </c>
      <c r="CQ2" s="59" t="str">
        <f>IF(AT2=1,"y","n")</f>
        <v>y</v>
      </c>
      <c r="CR2" s="59" t="str">
        <f>IF(AT2=2,"y","n")</f>
        <v>n</v>
      </c>
      <c r="CS2" s="59" t="str">
        <f>IF(AT2&gt;=3,"y","n")</f>
        <v>n</v>
      </c>
      <c r="CT2" s="69" t="str">
        <f>CHAR(34)&amp;A2&amp;CHAR(34)</f>
        <v>"Tunisia"</v>
      </c>
      <c r="CU2" s="70" t="str">
        <f>CHAR(34)&amp;"rgn_"&amp;R2&amp;CHAR(34)</f>
        <v>"rgn_Africa"</v>
      </c>
      <c r="CV2" s="48" t="str">
        <f>CHAR(34)&amp;D2&amp;CHAR(34)</f>
        <v>"https://i.ibb.co/6vYvyJR/Tunisia-Flag.png"</v>
      </c>
      <c r="CW2" s="48" t="str">
        <f>IF(CH2="y",CHAR(34)&amp;CH$1&amp;CHAR(34)&amp;",","")</f>
        <v>"2Color",</v>
      </c>
      <c r="CX2" s="48" t="str">
        <f>IF(CI2="y",CHAR(34)&amp;CI$1&amp;CHAR(34)&amp;",","")</f>
        <v/>
      </c>
      <c r="CY2" s="48" t="str">
        <f>IF(CJ2="y",CHAR(34)&amp;CJ$1&amp;CHAR(34)&amp;",","")</f>
        <v/>
      </c>
      <c r="CZ2" s="48" t="str">
        <f>IF(CK2="y",CHAR(34)&amp;CK$1&amp;CHAR(34)&amp;",","")</f>
        <v/>
      </c>
      <c r="DA2" s="48" t="str">
        <f>IF(Q2&gt;1,CHAR(34)&amp;"words2"&amp;CHAR(34)&amp;",","")</f>
        <v/>
      </c>
      <c r="DB2" s="48" t="str">
        <f>IF(Q2&gt;2,CHAR(34)&amp;"words3"&amp;CHAR(34)&amp;",","")</f>
        <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"lets07",</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"startT",</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"REDWHI",</v>
      </c>
      <c r="DM2" s="48" t="str" cm="1">
        <f t="array" ref="DM2">IF(CG2=3,CHAR(34) &amp; _xlfn.TEXTJOIN("", TRUE, RIGHT(HP2:HX2, 2)) &amp; CHAR(34) &amp; ",", "")</f>
        <v/>
      </c>
      <c r="DN2" s="48" t="str">
        <f>IF(AND(ISNUMBER(SEARCH("18", O2)), ISERROR(SEARCH("1918", O2)), ISERROR(SEARCH("2018", O2))), CHAR(34) &amp; "year18" &amp; CHAR(34) &amp; ",", "")</f>
        <v>"year18",</v>
      </c>
      <c r="DO2" s="48" t="str">
        <f>IF(AND(ISNUMBER(SEARCH("19", O2)), ISERROR(SEARCH("1819", O2)),  ISERROR(SEARCH("1219", O2)),ISERROR(SEARCH("1119", O2)),ISERROR(SEARCH("1190", O2)),ISERROR(SEARCH("2019", O2))), CHAR(34) &amp; "year19" &amp; CHAR(34) &amp; ",", "")</f>
        <v/>
      </c>
      <c r="DP2" s="6" t="str">
        <f>IF(AND(ISNUMBER(SEARCH("20", O2)), ISERROR(SEARCH("1920", O2))), CHAR(34)&amp;"year00"&amp;CHAR(34)&amp;",", "")</f>
        <v/>
      </c>
      <c r="DQ2" s="6" t="str">
        <f>IF(CC2="y",CHAR(34)&amp;"soviet"&amp;CHAR(34)&amp;",","")</f>
        <v/>
      </c>
      <c r="DR2" s="6" t="str">
        <f>IF(BY2="y",CHAR(34)&amp;"dgband"&amp;CHAR(34)&amp;",","")</f>
        <v/>
      </c>
      <c r="DS2" s="6" t="str">
        <f>IF(W2="y",IF(AND(V2="n",BY2&lt;&gt;"y"),CHAR(34)&amp;"allver"&amp;CHAR(34)&amp;",",""),"")</f>
        <v/>
      </c>
      <c r="DT2" s="6" t="str">
        <f>IF(V2="y",IF(AND(W2="n",BY2&lt;&gt;"y"),CHAR(34)&amp;"allhor"&amp;CHAR(34)&amp;",",""),"")</f>
        <v/>
      </c>
      <c r="DU2" s="6" t="str">
        <f>IF(BY2="y",IF(AND(W2="n",V2="n"),CHAR(34)&amp;"alldia"&amp;CHAR(34)&amp;",",""),"")</f>
        <v/>
      </c>
      <c r="DV2" s="48" t="str">
        <f>IF(IA2&lt;&gt;"",(IF(IA2="y",CHAR(34)&amp;"largec"&amp;CHAR(34)&amp;",",CHAR(34)&amp;"smallc"&amp;CHAR(34)&amp;",")),"")</f>
        <v/>
      </c>
      <c r="DW2" s="48" t="str">
        <f>IF(CL2="y",CHAR(34)&amp;CL$1&amp;CHAR(34)&amp;",","")</f>
        <v>"NoBand",</v>
      </c>
      <c r="DX2" s="48" t="str">
        <f>IF(CM2="y",CHAR(34)&amp;CM$1&amp;CHAR(34)&amp;",","")</f>
        <v/>
      </c>
      <c r="DY2" s="48" t="str">
        <f>IF(CN2="y",CHAR(34)&amp;CN$1&amp;CHAR(34)&amp;",","")</f>
        <v/>
      </c>
      <c r="DZ2" s="48" t="str">
        <f>IF(CO2="y",CHAR(34)&amp;CO$1&amp;CHAR(34)&amp;",","")</f>
        <v/>
      </c>
      <c r="EA2" s="48" t="str">
        <f>IF(T2="y",CHAR(34)&amp;T$1&amp;CHAR(34)&amp;",","")</f>
        <v/>
      </c>
      <c r="EB2" s="48" t="str">
        <f>IF(U2="y",CHAR(34)&amp;U$1&amp;CHAR(34)&amp;",","")</f>
        <v/>
      </c>
      <c r="EC2" s="48" t="str">
        <f>IF(V2="y",CHAR(34)&amp;V$1&amp;CHAR(34)&amp;",","")</f>
        <v/>
      </c>
      <c r="ED2" s="48" t="str">
        <f>IF(W2="y",CHAR(34)&amp;W$1&amp;CHAR(34)&amp;",","")</f>
        <v/>
      </c>
      <c r="EE2" s="48" t="str">
        <f>IF(X2="y",CHAR(34)&amp;X$1&amp;CHAR(34)&amp;",","")</f>
        <v>"Circle",</v>
      </c>
      <c r="EF2" s="48" t="str">
        <f>IF(AND(Y2&lt;&gt;"n",Y2&lt;&gt;""),CHAR(34)&amp;Y$1&amp;CHAR(34)&amp;",","")</f>
        <v/>
      </c>
      <c r="EG2" s="48" t="str">
        <f>IF(Z2="y",CHAR(34)&amp;Z$1&amp;CHAR(34)&amp;",","")</f>
        <v/>
      </c>
      <c r="EH2" s="48" t="str">
        <f>IF(AA2="y",CHAR(34)&amp;AA$1&amp;CHAR(34)&amp;",","")</f>
        <v/>
      </c>
      <c r="EI2" s="48" t="str">
        <f>IF(AB2="y",CHAR(34)&amp;AB$1&amp;CHAR(34)&amp;",","")</f>
        <v/>
      </c>
      <c r="EJ2" s="48" t="str">
        <f>IF(AC2="y",CHAR(34)&amp;AC$1&amp;CHAR(34)&amp;",","")</f>
        <v/>
      </c>
      <c r="EK2" s="48" t="str">
        <f>IF(AD2="y",CHAR(34)&amp;AD$1&amp;CHAR(34)&amp;",","")</f>
        <v/>
      </c>
      <c r="EL2" s="48" t="str">
        <f>IF(AE2="y",CHAR(34)&amp;AE$1&amp;CHAR(34)&amp;",","")</f>
        <v>"IsMoon",</v>
      </c>
      <c r="EM2" s="48" t="str">
        <f>IF(AF2="y",CHAR(34)&amp;AF$1&amp;CHAR(34)&amp;",","")</f>
        <v/>
      </c>
      <c r="EN2" s="48" t="str">
        <f>IF(AG2="y",CHAR(34)&amp;AG$1&amp;CHAR(34)&amp;",","")</f>
        <v/>
      </c>
      <c r="EO2" s="48" t="str">
        <f>IF(AH2="y",CHAR(34)&amp;AH$1&amp;CHAR(34)&amp;",","")</f>
        <v>"Center",</v>
      </c>
      <c r="EP2" s="48" t="str">
        <f>IF(AI2="y",CHAR(34)&amp;AI$1&amp;CHAR(34)&amp;",","")</f>
        <v/>
      </c>
      <c r="EQ2" s="48" t="str">
        <f>IF(AJ2="y",CHAR(34)&amp;AJ$1&amp;CHAR(34)&amp;",","")</f>
        <v/>
      </c>
      <c r="ER2" s="48" t="str">
        <f>IF(AK2="y",CHAR(34)&amp;AK$1&amp;CHAR(34)&amp;",","")</f>
        <v/>
      </c>
      <c r="ES2" s="48" t="str">
        <f>IF(AL2="y",CHAR(34)&amp;AL$1&amp;CHAR(34)&amp;",","")</f>
        <v/>
      </c>
      <c r="ET2" s="48" t="str">
        <f>IF(AM2="y",CHAR(34)&amp;AM$1&amp;CHAR(34)&amp;",","")</f>
        <v/>
      </c>
      <c r="EU2" s="48" t="str">
        <f>IF(AN2="y",CHAR(34)&amp;AN$1&amp;CHAR(34)&amp;",","")</f>
        <v/>
      </c>
      <c r="EV2" s="48" t="str">
        <f>IF(AO2="y",CHAR(34)&amp;AO$1&amp;CHAR(34)&amp;",","")</f>
        <v/>
      </c>
      <c r="EW2" s="48" t="str">
        <f>IF(AP2="y",CHAR(34)&amp;AP$1&amp;CHAR(34)&amp;",","")</f>
        <v/>
      </c>
      <c r="EX2" s="48" t="str">
        <f>IF(AQ2="y",CHAR(34)&amp;AQ$1&amp;CHAR(34)&amp;",","")</f>
        <v/>
      </c>
      <c r="EY2" s="48" t="str">
        <f>IF(AR2="y",CHAR(34)&amp;AR$1&amp;CHAR(34)&amp;",","")</f>
        <v/>
      </c>
      <c r="EZ2" s="48" t="str">
        <f>IF(AS2="y",CHAR(34)&amp;AS$1&amp;CHAR(34)&amp;",","")</f>
        <v/>
      </c>
      <c r="FA2" s="48" t="str">
        <f>IF(AT2&gt;0,CHAR(34)&amp;"sta"&amp;AZ2&amp;CHAR(34)&amp;",","")</f>
        <v>"staRED",</v>
      </c>
      <c r="FB2" s="48" t="str">
        <f>IF(AND(AT2&gt;0,BA2&lt;&gt;""),CHAR(34)&amp;"sta"&amp;BA2&amp;CHAR(34)&amp;",","")</f>
        <v/>
      </c>
      <c r="FC2" s="48" t="str">
        <f>IF(AND(AT2&gt;0,BB2&lt;&gt;""),CHAR(34)&amp;"sta"&amp;BB2&amp;CHAR(34)&amp;",","")</f>
        <v/>
      </c>
      <c r="FD2" s="48" t="str">
        <f>IF(BV2="n",CHAR(34)&amp;"tcWHYE"&amp;CHAR(34)&amp;",",IF(BV2="y",CHAR(34)&amp;FD$1&amp;CHAR(34)&amp;",",""))</f>
        <v/>
      </c>
      <c r="FE2" s="48" t="str">
        <f>IF(COUNTIF(BL2:BT2,"BLU")=0,CHAR(34)&amp;"NO_BLU"&amp;CHAR(34)&amp;",", "")</f>
        <v>"NO_BLU",</v>
      </c>
      <c r="FF2" s="48" t="str">
        <f>IF(COUNTIF(BL2:BT2,"WHI")=0,CHAR(34)&amp;"NO_WHI"&amp;CHAR(34)&amp;",", "")</f>
        <v/>
      </c>
      <c r="FG2" s="48" t="str">
        <f>IF(COUNTIF(BL2:BT2,"RED")=0,CHAR(34)&amp;"NO_RED"&amp;CHAR(34)&amp;",", "")</f>
        <v/>
      </c>
      <c r="FH2" s="48" t="str">
        <f>IF(COUNTIF(BL2:BS2,"GRE")=0,CHAR(34)&amp;"NO_GRE"&amp;CHAR(34)&amp;",", "")</f>
        <v>"NO_GRE",</v>
      </c>
      <c r="FI2" s="48" t="str">
        <f>IF(COUNTIF(BL2:BT2,"YEL")=0,CHAR(34)&amp;"NO_YEL"&amp;CHAR(34)&amp;",", "")</f>
        <v>"NO_YEL",</v>
      </c>
      <c r="FJ2" s="48" t="str">
        <f>IF(COUNTIF(BL2:BT2,"BLA")=0,CHAR(34)&amp;"NO_BLA"&amp;CHAR(34)&amp;",", "")</f>
        <v>"NO_BLA",</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
      </c>
      <c r="FP2" s="48" t="str">
        <f>IF(AND(FF2&lt;&gt;"",FF2&lt;&gt;""),CHAR(34)&amp;"WHRENO"&amp;CHAR(34)&amp;",","")</f>
        <v/>
      </c>
      <c r="FQ2" s="48" t="str">
        <f>IF(LEN(BF2)=3,CHAR(34)&amp;"001"&amp;BF2&amp;CHAR(34)&amp;",","")</f>
        <v/>
      </c>
      <c r="FR2" s="48" t="str">
        <f>IF(LEN(BG2)=3,CHAR(34)&amp;"002"&amp;BG2&amp;CHAR(34)&amp;",","")</f>
        <v/>
      </c>
      <c r="FS2" s="48" t="str">
        <f>IF(LEN(BH2)=3,CHAR(34)&amp;"003"&amp;BH2&amp;CHAR(34)&amp;",","")</f>
        <v/>
      </c>
      <c r="FT2" s="48" t="str">
        <f>CHAR(34)&amp;"myr"&amp;BD2&amp;CHAR(34)&amp;","</f>
        <v>"myrRED",</v>
      </c>
      <c r="FU2" s="48" t="str">
        <f>IF(AY2="y",CHAR(34)&amp;"island"&amp;CHAR(34)&amp;",","")</f>
        <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"arabic",</v>
      </c>
      <c r="FZ2" s="48" t="str">
        <f>IFERROR(IF(SEARCH("English",CB2)&gt;0,CHAR(34)&amp;"englis"&amp;CHAR(34)&amp;",",""),"")</f>
        <v/>
      </c>
      <c r="GA2" s="48" t="str">
        <f>IFERROR(IF(SEARCH("French",CB2)&gt;0,CHAR(34)&amp;"french"&amp;CHAR(34)&amp;",",""),"")</f>
        <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
      </c>
      <c r="GK2" s="48" t="str">
        <f>IF(GJ2="",CHAR(34)&amp;"HasSta"&amp;CHAR(34)&amp;",","")</f>
        <v>"HasSta",</v>
      </c>
      <c r="GL2" s="48" t="str">
        <f>IF(CQ2="y",CHAR(34)&amp;CQ$1&amp;CHAR(34)&amp;",","")</f>
        <v>"1Stars",</v>
      </c>
      <c r="GM2" s="48" t="str">
        <f>IF(CR2="y",CHAR(34)&amp;CR$1&amp;CHAR(34)&amp;",","")</f>
        <v/>
      </c>
      <c r="GN2" s="48" t="str">
        <f>IF(CS2="y",CHAR(34)&amp;CS$1&amp;CHAR(34)&amp;",","")</f>
        <v/>
      </c>
      <c r="GP2" s="48" t="str">
        <f>CHAR(34)&amp;AU2&amp;CHAR(34)</f>
        <v>""</v>
      </c>
      <c r="GS2" s="48" t="str">
        <f>SUBSTITUTE("["&amp;_xlfn.CONCAT(CW2:GN2)&amp;"]",",]","]")</f>
        <v>["2Color","lets07","startT","REDWHI","year18","NoBand","Circle","IsMoon","Center","staRED","NO_BLU","NO_GRE","NO_YEL","NO_BLA","myrRED","arabic","HasSta","1Stars"]</v>
      </c>
      <c r="GT2" s="48" t="str">
        <f>IF(BL2&lt;&gt;"",CHAR(34)&amp;"cl_"&amp;BL2&amp;CHAR(34)&amp;",","")</f>
        <v>"cl_RED",</v>
      </c>
      <c r="GU2" s="48" t="str">
        <f>IF(BM2&lt;&gt;"",CHAR(34)&amp;"cl_"&amp;BM2&amp;CHAR(34)&amp;",","")</f>
        <v>"cl_WHI",</v>
      </c>
      <c r="GV2" s="48" t="str">
        <f>IF(BN2&lt;&gt;"",CHAR(34)&amp;"cl_"&amp;BN2&amp;CHAR(34)&amp;",","")</f>
        <v/>
      </c>
      <c r="GW2" s="48" t="str">
        <f>IF(BO2&lt;&gt;"",CHAR(34)&amp;"cl_"&amp;BO2&amp;CHAR(34)&amp;",","")</f>
        <v/>
      </c>
      <c r="GX2" s="48" t="str">
        <f>IF(BP2&lt;&gt;"",CHAR(34)&amp;"cl_"&amp;BP2&amp;CHAR(34)&amp;",","")</f>
        <v/>
      </c>
      <c r="GY2" s="48" t="str">
        <f>IF(BQ2&lt;&gt;"",CHAR(34)&amp;"cl_"&amp;BQ2&amp;CHAR(34)&amp;",","")</f>
        <v/>
      </c>
      <c r="GZ2" s="48" t="str">
        <f>IF(BR2&lt;&gt;"",CHAR(34)&amp;"cl_"&amp;BR2&amp;CHAR(34)&amp;",","")</f>
        <v/>
      </c>
      <c r="HA2" s="48" t="str">
        <f>IF(BS2&lt;&gt;"",CHAR(34)&amp;"cl_"&amp;BS2&amp;CHAR(34)&amp;",","")</f>
        <v/>
      </c>
      <c r="HB2" s="48" t="str">
        <f>IF(BT2&lt;&gt;"",CHAR(34)&amp;"cl_"&amp;BT2&amp;CHAR(34)&amp;",","")</f>
        <v/>
      </c>
      <c r="HC2" s="48" t="str">
        <f>SUBSTITUTE("["&amp;_xlfn.CONCAT(GT2:HB2)&amp;"]",",]","]")</f>
        <v>["cl_RED","cl_WHI"]</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{couname:"Tunisia",year:"1831 ",region:"rgn_Africa",Colors:["cl_RED","cl_WHI"],Items:["2Color","lets07","startT","REDWHI","year18","NoBand","Circle","IsMoon","Center","staRED","NO_BLU","NO_GRE","NO_YEL","NO_BLA","myrRED","arabic","HasSta","1Stars"],Flag:"https://i.ibb.co/6vYvyJR/Tunisia-Flag.png",HDFlag:"https://upload.wikimedia.org/wikipedia/commons/thumb/c/ce/Flag_of_Tunisia.svg/2560px-Flag_of_Tunisia.svg.png",type:"", describe: "\nThe color red represents the blood of Tunisian martyrs killed during the Crusades before the advent of the Ottomans in 1574.  The white symbolizes peace, the disk symbolizes the radiance of the nation as the sun, while the crescent and five-pointed star represent unity of all Muslims and the Five Pillars of Islam, respectively.", isnew:".", links: "https://en.wikipedia.org/wiki/Flag_of_Tunisia"},</v>
      </c>
      <c r="HG2" s="73" t="str">
        <f>"{couname:"&amp;CT2&amp;(IF(HK2&lt;&gt;"",",subtype:"&amp;CHAR(34)&amp;HK2&amp;CHAR(34),""))&amp;",year:"&amp;HJ2&amp;",region:"&amp;CU2&amp;",Colors:"&amp;HC2&amp;",Items:"&amp;GS2&amp;",Flag:"&amp;CV2&amp;",HDFlag:"&amp;CHAR(34)&amp;E2&amp;CHAR(34)&amp;",type:"&amp;GP2&amp;", describe: "&amp;HI2&amp;", links: "&amp;HL2&amp;"},"</f>
        <v>{couname:"Tunisia",year:"1831 ",region:"rgn_Africa",Colors:["cl_RED","cl_WHI"],Items:["2Color","lets07","startT","REDWHI","year18","NoBand","Circle","IsMoon","Center","staRED","NO_BLU","NO_GRE","NO_YEL","NO_BLA","myrRED","arabic","HasSta","1Stars"],Flag:"https://i.ibb.co/6vYvyJR/Tunisia-Flag.png",HDFlag:"https://upload.wikimedia.org/wikipedia/commons/thumb/c/ce/Flag_of_Tunisia.svg/2560px-Flag_of_Tunisia.svg.png",type:"", describe: "\nThe color red represents the blood of Tunisian martyrs killed during the Crusades before the advent of the Ottomans in 1574.  The white symbolizes peace, the disk symbolizes the radiance of the nation as the sun, while the crescent and five-pointed star represent unity of all Muslims and the Five Pillars of Islam, respectively.", links: "https://en.wikipedia.org/wiki/Flag_of_Tunisia"},</v>
      </c>
      <c r="HH2" s="48" t="str">
        <f>IF(P2&lt;&gt;"",CHAR(34)&amp;"\n"&amp;P2&amp;CHAR(34),CHAR(34)&amp;CHAR(34))</f>
        <v>"\nThe color red represents the blood of Tunisian martyrs killed during the Crusades before the advent of the Ottomans in 1574.  The white symbolizes peace, the disk symbolizes the radiance of the nation as the sun, while the crescent and five-pointed star represent unity of all Muslims and the Five Pillars of Islam, respectively."</v>
      </c>
      <c r="HI2" s="48" t="str">
        <f>IF(J2=0,CHAR(34)&amp;CHAR(34),HH2)</f>
        <v>"\nThe color red represents the blood of Tunisian martyrs killed during the Crusades before the advent of the Ottomans in 1574.  The white symbolizes peace, the disk symbolizes the radiance of the nation as the sun, while the crescent and five-pointed star represent unity of all Muslims and the Five Pillars of Islam, respectively."</v>
      </c>
      <c r="HJ2" s="48" t="str">
        <f>CHAR(34)&amp;O2&amp;CHAR(34)</f>
        <v>"1831 "</v>
      </c>
      <c r="HL2" s="48" t="str">
        <f>CHAR(34)&amp;I2&amp;CHAR(34)</f>
        <v>"https://en.wikipedia.org/wiki/Flag_of_Tunisia"</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{"couname":"Tunisia","year":"1831 ","region":"rgn_Africa","Colors":["cl_RED","cl_WHI"],"Items":["2Color","lets07","startT","REDWHI","year18","NoBand","Circle","IsMoon","Center","staRED","NO_BLU","NO_GRE","NO_YEL","NO_BLA","myrRED","arabic","HasSta","1Stars"],"Flag":"https://i.ibb.co/6vYvyJR/Tunisia-Flag.png","HDFlag":"https://upload.wikimedia.org/wikipedia/commons/thumb/c/ce/Flag_of_Tunisia.svg/2560px-Flag_of_Tunisia.svg.png","type":"", "describe": "\nThe color red represents the blood of Tunisian martyrs killed during the Crusades before the advent of the Ottomans in 1574.  The white symbolizes peace, the disk symbolizes the radiance of the nation as the sun, while the crescent and five-pointed star represent unity of all Muslims and the Five Pillars of Islam, respectively.", "isnew": ".", "links": "https://en.wikipedia.org/wiki/Flag_of_Tunisia"},</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{"couname":"Tunisia","year":"1831 ","region":"rgn_Africa","Colors":["cl_RED","cl_WHI"],"Items":["2Color","lets07","startT","REDWHI","year18","NoBand","Circle","IsMoon","Center","staRED","NO_BLU","NO_GRE","NO_YEL","NO_BLA","myrRED","arabic","HasSta","1Stars"],"Flag":"https://i.ibb.co/6vYvyJR/Tunisia-Flag.png","HDFlag":"https://upload.wikimedia.org/wikipedia/commons/thumb/c/ce/Flag_of_Tunisia.svg/2560px-Flag_of_Tunisia.svg.png","type":"", "describe": "\nThe color red represents the blood of Tunisian martyrs killed during the Crusades before the advent of the Ottomans in 1574.  The white symbolizes peace, the disk symbolizes the radiance of the nation as the sun, while the crescent and five-pointed star represent unity of all Muslims and the Five Pillars of Islam, respectively.", "isnew": ".", "links": "https://en.wikipedia.org/wiki/Flag_of_Tunisia"},</v>
      </c>
      <c r="HO2" s="75"/>
      <c r="HP2" s="48" t="str" cm="1">
        <f t="array" ref="HP2">IF(_xlfn.TEXTJOIN(", ", TRUE, IF(ISNUMBER(SEARCH("BLA", BL2:BT2)), COLUMN(BL2:BT2) - COLUMN(BL2) + 1, ""))&lt;&gt;"","BLA","")</f>
        <v/>
      </c>
      <c r="HQ2" s="48" t="str" cm="1">
        <f t="array" ref="HQ2">IF(_xlfn.TEXTJOIN(", ", TRUE, IF(ISNUMBER(SEARCH("BLU", BL2:BT2)), COLUMN(BL2:BT2) - COLUMN(BL2) + 1, ""))&lt;&gt;"","BLU","")</f>
        <v/>
      </c>
      <c r="HR2" s="48" t="str" cm="1">
        <f t="array" ref="HR2">IF(_xlfn.TEXTJOIN(", ", TRUE, IF(ISNUMBER(SEARCH("GRE", BL2:BT2)), COLUMN(BL2:BT2) - COLUMN(BL2) + 1, ""))&lt;&gt;"","GRE","")</f>
        <v/>
      </c>
      <c r="HS2" s="48" t="str" cm="1">
        <f t="array" ref="HS2">IF(_xlfn.TEXTJOIN(", ", TRUE, IF(ISNUMBER(SEARCH("RED", BL2:BT2)), COLUMN(BL2:BT2) - COLUMN(BL2) + 1, ""))&lt;&gt;"","RED","")</f>
        <v>RED</v>
      </c>
      <c r="HT2" s="48" t="str" cm="1">
        <f t="array" ref="HT2">IF(_xlfn.TEXTJOIN(", ", TRUE, IF(ISNUMBER(SEARCH("YEL", BL2:BT2)), COLUMN(BL2:BT2) - COLUMN(BL2) + 1, ""))&lt;&gt;"","YEL","")</f>
        <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c r="IB2" s="6"/>
      <c r="IC2" s="77"/>
      <c r="ID2" s="77"/>
      <c r="IE2" s="77"/>
      <c r="IF2" s="77"/>
      <c r="IG2" s="77"/>
      <c r="IH2" s="77"/>
      <c r="II2" s="77"/>
      <c r="IJ2" s="77"/>
      <c r="IK2" s="77"/>
      <c r="IL2" s="48">
        <f>SUM(IC2:IK2)</f>
        <v>0</v>
      </c>
      <c r="IM2" s="45">
        <f>COUNTIF(IC2:IK2,"&gt;0")-CG2</f>
        <v>-2</v>
      </c>
      <c r="IN2" s="78" t="str">
        <f>"http://mkweb.bcgsc.ca/color-summarizer/?url="&amp;D2&amp;"&amp;precision=low&amp;num_clusters="&amp;CG2&amp;"&amp;text=1"</f>
        <v>http://mkweb.bcgsc.ca/color-summarizer/?url=https://i.ibb.co/6vYvyJR/Tunisia-Flag.png&amp;precision=low&amp;num_clusters=2&amp;text=1</v>
      </c>
      <c r="IO2" s="48" t="str">
        <f>IF(HP2&lt;&gt;"",CHAR(34)&amp;"black"&amp;CHAR(34),"")</f>
        <v/>
      </c>
      <c r="IP2" s="48" t="str">
        <f>IF(HQ2&lt;&gt;"",CHAR(34)&amp;"blue"&amp;CHAR(34),"")</f>
        <v/>
      </c>
      <c r="IQ2" s="48" t="str">
        <f>IF(HR2&lt;&gt;"",CHAR(34)&amp;"green"&amp;CHAR(34),"")</f>
        <v/>
      </c>
      <c r="IR2" s="48" t="str">
        <f>IF(HS2&lt;&gt;"",CHAR(34)&amp;"red"&amp;CHAR(34),"")</f>
        <v>"red"</v>
      </c>
      <c r="IS2" s="48" t="str">
        <f>IF(HT2&lt;&gt;"",CHAR(34)&amp;"yellow"&amp;CHAR(34),"")</f>
        <v/>
      </c>
      <c r="IT2" s="48" t="str">
        <f>IF(HU2&lt;&gt;"",CHAR(34)&amp;"orange"&amp;CHAR(34),"")</f>
        <v/>
      </c>
      <c r="IU2" s="48" t="str">
        <f>IF(HV2&lt;&gt;"",CHAR(34)&amp;"brown"&amp;CHAR(34),"")</f>
        <v/>
      </c>
      <c r="IV2" s="48" t="str">
        <f>IF(HW2&lt;&gt;"",CHAR(34)&amp;"purple"&amp;CHAR(34),"")</f>
        <v/>
      </c>
      <c r="IW2" s="48" t="str">
        <f>IF(HX2&lt;&gt;"",CHAR(34)&amp;"white"&amp;CHAR(34),"")</f>
        <v>"white"</v>
      </c>
      <c r="IX2" s="48" t="str">
        <f>"{"&amp;CHAR(34)&amp;"url"&amp;CHAR(34)&amp;":"&amp;CHAR(34)&amp;IN2&amp;CHAR(34)&amp;","&amp;CHAR(34)&amp;"name"&amp;CHAR(34)&amp;":"&amp;CHAR(34)&amp;A2&amp;CHAR(34)&amp;"},"</f>
        <v>{"url":"http://mkweb.bcgsc.ca/color-summarizer/?url=https://i.ibb.co/6vYvyJR/Tunisia-Flag.png&amp;precision=low&amp;num_clusters=2&amp;text=1","name":"Tunisia"},</v>
      </c>
      <c r="IY2" s="48">
        <v>222</v>
      </c>
    </row>
    <row r="3" spans="1:259" s="48" customFormat="1" ht="38.4" customHeight="1" thickBot="1" x14ac:dyDescent="0.35">
      <c r="A3" s="79" t="s">
        <v>1063</v>
      </c>
      <c r="B3" s="40" t="e" vm="127">
        <v>#VALUE!</v>
      </c>
      <c r="C3" s="41">
        <v>2</v>
      </c>
      <c r="D3" s="42" t="s">
        <v>1064</v>
      </c>
      <c r="E3" s="43" t="s">
        <v>1065</v>
      </c>
      <c r="F3" s="44" t="s">
        <v>163</v>
      </c>
      <c r="G3" s="45">
        <f>COUNTIF($A$1:$A$8335,A3)</f>
        <v>1</v>
      </c>
      <c r="H3" s="46"/>
      <c r="I3" s="47" t="s">
        <v>1066</v>
      </c>
      <c r="J3" s="48" t="str">
        <f>""</f>
        <v/>
      </c>
      <c r="K3" s="49"/>
      <c r="L3" s="50"/>
      <c r="M3" s="50"/>
      <c r="N3" s="51" t="s">
        <v>180</v>
      </c>
      <c r="O3" s="52" t="s">
        <v>170</v>
      </c>
      <c r="P3" s="53" t="s">
        <v>1067</v>
      </c>
      <c r="Q3" s="54">
        <v>1</v>
      </c>
      <c r="R3" s="55" t="s">
        <v>180</v>
      </c>
      <c r="S3" s="56">
        <v>2</v>
      </c>
      <c r="T3" s="57" t="s">
        <v>164</v>
      </c>
      <c r="U3" s="58" t="s">
        <v>164</v>
      </c>
      <c r="V3" s="58" t="s">
        <v>164</v>
      </c>
      <c r="W3" s="58" t="s">
        <v>167</v>
      </c>
      <c r="X3" s="58" t="s">
        <v>164</v>
      </c>
      <c r="Y3" s="58" t="s">
        <v>164</v>
      </c>
      <c r="Z3" s="58" t="s">
        <v>164</v>
      </c>
      <c r="AA3" s="58" t="s">
        <v>167</v>
      </c>
      <c r="AB3" s="58" t="s">
        <v>167</v>
      </c>
      <c r="AC3" s="58" t="s">
        <v>164</v>
      </c>
      <c r="AD3" s="58" t="s">
        <v>167</v>
      </c>
      <c r="AE3" s="58" t="s">
        <v>164</v>
      </c>
      <c r="AF3" s="59" t="s">
        <v>164</v>
      </c>
      <c r="AG3" s="59" t="s">
        <v>167</v>
      </c>
      <c r="AH3" s="59" t="s">
        <v>167</v>
      </c>
      <c r="AI3" s="59" t="s">
        <v>164</v>
      </c>
      <c r="AJ3" s="59" t="s">
        <v>164</v>
      </c>
      <c r="AK3" s="59" t="s">
        <v>164</v>
      </c>
      <c r="AL3" s="59" t="s">
        <v>164</v>
      </c>
      <c r="AM3" s="59" t="s">
        <v>167</v>
      </c>
      <c r="AN3" s="59" t="s">
        <v>164</v>
      </c>
      <c r="AO3" s="59" t="s">
        <v>167</v>
      </c>
      <c r="AP3" s="59" t="s">
        <v>167</v>
      </c>
      <c r="AQ3" s="59" t="s">
        <v>164</v>
      </c>
      <c r="AR3" s="59" t="s">
        <v>164</v>
      </c>
      <c r="AS3" s="59" t="s">
        <v>164</v>
      </c>
      <c r="AT3" s="60">
        <v>0</v>
      </c>
      <c r="AU3" s="59" t="s">
        <v>256</v>
      </c>
      <c r="AV3" s="59" t="str">
        <f>IF(LEFT(A3,1)="[",LEFT(A3,5)&amp;AU3&amp;A3,"")</f>
        <v>[TUN]City[TUN] Sousse</v>
      </c>
      <c r="AW3" s="59" t="str">
        <f>C3&amp;H3&amp;A3</f>
        <v>2[TUN] Sousse</v>
      </c>
      <c r="AX3" s="61"/>
      <c r="AY3" s="61"/>
      <c r="AZ3" s="62" t="s">
        <v>172</v>
      </c>
      <c r="BA3" s="62" t="s">
        <v>172</v>
      </c>
      <c r="BB3" s="62"/>
      <c r="BC3" s="63"/>
      <c r="BD3" s="64" t="s">
        <v>169</v>
      </c>
      <c r="BE3" s="47"/>
      <c r="BF3" s="64" t="s">
        <v>152</v>
      </c>
      <c r="BG3" s="64" t="s">
        <v>172</v>
      </c>
      <c r="BH3" s="64" t="s">
        <v>155</v>
      </c>
      <c r="BI3" s="64"/>
      <c r="BJ3" s="64"/>
      <c r="BK3" s="47"/>
      <c r="BL3" s="64" t="s">
        <v>151</v>
      </c>
      <c r="BM3" s="64" t="s">
        <v>152</v>
      </c>
      <c r="BN3" s="64" t="s">
        <v>153</v>
      </c>
      <c r="BO3" s="64" t="s">
        <v>172</v>
      </c>
      <c r="BP3" s="64" t="s">
        <v>155</v>
      </c>
      <c r="BQ3" s="64" t="s">
        <v>172</v>
      </c>
      <c r="BR3" s="64" t="s">
        <v>157</v>
      </c>
      <c r="BS3" s="64" t="s">
        <v>158</v>
      </c>
      <c r="BT3" s="64" t="s">
        <v>159</v>
      </c>
      <c r="BU3" s="65"/>
      <c r="BV3" s="66"/>
      <c r="BW3" s="66">
        <v>0</v>
      </c>
      <c r="BX3" s="47"/>
      <c r="CB3" s="6"/>
      <c r="CC3" s="6"/>
      <c r="CD3" s="67">
        <v>0</v>
      </c>
      <c r="CE3" s="67">
        <v>0</v>
      </c>
      <c r="CF3" s="67" t="e">
        <v>#REF!</v>
      </c>
      <c r="CG3" s="68" cm="1">
        <f t="array" ref="CG3">SUMPRODUCT(--(LEN(TRIM(BL3:BT3))&gt;0))</f>
        <v>7</v>
      </c>
      <c r="CH3" s="59" t="str">
        <f>IF(CG3=2,"y","n")</f>
        <v>n</v>
      </c>
      <c r="CI3" s="59" t="str">
        <f>IF(CG3=3,"y","n")</f>
        <v>n</v>
      </c>
      <c r="CJ3" s="59" t="str">
        <f>IF(CG3=4,"y","n")</f>
        <v>n</v>
      </c>
      <c r="CK3" s="59" t="str">
        <f>IF(CG3&gt;4,"y","n")</f>
        <v>y</v>
      </c>
      <c r="CL3" s="59" t="str">
        <f>IF(S3=0,"y","n")</f>
        <v>n</v>
      </c>
      <c r="CM3" s="59" t="str">
        <f>IF(S3=2,"y","n")</f>
        <v>y</v>
      </c>
      <c r="CN3" s="59" t="str">
        <f>IF(S3=3,"y","n")</f>
        <v>n</v>
      </c>
      <c r="CO3" s="59" t="str">
        <f>IF(S3&gt;=4,"y","n")</f>
        <v>n</v>
      </c>
      <c r="CP3" s="59" t="str">
        <f>IF(AT3=0,"y","n")</f>
        <v>y</v>
      </c>
      <c r="CQ3" s="59" t="str">
        <f>IF(AT3=1,"y","n")</f>
        <v>n</v>
      </c>
      <c r="CR3" s="59" t="str">
        <f>IF(AT3=2,"y","n")</f>
        <v>n</v>
      </c>
      <c r="CS3" s="59" t="str">
        <f>IF(AT3&gt;=3,"y","n")</f>
        <v>n</v>
      </c>
      <c r="CT3" s="69" t="str">
        <f>CHAR(34)&amp;A3&amp;CHAR(34)</f>
        <v>"[TUN] Sousse"</v>
      </c>
      <c r="CU3" s="70" t="str">
        <f>CHAR(34)&amp;"rgn_"&amp;R3&amp;CHAR(34)</f>
        <v>"rgn_Africa"</v>
      </c>
      <c r="CV3" s="48" t="str">
        <f>CHAR(34)&amp;D3&amp;CHAR(34)</f>
        <v>"https://upload.wikimedia.org/wikipedia/commons/thumb/7/7e/Flag_commune_Sousse.svg/640px-Flag_commune_Sousse.svg.png"</v>
      </c>
      <c r="CW3" s="48" t="str">
        <f>IF(CH3="y",CHAR(34)&amp;CH$1&amp;CHAR(34)&amp;",","")</f>
        <v/>
      </c>
      <c r="CX3" s="48" t="str">
        <f>IF(CI3="y",CHAR(34)&amp;CI$1&amp;CHAR(34)&amp;",","")</f>
        <v/>
      </c>
      <c r="CY3" s="48" t="str">
        <f>IF(CJ3="y",CHAR(34)&amp;CJ$1&amp;CHAR(34)&amp;",","")</f>
        <v/>
      </c>
      <c r="CZ3" s="48" t="str">
        <f>IF(CK3="y",CHAR(34)&amp;CK$1&amp;CHAR(34)&amp;",","")</f>
        <v>"5+Colo",</v>
      </c>
      <c r="DA3" s="48" t="str">
        <f>IF(Q3&gt;1,CHAR(34)&amp;"words2"&amp;CHAR(34)&amp;",","")</f>
        <v/>
      </c>
      <c r="DB3" s="48" t="str">
        <f>IF(Q3&gt;2,CHAR(34)&amp;"words3"&amp;CHAR(34)&amp;",","")</f>
        <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"lets06",</v>
      </c>
      <c r="DE3" s="48" t="str">
        <f>CHAR(34)&amp;"start"&amp;IFERROR(LEFT(SUBSTITUTE(A3,"["&amp;MID(A3,FIND("[",A3)+1,FIND("]",A3)-FIND("[",A3)-1)&amp;"] ",""),1),LEFT(A3,1))&amp;CHAR(34)&amp;","</f>
        <v>"startS",</v>
      </c>
      <c r="DF3" s="48" t="str">
        <f>IFERROR(IF(SEARCH("tan",A3)&gt;0,CHAR(34)&amp;"withtn"&amp;CHAR(34)&amp;",",""),"")</f>
        <v/>
      </c>
      <c r="DG3" s="48" t="str">
        <f>IFERROR(IF(SEARCH("q",A3)&gt;0,CHAR(34)&amp;"with_q"&amp;CHAR(34)&amp;",",""),"")</f>
        <v/>
      </c>
      <c r="DH3" s="48" t="str">
        <f>IFERROR(IF(SEARCH("v",A3)&gt;0,CHAR(34)&amp;"with_v"&amp;CHAR(34)&amp;",",""),"")</f>
        <v/>
      </c>
      <c r="DI3" s="48" t="str">
        <f>IFERROR(IF(SEARCH("w",A3)&gt;0,CHAR(34)&amp;"with_w"&amp;CHAR(34)&amp;",",""),"")</f>
        <v/>
      </c>
      <c r="DJ3" s="48" t="str">
        <f>IFERROR(IF(SEARCH("y",A3)&gt;0,CHAR(34)&amp;"with_y"&amp;CHAR(34)&amp;",",""),"")</f>
        <v/>
      </c>
      <c r="DK3" s="48" t="str">
        <f>IFERROR(IF(SEARCH("z",A3)&gt;0,CHAR(34)&amp;"with_z"&amp;CHAR(34)&amp;",",""),"")</f>
        <v/>
      </c>
      <c r="DL3" s="48" t="str">
        <f>IF(CG3=2, CHAR(34) &amp; _xlfn.TEXTJOIN("", TRUE, _xlfn._xlws.SORT(HP3:HX3)) &amp; CHAR(34) &amp; ",", "")</f>
        <v/>
      </c>
      <c r="DM3" s="48" t="str" cm="1">
        <f t="array" ref="DM3">IF(CG3=3,CHAR(34) &amp; _xlfn.TEXTJOIN("", TRUE, RIGHT(HP3:HX3, 2)) &amp; CHAR(34) &amp; ",", "")</f>
        <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
      </c>
      <c r="DP3" s="6" t="str">
        <f>IF(AND(ISNUMBER(SEARCH("20", O3)), ISERROR(SEARCH("1920", O3))), CHAR(34)&amp;"year00"&amp;CHAR(34)&amp;",", "")</f>
        <v/>
      </c>
      <c r="DQ3" s="6" t="str">
        <f>IF(CC3="y",CHAR(34)&amp;"soviet"&amp;CHAR(34)&amp;",","")</f>
        <v/>
      </c>
      <c r="DR3" s="6" t="str">
        <f>IF(BY3="y",CHAR(34)&amp;"dgband"&amp;CHAR(34)&amp;",","")</f>
        <v/>
      </c>
      <c r="DS3" s="6" t="str">
        <f>IF(W3="y",IF(AND(V3="n",BY3&lt;&gt;"y"),CHAR(34)&amp;"allver"&amp;CHAR(34)&amp;",",""),"")</f>
        <v>"allver",</v>
      </c>
      <c r="DT3" s="6" t="str">
        <f>IF(V3="y",IF(AND(W3="n",BY3&lt;&gt;"y"),CHAR(34)&amp;"allhor"&amp;CHAR(34)&amp;",",""),"")</f>
        <v/>
      </c>
      <c r="DU3" s="6" t="str">
        <f>IF(BY3="y",IF(AND(W3="n",V3="n"),CHAR(34)&amp;"alldia"&amp;CHAR(34)&amp;",",""),"")</f>
        <v/>
      </c>
      <c r="DW3" s="48" t="str">
        <f>IF(CL3="y",CHAR(34)&amp;CL$1&amp;CHAR(34)&amp;",","")</f>
        <v/>
      </c>
      <c r="DX3" s="48" t="str">
        <f>IF(CM3="y",CHAR(34)&amp;CM$1&amp;CHAR(34)&amp;",","")</f>
        <v>"2Bands",</v>
      </c>
      <c r="DY3" s="48" t="str">
        <f>IF(CN3="y",CHAR(34)&amp;CN$1&amp;CHAR(34)&amp;",","")</f>
        <v/>
      </c>
      <c r="DZ3" s="48" t="str">
        <f>IF(CO3="y",CHAR(34)&amp;CO$1&amp;CHAR(34)&amp;",","")</f>
        <v/>
      </c>
      <c r="EA3" s="48" t="str">
        <f>IF(T3="y",CHAR(34)&amp;T$1&amp;CHAR(34)&amp;",","")</f>
        <v/>
      </c>
      <c r="EB3" s="48" t="str">
        <f>IF(U3="y",CHAR(34)&amp;U$1&amp;CHAR(34)&amp;",","")</f>
        <v/>
      </c>
      <c r="EC3" s="48" t="str">
        <f>IF(V3="y",CHAR(34)&amp;V$1&amp;CHAR(34)&amp;",","")</f>
        <v/>
      </c>
      <c r="ED3" s="48" t="str">
        <f>IF(W3="y",CHAR(34)&amp;W$1&amp;CHAR(34)&amp;",","")</f>
        <v>"Vertic",</v>
      </c>
      <c r="EE3" s="48" t="str">
        <f>IF(X3="y",CHAR(34)&amp;X$1&amp;CHAR(34)&amp;",","")</f>
        <v/>
      </c>
      <c r="EF3" s="48" t="str">
        <f>IF(AND(Y3&lt;&gt;"n",Y3&lt;&gt;""),CHAR(34)&amp;Y$1&amp;CHAR(34)&amp;",","")</f>
        <v/>
      </c>
      <c r="EG3" s="48" t="str">
        <f>IF(Z3="y",CHAR(34)&amp;Z$1&amp;CHAR(34)&amp;",","")</f>
        <v/>
      </c>
      <c r="EH3" s="48" t="str">
        <f>IF(AA3="y",CHAR(34)&amp;AA$1&amp;CHAR(34)&amp;",","")</f>
        <v>"Plants",</v>
      </c>
      <c r="EI3" s="48" t="str">
        <f>IF(AB3="y",CHAR(34)&amp;AB$1&amp;CHAR(34)&amp;",","")</f>
        <v>"Texted",</v>
      </c>
      <c r="EJ3" s="48" t="str">
        <f>IF(AC3="y",CHAR(34)&amp;AC$1&amp;CHAR(34)&amp;",","")</f>
        <v/>
      </c>
      <c r="EK3" s="48" t="str">
        <f>IF(AD3="y",CHAR(34)&amp;AD$1&amp;CHAR(34)&amp;",","")</f>
        <v>"HasSun",</v>
      </c>
      <c r="EL3" s="48" t="str">
        <f>IF(AE3="y",CHAR(34)&amp;AE$1&amp;CHAR(34)&amp;",","")</f>
        <v/>
      </c>
      <c r="EM3" s="48" t="str">
        <f>IF(AF3="y",CHAR(34)&amp;AF$1&amp;CHAR(34)&amp;",","")</f>
        <v/>
      </c>
      <c r="EN3" s="48" t="str">
        <f>IF(AG3="y",CHAR(34)&amp;AG$1&amp;CHAR(34)&amp;",","")</f>
        <v>"Unequa",</v>
      </c>
      <c r="EO3" s="48" t="str">
        <f>IF(AH3="y",CHAR(34)&amp;AH$1&amp;CHAR(34)&amp;",","")</f>
        <v>"Center",</v>
      </c>
      <c r="EP3" s="48" t="str">
        <f>IF(AI3="y",CHAR(34)&amp;AI$1&amp;CHAR(34)&amp;",","")</f>
        <v/>
      </c>
      <c r="EQ3" s="48" t="str">
        <f>IF(AJ3="y",CHAR(34)&amp;AJ$1&amp;CHAR(34)&amp;",","")</f>
        <v/>
      </c>
      <c r="ER3" s="48" t="str">
        <f>IF(AK3="y",CHAR(34)&amp;AK$1&amp;CHAR(34)&amp;",","")</f>
        <v/>
      </c>
      <c r="ES3" s="48" t="str">
        <f>IF(AL3="y",CHAR(34)&amp;AL$1&amp;CHAR(34)&amp;",","")</f>
        <v/>
      </c>
      <c r="ET3" s="48" t="str">
        <f>IF(AM3="y",CHAR(34)&amp;AM$1&amp;CHAR(34)&amp;",","")</f>
        <v>"Geogrh",</v>
      </c>
      <c r="EU3" s="48" t="str">
        <f>IF(AN3="y",CHAR(34)&amp;AN$1&amp;CHAR(34)&amp;",","")</f>
        <v/>
      </c>
      <c r="EV3" s="48" t="str">
        <f>IF(AO3="y",CHAR(34)&amp;AO$1&amp;CHAR(34)&amp;",","")</f>
        <v>"Builds",</v>
      </c>
      <c r="EW3" s="48" t="str">
        <f>IF(AP3="y",CHAR(34)&amp;AP$1&amp;CHAR(34)&amp;",","")</f>
        <v>"Ships!",</v>
      </c>
      <c r="EX3" s="48" t="str">
        <f>IF(AQ3="y",CHAR(34)&amp;AQ$1&amp;CHAR(34)&amp;",","")</f>
        <v/>
      </c>
      <c r="EY3" s="48" t="str">
        <f>IF(AR3="y",CHAR(34)&amp;AR$1&amp;CHAR(34)&amp;",","")</f>
        <v/>
      </c>
      <c r="EZ3" s="48" t="str">
        <f>IF(AS3="y",CHAR(34)&amp;AS$1&amp;CHAR(34)&amp;",","")</f>
        <v/>
      </c>
      <c r="FA3" s="48" t="str">
        <f>IF(AT3&gt;0,CHAR(34)&amp;"sta"&amp;AZ3&amp;CHAR(34)&amp;",","")</f>
        <v/>
      </c>
      <c r="FB3" s="48" t="str">
        <f>IF(AND(AT3&gt;0,BA3&lt;&gt;""),CHAR(34)&amp;"sta"&amp;BA3&amp;CHAR(34)&amp;",","")</f>
        <v/>
      </c>
      <c r="FD3" s="48" t="str">
        <f>IF(BV3="n",CHAR(34)&amp;"tcWHYE"&amp;CHAR(34)&amp;",",IF(BV3="y",CHAR(34)&amp;FD$1&amp;CHAR(34)&amp;",",""))</f>
        <v/>
      </c>
      <c r="FE3" s="48" t="str">
        <f>IF(COUNTIF(BL3:BT3,"BLU")=0,CHAR(34)&amp;"NO_BLU"&amp;CHAR(34)&amp;",", "")</f>
        <v/>
      </c>
      <c r="FF3" s="48" t="str">
        <f>IF(COUNTIF(BL3:BT3,"WHI")=0,CHAR(34)&amp;"NO_WHI"&amp;CHAR(34)&amp;",", "")</f>
        <v/>
      </c>
      <c r="FG3" s="48" t="str">
        <f>IF(COUNTIF(BL3:BT3,"RED")=0,CHAR(34)&amp;"NO_RED"&amp;CHAR(34)&amp;",", "")</f>
        <v>"NO_RED",</v>
      </c>
      <c r="FH3" s="48" t="str">
        <f>IF(COUNTIF(BL3:BS3,"GRE")=0,CHAR(34)&amp;"NO_GRE"&amp;CHAR(34)&amp;",", "")</f>
        <v/>
      </c>
      <c r="FI3" s="48" t="str">
        <f>IF(COUNTIF(BL3:BT3,"YEL")=0,CHAR(34)&amp;"NO_YEL"&amp;CHAR(34)&amp;",", "")</f>
        <v/>
      </c>
      <c r="FJ3" s="48" t="str">
        <f>IF(COUNTIF(BL3:BT3,"BLA")=0,CHAR(34)&amp;"NO_BLA"&amp;CHAR(34)&amp;",", "")</f>
        <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
      </c>
      <c r="FQ3" s="48" t="str">
        <f>IF(LEN(BF3)=3,CHAR(34)&amp;"001"&amp;BF3&amp;CHAR(34)&amp;",","")</f>
        <v>"001BLU",</v>
      </c>
      <c r="FR3" s="48" t="str">
        <f>IF(LEN(BG3)=3,CHAR(34)&amp;"002"&amp;BG3&amp;CHAR(34)&amp;",","")</f>
        <v/>
      </c>
      <c r="FS3" s="48" t="str">
        <f>IF(LEN(BH3)=3,CHAR(34)&amp;"003"&amp;BH3&amp;CHAR(34)&amp;",","")</f>
        <v>"003YEL",</v>
      </c>
      <c r="FT3" s="48" t="str">
        <f>CHAR(34)&amp;"myr"&amp;BD3&amp;CHAR(34)&amp;","</f>
        <v>"myrEQ",</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
      </c>
      <c r="GG3" s="48" t="str">
        <f>IF(BU3="y",CHAR(34)&amp;"unjack"&amp;CHAR(34)&amp;",","")</f>
        <v/>
      </c>
      <c r="GH3" s="48" t="str">
        <f>IF(CD3=1,CHAR(34)&amp;"southc"&amp;CHAR(34)&amp;",","")</f>
        <v/>
      </c>
      <c r="GI3" s="48" t="str">
        <f>IF(CE3=1,CHAR(34)&amp;"hasmap"&amp;CHAR(34)&amp;",","")</f>
        <v/>
      </c>
      <c r="GJ3" s="48" t="str">
        <f>IF(CP3="y",CHAR(34)&amp;CP$1&amp;CHAR(34)&amp;",","")</f>
        <v>"NoStar",</v>
      </c>
      <c r="GK3" s="48" t="str">
        <f>IF(GJ3="",CHAR(34)&amp;"HasSta"&amp;CHAR(34)&amp;",","")</f>
        <v/>
      </c>
      <c r="GL3" s="48" t="str">
        <f>IF(CQ3="y",CHAR(34)&amp;CQ$1&amp;CHAR(34)&amp;",","")</f>
        <v/>
      </c>
      <c r="GM3" s="48" t="str">
        <f>IF(CR3="y",CHAR(34)&amp;CR$1&amp;CHAR(34)&amp;",","")</f>
        <v/>
      </c>
      <c r="GN3" s="48" t="str">
        <f>IF(CS3="y",CHAR(34)&amp;CS$1&amp;CHAR(34)&amp;",","")</f>
        <v/>
      </c>
      <c r="GP3" s="48" t="str">
        <f>CHAR(34)&amp;AU3&amp;CHAR(34)</f>
        <v>"City"</v>
      </c>
      <c r="GS3" s="48" t="str">
        <f>SUBSTITUTE("["&amp;_xlfn.CONCAT(CW3:GN3)&amp;"]",",]","]")</f>
        <v>["5+Colo","lets06","startS","allver","2Bands","Vertic","Plants","Texted","HasSun","Unequa","Center","Geogrh","Builds","Ships!","NO_RED","001BLU","003YEL","myrEQ","NoStar"]</v>
      </c>
      <c r="GT3" s="48" t="str">
        <f>IF(BL3&lt;&gt;"",CHAR(34)&amp;"cl_"&amp;BL3&amp;CHAR(34)&amp;",","")</f>
        <v>"cl_BLA",</v>
      </c>
      <c r="GU3" s="48" t="str">
        <f>IF(BM3&lt;&gt;"",CHAR(34)&amp;"cl_"&amp;BM3&amp;CHAR(34)&amp;",","")</f>
        <v>"cl_BLU",</v>
      </c>
      <c r="GV3" s="48" t="str">
        <f>IF(BN3&lt;&gt;"",CHAR(34)&amp;"cl_"&amp;BN3&amp;CHAR(34)&amp;",","")</f>
        <v>"cl_GRE",</v>
      </c>
      <c r="GW3" s="48" t="str">
        <f>IF(BO3&lt;&gt;"",CHAR(34)&amp;"cl_"&amp;BO3&amp;CHAR(34)&amp;",","")</f>
        <v/>
      </c>
      <c r="GX3" s="48" t="str">
        <f>IF(BP3&lt;&gt;"",CHAR(34)&amp;"cl_"&amp;BP3&amp;CHAR(34)&amp;",","")</f>
        <v>"cl_YEL",</v>
      </c>
      <c r="GY3" s="48" t="str">
        <f>IF(BQ3&lt;&gt;"",CHAR(34)&amp;"cl_"&amp;BQ3&amp;CHAR(34)&amp;",","")</f>
        <v/>
      </c>
      <c r="GZ3" s="48" t="str">
        <f>IF(BR3&lt;&gt;"",CHAR(34)&amp;"cl_"&amp;BR3&amp;CHAR(34)&amp;",","")</f>
        <v>"cl_BRO",</v>
      </c>
      <c r="HA3" s="48" t="str">
        <f>IF(BS3&lt;&gt;"",CHAR(34)&amp;"cl_"&amp;BS3&amp;CHAR(34)&amp;",","")</f>
        <v>"cl_PUR",</v>
      </c>
      <c r="HB3" s="48" t="str">
        <f>IF(BT3&lt;&gt;"",CHAR(34)&amp;"cl_"&amp;BT3&amp;CHAR(34)&amp;",","")</f>
        <v>"cl_WHI",</v>
      </c>
      <c r="HC3" s="48" t="str">
        <f>SUBSTITUTE("["&amp;_xlfn.CONCAT(GT3:HB3)&amp;"]",",]","]")</f>
        <v>["cl_BLA","cl_BLU","cl_GRE","cl_YEL","cl_BRO","cl_PUR","cl_WHI"]</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{couname:"[TUN] Sousse",year:"???",region:"rgn_Africa",Colors:["cl_BLA","cl_BLU","cl_GRE","cl_YEL","cl_BRO","cl_PUR","cl_WHI"],Items:["5+Colo","lets06","startS","allver","2Bands","Vertic","Plants","Texted","HasSun","Unequa","Center","Geogrh","Builds","Ships!","NO_RED","001BLU","003YEL","myrEQ","NoStar"],Flag:"https://upload.wikimedia.org/wikipedia/commons/thumb/7/7e/Flag_commune_Sousse.svg/640px-Flag_commune_Sousse.svg.png",HDFlag:"https://upload.wikimedia.org/wikipedia/commons/thumb/7/7e/Flag_commune_Sousse.svg/1280px-Flag_commune_Sousse.svg.png",type:"City", describe: "\nA horizontal bicolour of blue and yellow with the emblem of the city in the center.", isnew:".", links: "https://en.m.wikipedia.org/wiki/Sousse"},</v>
      </c>
      <c r="HG3" s="73" t="str">
        <f>"{couname:"&amp;CT3&amp;(IF(HK3&lt;&gt;"",",subtype:"&amp;CHAR(34)&amp;HK3&amp;CHAR(34),""))&amp;",year:"&amp;HJ3&amp;",region:"&amp;CU3&amp;",Colors:"&amp;HC3&amp;",Items:"&amp;GS3&amp;",Flag:"&amp;CV3&amp;",HDFlag:"&amp;CHAR(34)&amp;E3&amp;CHAR(34)&amp;",type:"&amp;GP3&amp;", describe: "&amp;HI3&amp;", links: "&amp;HL3&amp;"},"</f>
        <v>{couname:"[TUN] Sousse",year:"???",region:"rgn_Africa",Colors:["cl_BLA","cl_BLU","cl_GRE","cl_YEL","cl_BRO","cl_PUR","cl_WHI"],Items:["5+Colo","lets06","startS","allver","2Bands","Vertic","Plants","Texted","HasSun","Unequa","Center","Geogrh","Builds","Ships!","NO_RED","001BLU","003YEL","myrEQ","NoStar"],Flag:"https://upload.wikimedia.org/wikipedia/commons/thumb/7/7e/Flag_commune_Sousse.svg/640px-Flag_commune_Sousse.svg.png",HDFlag:"https://upload.wikimedia.org/wikipedia/commons/thumb/7/7e/Flag_commune_Sousse.svg/1280px-Flag_commune_Sousse.svg.png",type:"City", describe: "\nA horizontal bicolour of blue and yellow with the emblem of the city in the center.", links: "https://en.m.wikipedia.org/wiki/Sousse"},</v>
      </c>
      <c r="HH3" s="48" t="str">
        <f>IF(P3&lt;&gt;"",CHAR(34)&amp;"\n"&amp;P3&amp;CHAR(34),CHAR(34)&amp;CHAR(34))</f>
        <v>"\nA horizontal bicolour of blue and yellow with the emblem of the city in the center."</v>
      </c>
      <c r="HI3" s="48" t="str">
        <f>IF(J3=0,CHAR(34)&amp;CHAR(34),HH3)</f>
        <v>"\nA horizontal bicolour of blue and yellow with the emblem of the city in the center."</v>
      </c>
      <c r="HJ3" s="48" t="str">
        <f>CHAR(34)&amp;O3&amp;CHAR(34)</f>
        <v>"???"</v>
      </c>
      <c r="HL3" s="48" t="str">
        <f>CHAR(34)&amp;I3&amp;CHAR(34)</f>
        <v>"https://en.m.wikipedia.org/wiki/Sousse"</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{"couname":"[TUN] Sousse","year":"???","region":"rgn_Africa","Colors":["cl_BLA","cl_BLU","cl_GRE","cl_YEL","cl_BRO","cl_PUR","cl_WHI"],"Items":["5+Colo","lets06","startS","allver","2Bands","Vertic","Plants","Texted","HasSun","Unequa","Center","Geogrh","Builds","Ships!","NO_RED","001BLU","003YEL","myrEQ","NoStar"],"Flag":"https://upload.wikimedia.org/wikipedia/commons/thumb/7/7e/Flag_commune_Sousse.svg/640px-Flag_commune_Sousse.svg.png","HDFlag":"https://upload.wikimedia.org/wikipedia/commons/thumb/7/7e/Flag_commune_Sousse.svg/1280px-Flag_commune_Sousse.svg.png","type":"City", "describe": "\nA horizontal bicolour of blue and yellow with the emblem of the city in the center.", "isnew": ".", "links": "https://en.m.wikipedia.org/wiki/Sousse"},</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{"couname":"[TUN] Sousse","year":"???","region":"rgn_Africa","Colors":["cl_BLA","cl_BLU","cl_GRE","cl_YEL","cl_BRO","cl_PUR","cl_WHI"],"Items":["5+Colo","lets06","startS","allver","2Bands","Vertic","Plants","Texted","HasSun","Unequa","Center","Geogrh","Builds","Ships!","NO_RED","001BLU","003YEL","myrEQ","NoStar"],"Flag":"https://upload.wikimedia.org/wikipedia/commons/thumb/7/7e/Flag_commune_Sousse.svg/640px-Flag_commune_Sousse.svg.png","HDFlag":"https://upload.wikimedia.org/wikipedia/commons/thumb/7/7e/Flag_commune_Sousse.svg/1280px-Flag_commune_Sousse.svg.png","type":"City", "describe": "\nA horizontal bicolour of blue and yellow with the emblem of the city in the center.", "isnew": ".", "links": "https://en.m.wikipedia.org/wiki/Sousse"},</v>
      </c>
      <c r="HO3" s="75">
        <v>45644</v>
      </c>
      <c r="HP3" s="48" t="str" cm="1">
        <f t="array" ref="HP3">IF(_xlfn.TEXTJOIN(", ", TRUE, IF(ISNUMBER(SEARCH("BLA", BL3:BT3)), COLUMN(BL3:BT3) - COLUMN(BL3) + 1, ""))&lt;&gt;"","BLA","")</f>
        <v>BLA</v>
      </c>
      <c r="HQ3" s="48" t="str" cm="1">
        <f t="array" ref="HQ3">IF(_xlfn.TEXTJOIN(", ", TRUE, IF(ISNUMBER(SEARCH("BLU", BL3:BT3)), COLUMN(BL3:BT3) - COLUMN(BL3) + 1, ""))&lt;&gt;"","BLU","")</f>
        <v>BLU</v>
      </c>
      <c r="HR3" s="48" t="str" cm="1">
        <f t="array" ref="HR3">IF(_xlfn.TEXTJOIN(", ", TRUE, IF(ISNUMBER(SEARCH("GRE", BL3:BT3)), COLUMN(BL3:BT3) - COLUMN(BL3) + 1, ""))&lt;&gt;"","GRE","")</f>
        <v>GRE</v>
      </c>
      <c r="HS3" s="48" t="str" cm="1">
        <f t="array" ref="HS3">IF(_xlfn.TEXTJOIN(", ", TRUE, IF(ISNUMBER(SEARCH("RED", BL3:BT3)), COLUMN(BL3:BT3) - COLUMN(BL3) + 1, ""))&lt;&gt;"","RED","")</f>
        <v/>
      </c>
      <c r="HT3" s="48" t="str" cm="1">
        <f t="array" ref="HT3">IF(_xlfn.TEXTJOIN(", ", TRUE, IF(ISNUMBER(SEARCH("YEL", BL3:BT3)), COLUMN(BL3:BT3) - COLUMN(BL3) + 1, ""))&lt;&gt;"","YEL","")</f>
        <v>YEL</v>
      </c>
      <c r="HU3" s="48" t="str" cm="1">
        <f t="array" ref="HU3">IF(_xlfn.TEXTJOIN(", ", TRUE, IF(ISNUMBER(SEARCH("ORA", BL3:BT3)), COLUMN(BL3:BT3) - COLUMN(BL3) + 1, ""))&lt;&gt;"","ORA","")</f>
        <v/>
      </c>
      <c r="HV3" s="48" t="str" cm="1">
        <f t="array" ref="HV3">IF(_xlfn.TEXTJOIN(", ", TRUE, IF(ISNUMBER(SEARCH("BRO", BL3:BT3)), COLUMN(BL3:BT3) - COLUMN(BL3) + 1, ""))&lt;&gt;"","BRO","")</f>
        <v>BRO</v>
      </c>
      <c r="HW3" s="48" t="str" cm="1">
        <f t="array" ref="HW3">IF(_xlfn.TEXTJOIN(", ", TRUE, IF(ISNUMBER(SEARCH("PUR", BL3:BT3)), COLUMN(BL3:BT3) - COLUMN(BL3) + 1, ""))&lt;&gt;"","PUR","")</f>
        <v>PUR</v>
      </c>
      <c r="HX3" s="48" t="str" cm="1">
        <f t="array" ref="HX3">IF(_xlfn.TEXTJOIN(", ", TRUE, IF(ISNUMBER(SEARCH("WHI", BL3:BT3)), COLUMN(BL3:BT3) - COLUMN(BL3) + 1, ""))&lt;&gt;"","WHI","")</f>
        <v>WHI</v>
      </c>
      <c r="HY3" s="76"/>
      <c r="HZ3" s="76"/>
      <c r="IA3" s="6"/>
      <c r="IB3" s="6"/>
      <c r="IC3" s="77"/>
      <c r="ID3" s="77"/>
      <c r="IE3" s="77"/>
      <c r="IF3" s="77"/>
      <c r="IG3" s="77"/>
      <c r="IH3" s="77"/>
      <c r="II3" s="77"/>
      <c r="IJ3" s="77"/>
      <c r="IK3" s="77"/>
      <c r="IM3" s="45">
        <f>COUNTIF(IC3:IK3,"&gt;0")-CG3</f>
        <v>-7</v>
      </c>
      <c r="IN3" s="78" t="str">
        <f>"http://mkweb.bcgsc.ca/color-summarizer/?url="&amp;D3&amp;"&amp;precision=low&amp;num_clusters="&amp;CG3&amp;"&amp;text=1"</f>
        <v>http://mkweb.bcgsc.ca/color-summarizer/?url=https://upload.wikimedia.org/wikipedia/commons/thumb/7/7e/Flag_commune_Sousse.svg/640px-Flag_commune_Sousse.svg.png&amp;precision=low&amp;num_clusters=7&amp;text=1</v>
      </c>
      <c r="IO3" s="48" t="str">
        <f>IF(HP3&lt;&gt;"",CHAR(34)&amp;"black"&amp;CHAR(34),"")</f>
        <v>"black"</v>
      </c>
      <c r="IP3" s="48" t="str">
        <f>IF(HQ3&lt;&gt;"",CHAR(34)&amp;"blue"&amp;CHAR(34),"")</f>
        <v>"blue"</v>
      </c>
      <c r="IQ3" s="48" t="str">
        <f>IF(HR3&lt;&gt;"",CHAR(34)&amp;"green"&amp;CHAR(34),"")</f>
        <v>"green"</v>
      </c>
      <c r="IR3" s="48" t="str">
        <f>IF(HS3&lt;&gt;"",CHAR(34)&amp;"red"&amp;CHAR(34),"")</f>
        <v/>
      </c>
      <c r="IS3" s="48" t="str">
        <f>IF(HT3&lt;&gt;"",CHAR(34)&amp;"yellow"&amp;CHAR(34),"")</f>
        <v>"yellow"</v>
      </c>
      <c r="IT3" s="48" t="str">
        <f>IF(HU3&lt;&gt;"",CHAR(34)&amp;"orange"&amp;CHAR(34),"")</f>
        <v/>
      </c>
      <c r="IU3" s="48" t="str">
        <f>IF(HV3&lt;&gt;"",CHAR(34)&amp;"brown"&amp;CHAR(34),"")</f>
        <v>"brown"</v>
      </c>
      <c r="IV3" s="48" t="str">
        <f>IF(HW3&lt;&gt;"",CHAR(34)&amp;"purple"&amp;CHAR(34),"")</f>
        <v>"purple"</v>
      </c>
      <c r="IW3" s="48" t="str">
        <f>IF(HX3&lt;&gt;"",CHAR(34)&amp;"white"&amp;CHAR(34),"")</f>
        <v>"white"</v>
      </c>
      <c r="IX3" s="48" t="str">
        <f>"{"&amp;CHAR(34)&amp;"url"&amp;CHAR(34)&amp;":"&amp;CHAR(34)&amp;IN3&amp;CHAR(34)&amp;","&amp;CHAR(34)&amp;"name"&amp;CHAR(34)&amp;":"&amp;CHAR(34)&amp;A3&amp;CHAR(34)&amp;"},"</f>
        <v>{"url":"http://mkweb.bcgsc.ca/color-summarizer/?url=https://upload.wikimedia.org/wikipedia/commons/thumb/7/7e/Flag_commune_Sousse.svg/640px-Flag_commune_Sousse.svg.png&amp;precision=low&amp;num_clusters=7&amp;text=1","name":"[TUN] Sousse"},</v>
      </c>
      <c r="IY3" s="48">
        <v>1503</v>
      </c>
    </row>
    <row r="4" spans="1:259" s="48" customFormat="1" ht="38.4" customHeight="1" thickBot="1" x14ac:dyDescent="0.35">
      <c r="A4" s="79" t="s">
        <v>1068</v>
      </c>
      <c r="B4" s="40" t="e" vm="128">
        <v>#VALUE!</v>
      </c>
      <c r="C4" s="41">
        <v>2</v>
      </c>
      <c r="D4" s="42" t="s">
        <v>1069</v>
      </c>
      <c r="E4" s="43" t="s">
        <v>1070</v>
      </c>
      <c r="F4" s="44" t="s">
        <v>163</v>
      </c>
      <c r="G4" s="45">
        <f>COUNTIF($A$1:$A$8335,A4)</f>
        <v>1</v>
      </c>
      <c r="H4" s="46"/>
      <c r="I4" s="47" t="s">
        <v>1071</v>
      </c>
      <c r="J4" s="48" t="str">
        <f>""</f>
        <v/>
      </c>
      <c r="K4" s="49"/>
      <c r="L4" s="50"/>
      <c r="M4" s="50"/>
      <c r="N4" s="51" t="s">
        <v>180</v>
      </c>
      <c r="O4" s="52" t="s">
        <v>170</v>
      </c>
      <c r="P4" s="53" t="s">
        <v>1072</v>
      </c>
      <c r="Q4" s="54">
        <v>1</v>
      </c>
      <c r="R4" s="55" t="s">
        <v>180</v>
      </c>
      <c r="S4" s="56">
        <v>0</v>
      </c>
      <c r="T4" s="57" t="s">
        <v>164</v>
      </c>
      <c r="U4" s="58" t="s">
        <v>164</v>
      </c>
      <c r="V4" s="58" t="s">
        <v>164</v>
      </c>
      <c r="W4" s="58" t="s">
        <v>164</v>
      </c>
      <c r="X4" s="58" t="s">
        <v>164</v>
      </c>
      <c r="Y4" s="58" t="s">
        <v>164</v>
      </c>
      <c r="Z4" s="58" t="s">
        <v>164</v>
      </c>
      <c r="AA4" s="58" t="s">
        <v>164</v>
      </c>
      <c r="AB4" s="58" t="s">
        <v>167</v>
      </c>
      <c r="AC4" s="58" t="s">
        <v>164</v>
      </c>
      <c r="AD4" s="58" t="s">
        <v>164</v>
      </c>
      <c r="AE4" s="58" t="s">
        <v>167</v>
      </c>
      <c r="AF4" s="59" t="s">
        <v>164</v>
      </c>
      <c r="AG4" s="59" t="s">
        <v>167</v>
      </c>
      <c r="AH4" s="59" t="s">
        <v>167</v>
      </c>
      <c r="AI4" s="59" t="s">
        <v>164</v>
      </c>
      <c r="AJ4" s="59" t="s">
        <v>164</v>
      </c>
      <c r="AK4" s="59" t="s">
        <v>164</v>
      </c>
      <c r="AL4" s="59" t="s">
        <v>164</v>
      </c>
      <c r="AM4" s="59" t="s">
        <v>164</v>
      </c>
      <c r="AN4" s="59" t="s">
        <v>164</v>
      </c>
      <c r="AO4" s="59" t="s">
        <v>167</v>
      </c>
      <c r="AP4" s="59" t="s">
        <v>164</v>
      </c>
      <c r="AQ4" s="59" t="s">
        <v>164</v>
      </c>
      <c r="AR4" s="59" t="s">
        <v>164</v>
      </c>
      <c r="AS4" s="59" t="s">
        <v>164</v>
      </c>
      <c r="AT4" s="60">
        <v>1</v>
      </c>
      <c r="AU4" s="59" t="s">
        <v>171</v>
      </c>
      <c r="AV4" s="59" t="str">
        <f>IF(LEFT(A4,1)="[",LEFT(A4,5)&amp;AU4&amp;A4,"")</f>
        <v>[TUN]Capital City[TUN] Tunis</v>
      </c>
      <c r="AW4" s="59" t="str">
        <f>C4&amp;H4&amp;A4</f>
        <v>2[TUN] Tunis</v>
      </c>
      <c r="AX4" s="61"/>
      <c r="AY4" s="61"/>
      <c r="AZ4" s="62" t="s">
        <v>154</v>
      </c>
      <c r="BA4" s="62" t="s">
        <v>172</v>
      </c>
      <c r="BB4" s="62"/>
      <c r="BC4" s="63"/>
      <c r="BD4" s="64" t="s">
        <v>152</v>
      </c>
      <c r="BE4" s="47"/>
      <c r="BF4" s="64" t="s">
        <v>172</v>
      </c>
      <c r="BG4" s="64" t="s">
        <v>172</v>
      </c>
      <c r="BH4" s="64" t="s">
        <v>172</v>
      </c>
      <c r="BI4" s="64"/>
      <c r="BJ4" s="64"/>
      <c r="BK4" s="47"/>
      <c r="BL4" s="64" t="s">
        <v>151</v>
      </c>
      <c r="BM4" s="64" t="s">
        <v>152</v>
      </c>
      <c r="BN4" s="64" t="s">
        <v>153</v>
      </c>
      <c r="BO4" s="64" t="s">
        <v>154</v>
      </c>
      <c r="BP4" s="64" t="s">
        <v>155</v>
      </c>
      <c r="BQ4" s="64" t="s">
        <v>172</v>
      </c>
      <c r="BR4" s="64" t="s">
        <v>172</v>
      </c>
      <c r="BS4" s="64" t="s">
        <v>172</v>
      </c>
      <c r="BT4" s="64" t="s">
        <v>159</v>
      </c>
      <c r="BU4" s="65"/>
      <c r="BV4" s="66"/>
      <c r="BW4" s="66">
        <v>0</v>
      </c>
      <c r="BX4" s="47"/>
      <c r="CB4" s="6"/>
      <c r="CC4" s="6"/>
      <c r="CD4" s="67">
        <v>0</v>
      </c>
      <c r="CE4" s="67">
        <v>0</v>
      </c>
      <c r="CF4" s="67" t="e">
        <v>#REF!</v>
      </c>
      <c r="CG4" s="68" cm="1">
        <f t="array" ref="CG4">SUMPRODUCT(--(LEN(TRIM(BL4:BT4))&gt;0))</f>
        <v>6</v>
      </c>
      <c r="CH4" s="59" t="str">
        <f>IF(CG4=2,"y","n")</f>
        <v>n</v>
      </c>
      <c r="CI4" s="59" t="str">
        <f>IF(CG4=3,"y","n")</f>
        <v>n</v>
      </c>
      <c r="CJ4" s="59" t="str">
        <f>IF(CG4=4,"y","n")</f>
        <v>n</v>
      </c>
      <c r="CK4" s="59" t="str">
        <f>IF(CG4&gt;4,"y","n")</f>
        <v>y</v>
      </c>
      <c r="CL4" s="59" t="str">
        <f>IF(S4=0,"y","n")</f>
        <v>y</v>
      </c>
      <c r="CM4" s="59" t="str">
        <f>IF(S4=2,"y","n")</f>
        <v>n</v>
      </c>
      <c r="CN4" s="59" t="str">
        <f>IF(S4=3,"y","n")</f>
        <v>n</v>
      </c>
      <c r="CO4" s="59" t="str">
        <f>IF(S4&gt;=4,"y","n")</f>
        <v>n</v>
      </c>
      <c r="CP4" s="59" t="str">
        <f>IF(AT4=0,"y","n")</f>
        <v>n</v>
      </c>
      <c r="CQ4" s="59" t="str">
        <f>IF(AT4=1,"y","n")</f>
        <v>y</v>
      </c>
      <c r="CR4" s="59" t="str">
        <f>IF(AT4=2,"y","n")</f>
        <v>n</v>
      </c>
      <c r="CS4" s="59" t="str">
        <f>IF(AT4&gt;=3,"y","n")</f>
        <v>n</v>
      </c>
      <c r="CT4" s="69" t="str">
        <f>CHAR(34)&amp;A4&amp;CHAR(34)</f>
        <v>"[TUN] Tunis"</v>
      </c>
      <c r="CU4" s="70" t="str">
        <f>CHAR(34)&amp;"rgn_"&amp;R4&amp;CHAR(34)</f>
        <v>"rgn_Africa"</v>
      </c>
      <c r="CV4" s="48" t="str">
        <f>CHAR(34)&amp;D4&amp;CHAR(34)</f>
        <v>"https://upload.wikimedia.org/wikipedia/en/thumb/b/b4/Flag_of_Tunis.svg/640px-Flag_of_Tunis.svg.png"</v>
      </c>
      <c r="CW4" s="48" t="str">
        <f>IF(CH4="y",CHAR(34)&amp;CH$1&amp;CHAR(34)&amp;",","")</f>
        <v/>
      </c>
      <c r="CX4" s="48" t="str">
        <f>IF(CI4="y",CHAR(34)&amp;CI$1&amp;CHAR(34)&amp;",","")</f>
        <v/>
      </c>
      <c r="CY4" s="48" t="str">
        <f>IF(CJ4="y",CHAR(34)&amp;CJ$1&amp;CHAR(34)&amp;",","")</f>
        <v/>
      </c>
      <c r="CZ4" s="48" t="str">
        <f>IF(CK4="y",CHAR(34)&amp;CK$1&amp;CHAR(34)&amp;",","")</f>
        <v>"5+Colo",</v>
      </c>
      <c r="DA4" s="48" t="str">
        <f>IF(Q4&gt;1,CHAR(34)&amp;"words2"&amp;CHAR(34)&amp;",","")</f>
        <v/>
      </c>
      <c r="DB4" s="48" t="str">
        <f>IF(Q4&gt;2,CHAR(34)&amp;"words3"&amp;CHAR(34)&amp;",","")</f>
        <v/>
      </c>
      <c r="DD4" s="48" t="str">
        <f>IF(LEN(CHAR(34)&amp;"lets"&amp;LEN(SUBSTITUTE(SUBSTITUTE(IFERROR(TRIM(SUBSTITUTE(A4,MID(A4,FIND("[",A4),FIND("]",A4)-FIND("[",A4)+1),"")),A4)," ",""),"-",""))&amp;CHAR(34)&amp;",")=9,CHAR(34)&amp;"lets"&amp;LEN(SUBSTITUTE(SUBSTITUTE(IFERROR(TRIM(SUBSTITUTE(A4,MID(A4,FIND("[",A4),FIND("]",A4)-FIND("[",A4)+1),"")),A4)," ",""),"-",""))&amp;CHAR(34)&amp;",",CHAR(34)&amp;"lets0"&amp;LEN(SUBSTITUTE(SUBSTITUTE(IFERROR(TRIM(SUBSTITUTE(A4,MID(A4,FIND("[",A4),FIND("]",A4)-FIND("[",A4)+1),"")),A4)," ",""),"-",""))&amp;CHAR(34)&amp;",")</f>
        <v>"lets05",</v>
      </c>
      <c r="DE4" s="48" t="str">
        <f>CHAR(34)&amp;"start"&amp;IFERROR(LEFT(SUBSTITUTE(A4,"["&amp;MID(A4,FIND("[",A4)+1,FIND("]",A4)-FIND("[",A4)-1)&amp;"] ",""),1),LEFT(A4,1))&amp;CHAR(34)&amp;","</f>
        <v>"startT",</v>
      </c>
      <c r="DF4" s="48" t="str">
        <f>IFERROR(IF(SEARCH("tan",A4)&gt;0,CHAR(34)&amp;"withtn"&amp;CHAR(34)&amp;",",""),"")</f>
        <v/>
      </c>
      <c r="DG4" s="48" t="str">
        <f>IFERROR(IF(SEARCH("q",A4)&gt;0,CHAR(34)&amp;"with_q"&amp;CHAR(34)&amp;",",""),"")</f>
        <v/>
      </c>
      <c r="DH4" s="48" t="str">
        <f>IFERROR(IF(SEARCH("v",A4)&gt;0,CHAR(34)&amp;"with_v"&amp;CHAR(34)&amp;",",""),"")</f>
        <v/>
      </c>
      <c r="DI4" s="48" t="str">
        <f>IFERROR(IF(SEARCH("w",A4)&gt;0,CHAR(34)&amp;"with_w"&amp;CHAR(34)&amp;",",""),"")</f>
        <v/>
      </c>
      <c r="DJ4" s="48" t="str">
        <f>IFERROR(IF(SEARCH("y",A4)&gt;0,CHAR(34)&amp;"with_y"&amp;CHAR(34)&amp;",",""),"")</f>
        <v/>
      </c>
      <c r="DK4" s="48" t="str">
        <f>IFERROR(IF(SEARCH("z",A4)&gt;0,CHAR(34)&amp;"with_z"&amp;CHAR(34)&amp;",",""),"")</f>
        <v/>
      </c>
      <c r="DL4" s="48" t="str">
        <f>IF(CG4=2, CHAR(34) &amp; _xlfn.TEXTJOIN("", TRUE, _xlfn._xlws.SORT(HP4:HX4)) &amp; CHAR(34) &amp; ",", "")</f>
        <v/>
      </c>
      <c r="DM4" s="48" t="str" cm="1">
        <f t="array" ref="DM4">IF(CG4=3,CHAR(34) &amp; _xlfn.TEXTJOIN("", TRUE, RIGHT(HP4:HX4, 2)) &amp; CHAR(34) &amp; ",", "")</f>
        <v/>
      </c>
      <c r="DN4" s="48" t="str">
        <f>IF(AND(ISNUMBER(SEARCH("18", O4)), ISERROR(SEARCH("1918", O4)), ISERROR(SEARCH("2018", O4))), CHAR(34) &amp; "year18" &amp; CHAR(34) &amp; ",", "")</f>
        <v/>
      </c>
      <c r="DO4" s="48" t="str">
        <f>IF(AND(ISNUMBER(SEARCH("19", O4)), ISERROR(SEARCH("1819", O4)),  ISERROR(SEARCH("1219", O4)),ISERROR(SEARCH("1119", O4)),ISERROR(SEARCH("1190", O4)),ISERROR(SEARCH("2019", O4))), CHAR(34) &amp; "year19" &amp; CHAR(34) &amp; ",", "")</f>
        <v/>
      </c>
      <c r="DP4" s="6" t="str">
        <f>IF(AND(ISNUMBER(SEARCH("20", O4)), ISERROR(SEARCH("1920", O4))), CHAR(34)&amp;"year00"&amp;CHAR(34)&amp;",", "")</f>
        <v/>
      </c>
      <c r="DQ4" s="6" t="str">
        <f>IF(CC4="y",CHAR(34)&amp;"soviet"&amp;CHAR(34)&amp;",","")</f>
        <v/>
      </c>
      <c r="DR4" s="6" t="str">
        <f>IF(BY4="y",CHAR(34)&amp;"dgband"&amp;CHAR(34)&amp;",","")</f>
        <v/>
      </c>
      <c r="DS4" s="6" t="str">
        <f>IF(W4="y",IF(AND(V4="n",BY4&lt;&gt;"y"),CHAR(34)&amp;"allver"&amp;CHAR(34)&amp;",",""),"")</f>
        <v/>
      </c>
      <c r="DT4" s="6" t="str">
        <f>IF(V4="y",IF(AND(W4="n",BY4&lt;&gt;"y"),CHAR(34)&amp;"allhor"&amp;CHAR(34)&amp;",",""),"")</f>
        <v/>
      </c>
      <c r="DU4" s="6" t="str">
        <f>IF(BY4="y",IF(AND(W4="n",V4="n"),CHAR(34)&amp;"alldia"&amp;CHAR(34)&amp;",",""),"")</f>
        <v/>
      </c>
      <c r="DW4" s="48" t="str">
        <f>IF(CL4="y",CHAR(34)&amp;CL$1&amp;CHAR(34)&amp;",","")</f>
        <v>"NoBand",</v>
      </c>
      <c r="DX4" s="48" t="str">
        <f>IF(CM4="y",CHAR(34)&amp;CM$1&amp;CHAR(34)&amp;",","")</f>
        <v/>
      </c>
      <c r="DY4" s="48" t="str">
        <f>IF(CN4="y",CHAR(34)&amp;CN$1&amp;CHAR(34)&amp;",","")</f>
        <v/>
      </c>
      <c r="DZ4" s="48" t="str">
        <f>IF(CO4="y",CHAR(34)&amp;CO$1&amp;CHAR(34)&amp;",","")</f>
        <v/>
      </c>
      <c r="EA4" s="48" t="str">
        <f>IF(T4="y",CHAR(34)&amp;T$1&amp;CHAR(34)&amp;",","")</f>
        <v/>
      </c>
      <c r="EB4" s="48" t="str">
        <f>IF(U4="y",CHAR(34)&amp;U$1&amp;CHAR(34)&amp;",","")</f>
        <v/>
      </c>
      <c r="EC4" s="48" t="str">
        <f>IF(V4="y",CHAR(34)&amp;V$1&amp;CHAR(34)&amp;",","")</f>
        <v/>
      </c>
      <c r="ED4" s="48" t="str">
        <f>IF(W4="y",CHAR(34)&amp;W$1&amp;CHAR(34)&amp;",","")</f>
        <v/>
      </c>
      <c r="EE4" s="48" t="str">
        <f>IF(X4="y",CHAR(34)&amp;X$1&amp;CHAR(34)&amp;",","")</f>
        <v/>
      </c>
      <c r="EF4" s="48" t="str">
        <f>IF(AND(Y4&lt;&gt;"n",Y4&lt;&gt;""),CHAR(34)&amp;Y$1&amp;CHAR(34)&amp;",","")</f>
        <v/>
      </c>
      <c r="EG4" s="48" t="str">
        <f>IF(Z4="y",CHAR(34)&amp;Z$1&amp;CHAR(34)&amp;",","")</f>
        <v/>
      </c>
      <c r="EH4" s="48" t="str">
        <f>IF(AA4="y",CHAR(34)&amp;AA$1&amp;CHAR(34)&amp;",","")</f>
        <v/>
      </c>
      <c r="EI4" s="48" t="str">
        <f>IF(AB4="y",CHAR(34)&amp;AB$1&amp;CHAR(34)&amp;",","")</f>
        <v>"Texted",</v>
      </c>
      <c r="EJ4" s="48" t="str">
        <f>IF(AC4="y",CHAR(34)&amp;AC$1&amp;CHAR(34)&amp;",","")</f>
        <v/>
      </c>
      <c r="EK4" s="48" t="str">
        <f>IF(AD4="y",CHAR(34)&amp;AD$1&amp;CHAR(34)&amp;",","")</f>
        <v/>
      </c>
      <c r="EL4" s="48" t="str">
        <f>IF(AE4="y",CHAR(34)&amp;AE$1&amp;CHAR(34)&amp;",","")</f>
        <v>"IsMoon",</v>
      </c>
      <c r="EM4" s="48" t="str">
        <f>IF(AF4="y",CHAR(34)&amp;AF$1&amp;CHAR(34)&amp;",","")</f>
        <v/>
      </c>
      <c r="EN4" s="48" t="str">
        <f>IF(AG4="y",CHAR(34)&amp;AG$1&amp;CHAR(34)&amp;",","")</f>
        <v>"Unequa",</v>
      </c>
      <c r="EO4" s="48" t="str">
        <f>IF(AH4="y",CHAR(34)&amp;AH$1&amp;CHAR(34)&amp;",","")</f>
        <v>"Center",</v>
      </c>
      <c r="EP4" s="48" t="str">
        <f>IF(AI4="y",CHAR(34)&amp;AI$1&amp;CHAR(34)&amp;",","")</f>
        <v/>
      </c>
      <c r="EQ4" s="48" t="str">
        <f>IF(AJ4="y",CHAR(34)&amp;AJ$1&amp;CHAR(34)&amp;",","")</f>
        <v/>
      </c>
      <c r="ER4" s="48" t="str">
        <f>IF(AK4="y",CHAR(34)&amp;AK$1&amp;CHAR(34)&amp;",","")</f>
        <v/>
      </c>
      <c r="ES4" s="48" t="str">
        <f>IF(AL4="y",CHAR(34)&amp;AL$1&amp;CHAR(34)&amp;",","")</f>
        <v/>
      </c>
      <c r="ET4" s="48" t="str">
        <f>IF(AM4="y",CHAR(34)&amp;AM$1&amp;CHAR(34)&amp;",","")</f>
        <v/>
      </c>
      <c r="EU4" s="48" t="str">
        <f>IF(AN4="y",CHAR(34)&amp;AN$1&amp;CHAR(34)&amp;",","")</f>
        <v/>
      </c>
      <c r="EV4" s="48" t="str">
        <f>IF(AO4="y",CHAR(34)&amp;AO$1&amp;CHAR(34)&amp;",","")</f>
        <v>"Builds",</v>
      </c>
      <c r="EW4" s="48" t="str">
        <f>IF(AP4="y",CHAR(34)&amp;AP$1&amp;CHAR(34)&amp;",","")</f>
        <v/>
      </c>
      <c r="EX4" s="48" t="str">
        <f>IF(AQ4="y",CHAR(34)&amp;AQ$1&amp;CHAR(34)&amp;",","")</f>
        <v/>
      </c>
      <c r="EY4" s="48" t="str">
        <f>IF(AR4="y",CHAR(34)&amp;AR$1&amp;CHAR(34)&amp;",","")</f>
        <v/>
      </c>
      <c r="EZ4" s="48" t="str">
        <f>IF(AS4="y",CHAR(34)&amp;AS$1&amp;CHAR(34)&amp;",","")</f>
        <v/>
      </c>
      <c r="FA4" s="48" t="str">
        <f>IF(AT4&gt;0,CHAR(34)&amp;"sta"&amp;AZ4&amp;CHAR(34)&amp;",","")</f>
        <v>"staRED",</v>
      </c>
      <c r="FB4" s="48" t="str">
        <f>IF(AND(AT4&gt;0,BA4&lt;&gt;""),CHAR(34)&amp;"sta"&amp;BA4&amp;CHAR(34)&amp;",","")</f>
        <v/>
      </c>
      <c r="FD4" s="48" t="str">
        <f>IF(BV4="n",CHAR(34)&amp;"tcWHYE"&amp;CHAR(34)&amp;",",IF(BV4="y",CHAR(34)&amp;FD$1&amp;CHAR(34)&amp;",",""))</f>
        <v/>
      </c>
      <c r="FE4" s="48" t="str">
        <f>IF(COUNTIF(BL4:BT4,"BLU")=0,CHAR(34)&amp;"NO_BLU"&amp;CHAR(34)&amp;",", "")</f>
        <v/>
      </c>
      <c r="FF4" s="48" t="str">
        <f>IF(COUNTIF(BL4:BT4,"WHI")=0,CHAR(34)&amp;"NO_WHI"&amp;CHAR(34)&amp;",", "")</f>
        <v/>
      </c>
      <c r="FG4" s="48" t="str">
        <f>IF(COUNTIF(BL4:BT4,"RED")=0,CHAR(34)&amp;"NO_RED"&amp;CHAR(34)&amp;",", "")</f>
        <v/>
      </c>
      <c r="FH4" s="48" t="str">
        <f>IF(COUNTIF(BL4:BS4,"GRE")=0,CHAR(34)&amp;"NO_GRE"&amp;CHAR(34)&amp;",", "")</f>
        <v/>
      </c>
      <c r="FI4" s="48" t="str">
        <f>IF(COUNTIF(BL4:BT4,"YEL")=0,CHAR(34)&amp;"NO_YEL"&amp;CHAR(34)&amp;",", "")</f>
        <v/>
      </c>
      <c r="FJ4" s="48" t="str">
        <f>IF(COUNTIF(BL4:BT4,"BLA")=0,CHAR(34)&amp;"NO_BLA"&amp;CHAR(34)&amp;",", "")</f>
        <v/>
      </c>
      <c r="FK4" s="48" t="str">
        <f>IF(AND(FH4&lt;&gt;"",FF4&lt;&gt;""),CHAR(34)&amp;"WHGRNO"&amp;CHAR(34)&amp;",","")</f>
        <v/>
      </c>
      <c r="FL4" s="48" t="str">
        <f>IF(AND(FI4&lt;&gt;"",FF4&lt;&gt;""),CHAR(34)&amp;"WHYENO"&amp;CHAR(34)&amp;",","")</f>
        <v/>
      </c>
      <c r="FM4" s="48" t="str">
        <f>IF(AND(FJ4&lt;&gt;"",FF4&lt;&gt;""),CHAR(34)&amp;"BAWHNO"&amp;CHAR(34)&amp;",","")</f>
        <v/>
      </c>
      <c r="FN4" s="48" t="str">
        <f>IF(AND(FE4&lt;&gt;"",FF4&lt;&gt;""),CHAR(34)&amp;"BLWHNO"&amp;CHAR(34)&amp;",","")</f>
        <v/>
      </c>
      <c r="FO4" s="48" t="str">
        <f>IF(AND(FE4&lt;&gt;"",FG4&lt;&gt;""),CHAR(34)&amp;"BLRENO"&amp;CHAR(34)&amp;",","")</f>
        <v/>
      </c>
      <c r="FP4" s="48" t="str">
        <f>IF(AND(FF4&lt;&gt;"",FF4&lt;&gt;""),CHAR(34)&amp;"WHRENO"&amp;CHAR(34)&amp;",","")</f>
        <v/>
      </c>
      <c r="FQ4" s="48" t="str">
        <f>IF(LEN(BF4)=3,CHAR(34)&amp;"001"&amp;BF4&amp;CHAR(34)&amp;",","")</f>
        <v/>
      </c>
      <c r="FR4" s="48" t="str">
        <f>IF(LEN(BG4)=3,CHAR(34)&amp;"002"&amp;BG4&amp;CHAR(34)&amp;",","")</f>
        <v/>
      </c>
      <c r="FS4" s="48" t="str">
        <f>IF(LEN(BH4)=3,CHAR(34)&amp;"003"&amp;BH4&amp;CHAR(34)&amp;",","")</f>
        <v/>
      </c>
      <c r="FT4" s="48" t="str">
        <f>CHAR(34)&amp;"myr"&amp;BD4&amp;CHAR(34)&amp;","</f>
        <v>"myrBLU",</v>
      </c>
      <c r="FU4" s="48" t="str">
        <f>IF(AY4="y",CHAR(34)&amp;"island"&amp;CHAR(34)&amp;",","")</f>
        <v/>
      </c>
      <c r="FV4" s="48" t="str">
        <f>IF(BZ4="y",CHAR(34)&amp;"landlo"&amp;CHAR(34)&amp;",","")</f>
        <v/>
      </c>
      <c r="FW4" s="48" t="str">
        <f>IF(CA4="y",CHAR(34)&amp;"eunion"&amp;CHAR(34)&amp;",","")</f>
        <v/>
      </c>
      <c r="FY4" s="48" t="str">
        <f>IFERROR(IF(SEARCH("Arabic",CB4)&gt;0,CHAR(34)&amp;"arabic"&amp;CHAR(34)&amp;",",""),"")</f>
        <v/>
      </c>
      <c r="FZ4" s="48" t="str">
        <f>IFERROR(IF(SEARCH("English",CB4)&gt;0,CHAR(34)&amp;"englis"&amp;CHAR(34)&amp;",",""),"")</f>
        <v/>
      </c>
      <c r="GA4" s="48" t="str">
        <f>IFERROR(IF(SEARCH("French",CB4)&gt;0,CHAR(34)&amp;"french"&amp;CHAR(34)&amp;",",""),"")</f>
        <v/>
      </c>
      <c r="GB4" s="48" t="str">
        <f>IFERROR(IF(SEARCH("Spanish",CB4)&gt;0,CHAR(34)&amp;"spanis"&amp;CHAR(34)&amp;",",""),"")</f>
        <v/>
      </c>
      <c r="GE4" s="48" t="str">
        <f>IFERROR(IF(SEARCH("Dutch",CB4)&gt;0,CHAR(34)&amp;"dutchs"&amp;CHAR(34)&amp;",",""),"")</f>
        <v/>
      </c>
      <c r="GF4" s="48" t="str">
        <f>IFERROR(IF(SEARCH("Historical",AU4)&gt;0,CHAR(34)&amp;"histor"&amp;CHAR(34)&amp;",",""),"")</f>
        <v/>
      </c>
      <c r="GG4" s="48" t="str">
        <f>IF(BU4="y",CHAR(34)&amp;"unjack"&amp;CHAR(34)&amp;",","")</f>
        <v/>
      </c>
      <c r="GH4" s="48" t="str">
        <f>IF(CD4=1,CHAR(34)&amp;"southc"&amp;CHAR(34)&amp;",","")</f>
        <v/>
      </c>
      <c r="GI4" s="48" t="str">
        <f>IF(CE4=1,CHAR(34)&amp;"hasmap"&amp;CHAR(34)&amp;",","")</f>
        <v/>
      </c>
      <c r="GJ4" s="48" t="str">
        <f>IF(CP4="y",CHAR(34)&amp;CP$1&amp;CHAR(34)&amp;",","")</f>
        <v/>
      </c>
      <c r="GK4" s="48" t="str">
        <f>IF(GJ4="",CHAR(34)&amp;"HasSta"&amp;CHAR(34)&amp;",","")</f>
        <v>"HasSta",</v>
      </c>
      <c r="GL4" s="48" t="str">
        <f>IF(CQ4="y",CHAR(34)&amp;CQ$1&amp;CHAR(34)&amp;",","")</f>
        <v>"1Stars",</v>
      </c>
      <c r="GM4" s="48" t="str">
        <f>IF(CR4="y",CHAR(34)&amp;CR$1&amp;CHAR(34)&amp;",","")</f>
        <v/>
      </c>
      <c r="GN4" s="48" t="str">
        <f>IF(CS4="y",CHAR(34)&amp;CS$1&amp;CHAR(34)&amp;",","")</f>
        <v/>
      </c>
      <c r="GP4" s="48" t="str">
        <f>CHAR(34)&amp;AU4&amp;CHAR(34)</f>
        <v>"Capital City"</v>
      </c>
      <c r="GS4" s="48" t="str">
        <f>SUBSTITUTE("["&amp;_xlfn.CONCAT(CW4:GN4)&amp;"]",",]","]")</f>
        <v>["5+Colo","lets05","startT","NoBand","Texted","IsMoon","Unequa","Center","Builds","staRED","myrBLU","HasSta","1Stars"]</v>
      </c>
      <c r="GT4" s="48" t="str">
        <f>IF(BL4&lt;&gt;"",CHAR(34)&amp;"cl_"&amp;BL4&amp;CHAR(34)&amp;",","")</f>
        <v>"cl_BLA",</v>
      </c>
      <c r="GU4" s="48" t="str">
        <f>IF(BM4&lt;&gt;"",CHAR(34)&amp;"cl_"&amp;BM4&amp;CHAR(34)&amp;",","")</f>
        <v>"cl_BLU",</v>
      </c>
      <c r="GV4" s="48" t="str">
        <f>IF(BN4&lt;&gt;"",CHAR(34)&amp;"cl_"&amp;BN4&amp;CHAR(34)&amp;",","")</f>
        <v>"cl_GRE",</v>
      </c>
      <c r="GW4" s="48" t="str">
        <f>IF(BO4&lt;&gt;"",CHAR(34)&amp;"cl_"&amp;BO4&amp;CHAR(34)&amp;",","")</f>
        <v>"cl_RED",</v>
      </c>
      <c r="GX4" s="48" t="str">
        <f>IF(BP4&lt;&gt;"",CHAR(34)&amp;"cl_"&amp;BP4&amp;CHAR(34)&amp;",","")</f>
        <v>"cl_YEL",</v>
      </c>
      <c r="GY4" s="48" t="str">
        <f>IF(BQ4&lt;&gt;"",CHAR(34)&amp;"cl_"&amp;BQ4&amp;CHAR(34)&amp;",","")</f>
        <v/>
      </c>
      <c r="GZ4" s="48" t="str">
        <f>IF(BR4&lt;&gt;"",CHAR(34)&amp;"cl_"&amp;BR4&amp;CHAR(34)&amp;",","")</f>
        <v/>
      </c>
      <c r="HA4" s="48" t="str">
        <f>IF(BS4&lt;&gt;"",CHAR(34)&amp;"cl_"&amp;BS4&amp;CHAR(34)&amp;",","")</f>
        <v/>
      </c>
      <c r="HB4" s="48" t="str">
        <f>IF(BT4&lt;&gt;"",CHAR(34)&amp;"cl_"&amp;BT4&amp;CHAR(34)&amp;",","")</f>
        <v>"cl_WHI",</v>
      </c>
      <c r="HC4" s="48" t="str">
        <f>SUBSTITUTE("["&amp;_xlfn.CONCAT(GT4:HB4)&amp;"]",",]","]")</f>
        <v>["cl_BLA","cl_BLU","cl_GRE","cl_RED","cl_YEL","cl_WHI"]</v>
      </c>
      <c r="HE4" s="71"/>
      <c r="HF4" s="72" t="str">
        <f>"{couname:"&amp;CT4&amp;(IF(HK4&lt;&gt;"",",subtype:"&amp;CHAR(34)&amp;HK4&amp;CHAR(34),""))&amp;",year:"&amp;HJ4&amp;",region:"&amp;CU4&amp;",Colors:"&amp;HC4&amp;",Items:"&amp;GS4&amp;",Flag:"&amp;CV4&amp;",HDFlag:"&amp;CHAR(34)&amp;E4&amp;CHAR(34)&amp;",type:"&amp;GP4&amp;", describe: "&amp;HH4&amp;", isnew:"&amp;CHAR(34)&amp;F4&amp;CHAR(34)&amp;", links: "&amp;HL4&amp;"},"</f>
        <v>{couname:"[TUN] Tunis",year:"???",region:"rgn_Africa",Colors:["cl_BLA","cl_BLU","cl_GRE","cl_RED","cl_YEL","cl_WHI"],Items:["5+Colo","lets05","startT","NoBand","Texted","IsMoon","Unequa","Center","Builds","staRED","myrBLU","HasSta","1Stars"],Flag:"https://upload.wikimedia.org/wikipedia/en/thumb/b/b4/Flag_of_Tunis.svg/640px-Flag_of_Tunis.svg.png",HDFlag:"https://upload.wikimedia.org/wikipedia/en/thumb/b/b4/Flag_of_Tunis.svg/1280px-Flag_of_Tunis.svg.png",type:"Capital City", describe: "\nThe city coat of arms on a blue field.", isnew:".", links: "https://en.m.wikipedia.org/wiki/Tunis"},</v>
      </c>
      <c r="HG4" s="73" t="str">
        <f>"{couname:"&amp;CT4&amp;(IF(HK4&lt;&gt;"",",subtype:"&amp;CHAR(34)&amp;HK4&amp;CHAR(34),""))&amp;",year:"&amp;HJ4&amp;",region:"&amp;CU4&amp;",Colors:"&amp;HC4&amp;",Items:"&amp;GS4&amp;",Flag:"&amp;CV4&amp;",HDFlag:"&amp;CHAR(34)&amp;E4&amp;CHAR(34)&amp;",type:"&amp;GP4&amp;", describe: "&amp;HI4&amp;", links: "&amp;HL4&amp;"},"</f>
        <v>{couname:"[TUN] Tunis",year:"???",region:"rgn_Africa",Colors:["cl_BLA","cl_BLU","cl_GRE","cl_RED","cl_YEL","cl_WHI"],Items:["5+Colo","lets05","startT","NoBand","Texted","IsMoon","Unequa","Center","Builds","staRED","myrBLU","HasSta","1Stars"],Flag:"https://upload.wikimedia.org/wikipedia/en/thumb/b/b4/Flag_of_Tunis.svg/640px-Flag_of_Tunis.svg.png",HDFlag:"https://upload.wikimedia.org/wikipedia/en/thumb/b/b4/Flag_of_Tunis.svg/1280px-Flag_of_Tunis.svg.png",type:"Capital City", describe: "\nThe city coat of arms on a blue field.", links: "https://en.m.wikipedia.org/wiki/Tunis"},</v>
      </c>
      <c r="HH4" s="48" t="str">
        <f>IF(P4&lt;&gt;"",CHAR(34)&amp;"\n"&amp;P4&amp;CHAR(34),CHAR(34)&amp;CHAR(34))</f>
        <v>"\nThe city coat of arms on a blue field."</v>
      </c>
      <c r="HI4" s="48" t="str">
        <f>IF(J4=0,CHAR(34)&amp;CHAR(34),HH4)</f>
        <v>"\nThe city coat of arms on a blue field."</v>
      </c>
      <c r="HJ4" s="48" t="str">
        <f>CHAR(34)&amp;O4&amp;CHAR(34)</f>
        <v>"???"</v>
      </c>
      <c r="HL4" s="48" t="str">
        <f>CHAR(34)&amp;I4&amp;CHAR(34)</f>
        <v>"https://en.m.wikipedia.org/wiki/Tunis"</v>
      </c>
      <c r="HM4" s="72"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"&amp;HH4&amp;", "&amp;CHAR(34)&amp;"isnew"&amp;CHAR(34)&amp;": "&amp;CHAR(34)&amp;F4&amp;CHAR(34)&amp;", "&amp;CHAR(34)&amp;"links"&amp;CHAR(34)&amp;": "&amp;HL4&amp;"},"</f>
        <v>{"couname":"[TUN] Tunis","year":"???","region":"rgn_Africa","Colors":["cl_BLA","cl_BLU","cl_GRE","cl_RED","cl_YEL","cl_WHI"],"Items":["5+Colo","lets05","startT","NoBand","Texted","IsMoon","Unequa","Center","Builds","staRED","myrBLU","HasSta","1Stars"],"Flag":"https://upload.wikimedia.org/wikipedia/en/thumb/b/b4/Flag_of_Tunis.svg/640px-Flag_of_Tunis.svg.png","HDFlag":"https://upload.wikimedia.org/wikipedia/en/thumb/b/b4/Flag_of_Tunis.svg/1280px-Flag_of_Tunis.svg.png","type":"Capital City", "describe": "\nThe city coat of arms on a blue field.", "isnew": ".", "links": "https://en.m.wikipedia.org/wiki/Tunis"},</v>
      </c>
      <c r="HN4" s="74"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"&amp;HI4&amp;", "&amp;CHAR(34)&amp;"isnew"&amp;CHAR(34)&amp;": "&amp;CHAR(34)&amp;F4&amp;CHAR(34)&amp;", "&amp;CHAR(34)&amp;"links"&amp;CHAR(34)&amp;": "&amp;HL4&amp;"},"</f>
        <v>{"couname":"[TUN] Tunis","year":"???","region":"rgn_Africa","Colors":["cl_BLA","cl_BLU","cl_GRE","cl_RED","cl_YEL","cl_WHI"],"Items":["5+Colo","lets05","startT","NoBand","Texted","IsMoon","Unequa","Center","Builds","staRED","myrBLU","HasSta","1Stars"],"Flag":"https://upload.wikimedia.org/wikipedia/en/thumb/b/b4/Flag_of_Tunis.svg/640px-Flag_of_Tunis.svg.png","HDFlag":"https://upload.wikimedia.org/wikipedia/en/thumb/b/b4/Flag_of_Tunis.svg/1280px-Flag_of_Tunis.svg.png","type":"Capital City", "describe": "\nThe city coat of arms on a blue field.", "isnew": ".", "links": "https://en.m.wikipedia.org/wiki/Tunis"},</v>
      </c>
      <c r="HO4" s="75">
        <v>45644</v>
      </c>
      <c r="HP4" s="48" t="str" cm="1">
        <f t="array" ref="HP4">IF(_xlfn.TEXTJOIN(", ", TRUE, IF(ISNUMBER(SEARCH("BLA", BL4:BT4)), COLUMN(BL4:BT4) - COLUMN(BL4) + 1, ""))&lt;&gt;"","BLA","")</f>
        <v>BLA</v>
      </c>
      <c r="HQ4" s="48" t="str" cm="1">
        <f t="array" ref="HQ4">IF(_xlfn.TEXTJOIN(", ", TRUE, IF(ISNUMBER(SEARCH("BLU", BL4:BT4)), COLUMN(BL4:BT4) - COLUMN(BL4) + 1, ""))&lt;&gt;"","BLU","")</f>
        <v>BLU</v>
      </c>
      <c r="HR4" s="48" t="str" cm="1">
        <f t="array" ref="HR4">IF(_xlfn.TEXTJOIN(", ", TRUE, IF(ISNUMBER(SEARCH("GRE", BL4:BT4)), COLUMN(BL4:BT4) - COLUMN(BL4) + 1, ""))&lt;&gt;"","GRE","")</f>
        <v>GRE</v>
      </c>
      <c r="HS4" s="48" t="str" cm="1">
        <f t="array" ref="HS4">IF(_xlfn.TEXTJOIN(", ", TRUE, IF(ISNUMBER(SEARCH("RED", BL4:BT4)), COLUMN(BL4:BT4) - COLUMN(BL4) + 1, ""))&lt;&gt;"","RED","")</f>
        <v>RED</v>
      </c>
      <c r="HT4" s="48" t="str" cm="1">
        <f t="array" ref="HT4">IF(_xlfn.TEXTJOIN(", ", TRUE, IF(ISNUMBER(SEARCH("YEL", BL4:BT4)), COLUMN(BL4:BT4) - COLUMN(BL4) + 1, ""))&lt;&gt;"","YEL","")</f>
        <v>YEL</v>
      </c>
      <c r="HU4" s="48" t="str" cm="1">
        <f t="array" ref="HU4">IF(_xlfn.TEXTJOIN(", ", TRUE, IF(ISNUMBER(SEARCH("ORA", BL4:BT4)), COLUMN(BL4:BT4) - COLUMN(BL4) + 1, ""))&lt;&gt;"","ORA","")</f>
        <v/>
      </c>
      <c r="HV4" s="48" t="str" cm="1">
        <f t="array" ref="HV4">IF(_xlfn.TEXTJOIN(", ", TRUE, IF(ISNUMBER(SEARCH("BRO", BL4:BT4)), COLUMN(BL4:BT4) - COLUMN(BL4) + 1, ""))&lt;&gt;"","BRO","")</f>
        <v/>
      </c>
      <c r="HW4" s="48" t="str" cm="1">
        <f t="array" ref="HW4">IF(_xlfn.TEXTJOIN(", ", TRUE, IF(ISNUMBER(SEARCH("PUR", BL4:BT4)), COLUMN(BL4:BT4) - COLUMN(BL4) + 1, ""))&lt;&gt;"","PUR","")</f>
        <v/>
      </c>
      <c r="HX4" s="48" t="str" cm="1">
        <f t="array" ref="HX4">IF(_xlfn.TEXTJOIN(", ", TRUE, IF(ISNUMBER(SEARCH("WHI", BL4:BT4)), COLUMN(BL4:BT4) - COLUMN(BL4) + 1, ""))&lt;&gt;"","WHI","")</f>
        <v>WHI</v>
      </c>
      <c r="HY4" s="76"/>
      <c r="HZ4" s="76"/>
      <c r="IA4" s="6"/>
      <c r="IB4" s="6"/>
      <c r="IC4" s="77"/>
      <c r="ID4" s="77"/>
      <c r="IE4" s="77"/>
      <c r="IF4" s="77"/>
      <c r="IG4" s="77"/>
      <c r="IH4" s="77"/>
      <c r="II4" s="77"/>
      <c r="IJ4" s="77"/>
      <c r="IK4" s="77"/>
      <c r="IM4" s="45">
        <f>COUNTIF(IC4:IK4,"&gt;0")-CG4</f>
        <v>-6</v>
      </c>
      <c r="IN4" s="78" t="str">
        <f>"http://mkweb.bcgsc.ca/color-summarizer/?url="&amp;D4&amp;"&amp;precision=low&amp;num_clusters="&amp;CG4&amp;"&amp;text=1"</f>
        <v>http://mkweb.bcgsc.ca/color-summarizer/?url=https://upload.wikimedia.org/wikipedia/en/thumb/b/b4/Flag_of_Tunis.svg/640px-Flag_of_Tunis.svg.png&amp;precision=low&amp;num_clusters=6&amp;text=1</v>
      </c>
      <c r="IO4" s="48" t="str">
        <f>IF(HP4&lt;&gt;"",CHAR(34)&amp;"black"&amp;CHAR(34),"")</f>
        <v>"black"</v>
      </c>
      <c r="IP4" s="48" t="str">
        <f>IF(HQ4&lt;&gt;"",CHAR(34)&amp;"blue"&amp;CHAR(34),"")</f>
        <v>"blue"</v>
      </c>
      <c r="IQ4" s="48" t="str">
        <f>IF(HR4&lt;&gt;"",CHAR(34)&amp;"green"&amp;CHAR(34),"")</f>
        <v>"green"</v>
      </c>
      <c r="IR4" s="48" t="str">
        <f>IF(HS4&lt;&gt;"",CHAR(34)&amp;"red"&amp;CHAR(34),"")</f>
        <v>"red"</v>
      </c>
      <c r="IS4" s="48" t="str">
        <f>IF(HT4&lt;&gt;"",CHAR(34)&amp;"yellow"&amp;CHAR(34),"")</f>
        <v>"yellow"</v>
      </c>
      <c r="IT4" s="48" t="str">
        <f>IF(HU4&lt;&gt;"",CHAR(34)&amp;"orange"&amp;CHAR(34),"")</f>
        <v/>
      </c>
      <c r="IU4" s="48" t="str">
        <f>IF(HV4&lt;&gt;"",CHAR(34)&amp;"brown"&amp;CHAR(34),"")</f>
        <v/>
      </c>
      <c r="IV4" s="48" t="str">
        <f>IF(HW4&lt;&gt;"",CHAR(34)&amp;"purple"&amp;CHAR(34),"")</f>
        <v/>
      </c>
      <c r="IW4" s="48" t="str">
        <f>IF(HX4&lt;&gt;"",CHAR(34)&amp;"white"&amp;CHAR(34),"")</f>
        <v>"white"</v>
      </c>
      <c r="IX4" s="48" t="str">
        <f>"{"&amp;CHAR(34)&amp;"url"&amp;CHAR(34)&amp;":"&amp;CHAR(34)&amp;IN4&amp;CHAR(34)&amp;","&amp;CHAR(34)&amp;"name"&amp;CHAR(34)&amp;":"&amp;CHAR(34)&amp;A4&amp;CHAR(34)&amp;"},"</f>
        <v>{"url":"http://mkweb.bcgsc.ca/color-summarizer/?url=https://upload.wikimedia.org/wikipedia/en/thumb/b/b4/Flag_of_Tunis.svg/640px-Flag_of_Tunis.svg.png&amp;precision=low&amp;num_clusters=6&amp;text=1","name":"[TUN] Tunis"},</v>
      </c>
      <c r="IY4" s="48">
        <v>1503</v>
      </c>
    </row>
    <row r="5" spans="1:259" s="48" customFormat="1" ht="38.4" customHeight="1" thickBot="1" x14ac:dyDescent="0.35">
      <c r="A5" s="80" t="s">
        <v>1054</v>
      </c>
      <c r="B5" s="40" t="e" vm="129">
        <v>#VALUE!</v>
      </c>
      <c r="C5" s="41" t="s">
        <v>173</v>
      </c>
      <c r="D5" s="42" t="s">
        <v>1055</v>
      </c>
      <c r="E5" s="43" t="s">
        <v>1056</v>
      </c>
      <c r="F5" s="44" t="s">
        <v>163</v>
      </c>
      <c r="G5" s="45">
        <f>COUNTIF($A$1:$A$8335,A5)</f>
        <v>1</v>
      </c>
      <c r="H5" s="46" t="s">
        <v>1079</v>
      </c>
      <c r="I5" s="47" t="s">
        <v>1057</v>
      </c>
      <c r="J5" s="48" t="str">
        <f>""</f>
        <v/>
      </c>
      <c r="K5" s="49"/>
      <c r="L5" s="50"/>
      <c r="M5" s="50"/>
      <c r="N5" s="51" t="s">
        <v>180</v>
      </c>
      <c r="O5" s="52">
        <v>1827</v>
      </c>
      <c r="P5" s="53" t="s">
        <v>1058</v>
      </c>
      <c r="Q5" s="54">
        <v>4</v>
      </c>
      <c r="R5" s="55" t="s">
        <v>180</v>
      </c>
      <c r="S5" s="56">
        <v>7</v>
      </c>
      <c r="T5" s="57" t="s">
        <v>164</v>
      </c>
      <c r="U5" s="58" t="s">
        <v>164</v>
      </c>
      <c r="V5" s="58" t="s">
        <v>167</v>
      </c>
      <c r="W5" s="58" t="s">
        <v>167</v>
      </c>
      <c r="X5" s="58" t="s">
        <v>167</v>
      </c>
      <c r="Y5" s="58" t="s">
        <v>164</v>
      </c>
      <c r="Z5" s="58" t="s">
        <v>164</v>
      </c>
      <c r="AA5" s="58" t="s">
        <v>164</v>
      </c>
      <c r="AB5" s="58" t="s">
        <v>164</v>
      </c>
      <c r="AC5" s="58" t="s">
        <v>167</v>
      </c>
      <c r="AD5" s="58" t="s">
        <v>164</v>
      </c>
      <c r="AE5" s="58" t="s">
        <v>164</v>
      </c>
      <c r="AF5" s="59" t="s">
        <v>164</v>
      </c>
      <c r="AG5" s="59" t="s">
        <v>164</v>
      </c>
      <c r="AH5" s="59" t="s">
        <v>167</v>
      </c>
      <c r="AI5" s="59" t="s">
        <v>164</v>
      </c>
      <c r="AJ5" s="59" t="s">
        <v>164</v>
      </c>
      <c r="AK5" s="59" t="s">
        <v>164</v>
      </c>
      <c r="AL5" s="59" t="s">
        <v>164</v>
      </c>
      <c r="AM5" s="59" t="s">
        <v>164</v>
      </c>
      <c r="AN5" s="59" t="s">
        <v>164</v>
      </c>
      <c r="AO5" s="59" t="s">
        <v>164</v>
      </c>
      <c r="AP5" s="59" t="s">
        <v>164</v>
      </c>
      <c r="AQ5" s="59" t="s">
        <v>164</v>
      </c>
      <c r="AR5" s="59" t="s">
        <v>164</v>
      </c>
      <c r="AS5" s="59" t="s">
        <v>164</v>
      </c>
      <c r="AT5" s="60">
        <v>31</v>
      </c>
      <c r="AU5" s="59" t="s">
        <v>174</v>
      </c>
      <c r="AV5" s="59" t="str">
        <f>IF(LEFT(A5,1)="[",LEFT(A5,5)&amp;AU5&amp;A5,"")</f>
        <v>[TUN]Historical[TUN] Bey of Tunis (1827-1881)</v>
      </c>
      <c r="AW5" s="59" t="str">
        <f>C5&amp;H5&amp;A5</f>
        <v>3b[TUN] Other[TUN] Bey of Tunis (1827-1881)</v>
      </c>
      <c r="AX5" s="61"/>
      <c r="AY5" s="61"/>
      <c r="AZ5" s="62" t="s">
        <v>154</v>
      </c>
      <c r="BA5" s="62" t="s">
        <v>154</v>
      </c>
      <c r="BB5" s="62"/>
      <c r="BC5" s="63"/>
      <c r="BD5" s="64" t="s">
        <v>169</v>
      </c>
      <c r="BE5" s="47"/>
      <c r="BF5" s="64" t="s">
        <v>154</v>
      </c>
      <c r="BG5" s="64" t="s">
        <v>153</v>
      </c>
      <c r="BH5" s="64" t="s">
        <v>154</v>
      </c>
      <c r="BI5" s="64"/>
      <c r="BJ5" s="64"/>
      <c r="BK5" s="47"/>
      <c r="BL5" s="64" t="s">
        <v>151</v>
      </c>
      <c r="BM5" s="64" t="s">
        <v>172</v>
      </c>
      <c r="BN5" s="64" t="s">
        <v>153</v>
      </c>
      <c r="BO5" s="64" t="s">
        <v>154</v>
      </c>
      <c r="BP5" s="64" t="s">
        <v>155</v>
      </c>
      <c r="BQ5" s="64" t="s">
        <v>172</v>
      </c>
      <c r="BR5" s="64" t="s">
        <v>172</v>
      </c>
      <c r="BS5" s="64" t="s">
        <v>172</v>
      </c>
      <c r="BT5" s="64" t="s">
        <v>159</v>
      </c>
      <c r="BU5" s="65"/>
      <c r="BV5" s="66"/>
      <c r="BW5" s="66">
        <v>0</v>
      </c>
      <c r="BX5" s="47"/>
      <c r="CB5" s="6"/>
      <c r="CC5" s="6"/>
      <c r="CD5" s="67">
        <v>0</v>
      </c>
      <c r="CE5" s="67">
        <v>0</v>
      </c>
      <c r="CF5" s="67" t="e">
        <v>#REF!</v>
      </c>
      <c r="CG5" s="68" cm="1">
        <f t="array" ref="CG5">SUMPRODUCT(--(LEN(TRIM(BL5:BT5))&gt;0))</f>
        <v>5</v>
      </c>
      <c r="CH5" s="59" t="str">
        <f>IF(CG5=2,"y","n")</f>
        <v>n</v>
      </c>
      <c r="CI5" s="59" t="str">
        <f>IF(CG5=3,"y","n")</f>
        <v>n</v>
      </c>
      <c r="CJ5" s="59" t="str">
        <f>IF(CG5=4,"y","n")</f>
        <v>n</v>
      </c>
      <c r="CK5" s="59" t="str">
        <f>IF(CG5&gt;4,"y","n")</f>
        <v>y</v>
      </c>
      <c r="CL5" s="59" t="str">
        <f>IF(S5=0,"y","n")</f>
        <v>n</v>
      </c>
      <c r="CM5" s="59" t="str">
        <f>IF(S5=2,"y","n")</f>
        <v>n</v>
      </c>
      <c r="CN5" s="59" t="str">
        <f>IF(S5=3,"y","n")</f>
        <v>n</v>
      </c>
      <c r="CO5" s="59" t="str">
        <f>IF(S5&gt;=4,"y","n")</f>
        <v>y</v>
      </c>
      <c r="CP5" s="59" t="str">
        <f>IF(AT5=0,"y","n")</f>
        <v>n</v>
      </c>
      <c r="CQ5" s="59" t="str">
        <f>IF(AT5=1,"y","n")</f>
        <v>n</v>
      </c>
      <c r="CR5" s="59" t="str">
        <f>IF(AT5=2,"y","n")</f>
        <v>n</v>
      </c>
      <c r="CS5" s="59" t="str">
        <f>IF(AT5&gt;=3,"y","n")</f>
        <v>y</v>
      </c>
      <c r="CT5" s="69" t="str">
        <f>CHAR(34)&amp;A5&amp;CHAR(34)</f>
        <v>"[TUN] Bey of Tunis (1827-1881)"</v>
      </c>
      <c r="CU5" s="70" t="str">
        <f>CHAR(34)&amp;"rgn_"&amp;R5&amp;CHAR(34)</f>
        <v>"rgn_Africa"</v>
      </c>
      <c r="CV5" s="48" t="str">
        <f>CHAR(34)&amp;D5&amp;CHAR(34)</f>
        <v>"https://upload.wikimedia.org/wikipedia/commons/thumb/5/51/Flag_of_the_Bey_of_Tunis.svg/640px-Flag_of_the_Bey_of_Tunis.svg.png"</v>
      </c>
      <c r="CW5" s="48" t="str">
        <f>IF(CH5="y",CHAR(34)&amp;CH$1&amp;CHAR(34)&amp;",","")</f>
        <v/>
      </c>
      <c r="CX5" s="48" t="str">
        <f>IF(CI5="y",CHAR(34)&amp;CI$1&amp;CHAR(34)&amp;",","")</f>
        <v/>
      </c>
      <c r="CY5" s="48" t="str">
        <f>IF(CJ5="y",CHAR(34)&amp;CJ$1&amp;CHAR(34)&amp;",","")</f>
        <v/>
      </c>
      <c r="CZ5" s="48" t="str">
        <f>IF(CK5="y",CHAR(34)&amp;CK$1&amp;CHAR(34)&amp;",","")</f>
        <v>"5+Colo",</v>
      </c>
      <c r="DA5" s="48" t="str">
        <f>IF(Q5&gt;1,CHAR(34)&amp;"words2"&amp;CHAR(34)&amp;",","")</f>
        <v>"words2",</v>
      </c>
      <c r="DB5" s="48" t="str">
        <f>IF(Q5&gt;2,CHAR(34)&amp;"words3"&amp;CHAR(34)&amp;",","")</f>
        <v>"words3",</v>
      </c>
      <c r="DD5" s="48" t="str">
        <f>IF(LEN(CHAR(34)&amp;"lets"&amp;LEN(SUBSTITUTE(SUBSTITUTE(IFERROR(TRIM(SUBSTITUTE(A5,MID(A5,FIND("[",A5),FIND("]",A5)-FIND("[",A5)+1),"")),A5)," ",""),"-",""))&amp;CHAR(34)&amp;",")=9,CHAR(34)&amp;"lets"&amp;LEN(SUBSTITUTE(SUBSTITUTE(IFERROR(TRIM(SUBSTITUTE(A5,MID(A5,FIND("[",A5),FIND("]",A5)-FIND("[",A5)+1),"")),A5)," ",""),"-",""))&amp;CHAR(34)&amp;",",CHAR(34)&amp;"lets0"&amp;LEN(SUBSTITUTE(SUBSTITUTE(IFERROR(TRIM(SUBSTITUTE(A5,MID(A5,FIND("[",A5),FIND("]",A5)-FIND("[",A5)+1),"")),A5)," ",""),"-",""))&amp;CHAR(34)&amp;",")</f>
        <v>"lets20",</v>
      </c>
      <c r="DE5" s="48" t="str">
        <f>CHAR(34)&amp;"start"&amp;IFERROR(LEFT(SUBSTITUTE(A5,"["&amp;MID(A5,FIND("[",A5)+1,FIND("]",A5)-FIND("[",A5)-1)&amp;"] ",""),1),LEFT(A5,1))&amp;CHAR(34)&amp;","</f>
        <v>"startB",</v>
      </c>
      <c r="DF5" s="48" t="str">
        <f>IFERROR(IF(SEARCH("tan",A5)&gt;0,CHAR(34)&amp;"withtn"&amp;CHAR(34)&amp;",",""),"")</f>
        <v/>
      </c>
      <c r="DG5" s="48" t="str">
        <f>IFERROR(IF(SEARCH("q",A5)&gt;0,CHAR(34)&amp;"with_q"&amp;CHAR(34)&amp;",",""),"")</f>
        <v/>
      </c>
      <c r="DH5" s="48" t="str">
        <f>IFERROR(IF(SEARCH("v",A5)&gt;0,CHAR(34)&amp;"with_v"&amp;CHAR(34)&amp;",",""),"")</f>
        <v/>
      </c>
      <c r="DI5" s="48" t="str">
        <f>IFERROR(IF(SEARCH("w",A5)&gt;0,CHAR(34)&amp;"with_w"&amp;CHAR(34)&amp;",",""),"")</f>
        <v/>
      </c>
      <c r="DJ5" s="48" t="str">
        <f>IFERROR(IF(SEARCH("y",A5)&gt;0,CHAR(34)&amp;"with_y"&amp;CHAR(34)&amp;",",""),"")</f>
        <v>"with_y",</v>
      </c>
      <c r="DK5" s="48" t="str">
        <f>IFERROR(IF(SEARCH("z",A5)&gt;0,CHAR(34)&amp;"with_z"&amp;CHAR(34)&amp;",",""),"")</f>
        <v/>
      </c>
      <c r="DL5" s="48" t="str">
        <f>IF(CG5=2, CHAR(34) &amp; _xlfn.TEXTJOIN("", TRUE, _xlfn._xlws.SORT(HP5:HX5)) &amp; CHAR(34) &amp; ",", "")</f>
        <v/>
      </c>
      <c r="DM5" s="48" t="str" cm="1">
        <f t="array" ref="DM5">IF(CG5=3,CHAR(34) &amp; _xlfn.TEXTJOIN("", TRUE, RIGHT(HP5:HX5, 2)) &amp; CHAR(34) &amp; ",", "")</f>
        <v/>
      </c>
      <c r="DN5" s="48" t="str">
        <f>IF(AND(ISNUMBER(SEARCH("18", O5)), ISERROR(SEARCH("1918", O5)), ISERROR(SEARCH("2018", O5))), CHAR(34) &amp; "year18" &amp; CHAR(34) &amp; ",", "")</f>
        <v>"year18",</v>
      </c>
      <c r="DO5" s="48" t="str">
        <f>IF(AND(ISNUMBER(SEARCH("19", O5)), ISERROR(SEARCH("1819", O5)),  ISERROR(SEARCH("1219", O5)),ISERROR(SEARCH("1119", O5)),ISERROR(SEARCH("1190", O5)),ISERROR(SEARCH("2019", O5))), CHAR(34) &amp; "year19" &amp; CHAR(34) &amp; ",", "")</f>
        <v/>
      </c>
      <c r="DP5" s="6" t="str">
        <f>IF(AND(ISNUMBER(SEARCH("20", O5)), ISERROR(SEARCH("1920", O5))), CHAR(34)&amp;"year00"&amp;CHAR(34)&amp;",", "")</f>
        <v/>
      </c>
      <c r="DQ5" s="6" t="str">
        <f>IF(CC5="y",CHAR(34)&amp;"soviet"&amp;CHAR(34)&amp;",","")</f>
        <v/>
      </c>
      <c r="DR5" s="6" t="str">
        <f>IF(BY5="y",CHAR(34)&amp;"dgband"&amp;CHAR(34)&amp;",","")</f>
        <v/>
      </c>
      <c r="DS5" s="6" t="str">
        <f>IF(W5="y",IF(AND(V5="n",BY5&lt;&gt;"y"),CHAR(34)&amp;"allver"&amp;CHAR(34)&amp;",",""),"")</f>
        <v/>
      </c>
      <c r="DT5" s="6" t="str">
        <f>IF(V5="y",IF(AND(W5="n",BY5&lt;&gt;"y"),CHAR(34)&amp;"allhor"&amp;CHAR(34)&amp;",",""),"")</f>
        <v/>
      </c>
      <c r="DU5" s="6" t="str">
        <f>IF(BY5="y",IF(AND(W5="n",V5="n"),CHAR(34)&amp;"alldia"&amp;CHAR(34)&amp;",",""),"")</f>
        <v/>
      </c>
      <c r="DW5" s="48" t="str">
        <f>IF(CL5="y",CHAR(34)&amp;CL$1&amp;CHAR(34)&amp;",","")</f>
        <v/>
      </c>
      <c r="DX5" s="48" t="str">
        <f>IF(CM5="y",CHAR(34)&amp;CM$1&amp;CHAR(34)&amp;",","")</f>
        <v/>
      </c>
      <c r="DY5" s="48" t="str">
        <f>IF(CN5="y",CHAR(34)&amp;CN$1&amp;CHAR(34)&amp;",","")</f>
        <v/>
      </c>
      <c r="DZ5" s="48" t="str">
        <f>IF(CO5="y",CHAR(34)&amp;CO$1&amp;CHAR(34)&amp;",","")</f>
        <v>"4+Band",</v>
      </c>
      <c r="EA5" s="48" t="str">
        <f>IF(T5="y",CHAR(34)&amp;T$1&amp;CHAR(34)&amp;",","")</f>
        <v/>
      </c>
      <c r="EB5" s="48" t="str">
        <f>IF(U5="y",CHAR(34)&amp;U$1&amp;CHAR(34)&amp;",","")</f>
        <v/>
      </c>
      <c r="EC5" s="48" t="str">
        <f>IF(V5="y",CHAR(34)&amp;V$1&amp;CHAR(34)&amp;",","")</f>
        <v>"Horizo",</v>
      </c>
      <c r="ED5" s="48" t="str">
        <f>IF(W5="y",CHAR(34)&amp;W$1&amp;CHAR(34)&amp;",","")</f>
        <v>"Vertic",</v>
      </c>
      <c r="EE5" s="48" t="str">
        <f>IF(X5="y",CHAR(34)&amp;X$1&amp;CHAR(34)&amp;",","")</f>
        <v>"Circle",</v>
      </c>
      <c r="EF5" s="48" t="str">
        <f>IF(AND(Y5&lt;&gt;"n",Y5&lt;&gt;""),CHAR(34)&amp;Y$1&amp;CHAR(34)&amp;",","")</f>
        <v/>
      </c>
      <c r="EG5" s="48" t="str">
        <f>IF(Z5="y",CHAR(34)&amp;Z$1&amp;CHAR(34)&amp;",","")</f>
        <v/>
      </c>
      <c r="EH5" s="48" t="str">
        <f>IF(AA5="y",CHAR(34)&amp;AA$1&amp;CHAR(34)&amp;",","")</f>
        <v/>
      </c>
      <c r="EI5" s="48" t="str">
        <f>IF(AB5="y",CHAR(34)&amp;AB$1&amp;CHAR(34)&amp;",","")</f>
        <v/>
      </c>
      <c r="EJ5" s="48" t="str">
        <f>IF(AC5="y",CHAR(34)&amp;AC$1&amp;CHAR(34)&amp;",","")</f>
        <v>"Weapon",</v>
      </c>
      <c r="EK5" s="48" t="str">
        <f>IF(AD5="y",CHAR(34)&amp;AD$1&amp;CHAR(34)&amp;",","")</f>
        <v/>
      </c>
      <c r="EL5" s="48" t="str">
        <f>IF(AE5="y",CHAR(34)&amp;AE$1&amp;CHAR(34)&amp;",","")</f>
        <v/>
      </c>
      <c r="EM5" s="48" t="str">
        <f>IF(AF5="y",CHAR(34)&amp;AF$1&amp;CHAR(34)&amp;",","")</f>
        <v/>
      </c>
      <c r="EN5" s="48" t="str">
        <f>IF(AG5="y",CHAR(34)&amp;AG$1&amp;CHAR(34)&amp;",","")</f>
        <v/>
      </c>
      <c r="EO5" s="48" t="str">
        <f>IF(AH5="y",CHAR(34)&amp;AH$1&amp;CHAR(34)&amp;",","")</f>
        <v>"Center",</v>
      </c>
      <c r="EP5" s="48" t="str">
        <f>IF(AI5="y",CHAR(34)&amp;AI$1&amp;CHAR(34)&amp;",","")</f>
        <v/>
      </c>
      <c r="EQ5" s="48" t="str">
        <f>IF(AJ5="y",CHAR(34)&amp;AJ$1&amp;CHAR(34)&amp;",","")</f>
        <v/>
      </c>
      <c r="ER5" s="48" t="str">
        <f>IF(AK5="y",CHAR(34)&amp;AK$1&amp;CHAR(34)&amp;",","")</f>
        <v/>
      </c>
      <c r="ES5" s="48" t="str">
        <f>IF(AL5="y",CHAR(34)&amp;AL$1&amp;CHAR(34)&amp;",","")</f>
        <v/>
      </c>
      <c r="ET5" s="48" t="str">
        <f>IF(AM5="y",CHAR(34)&amp;AM$1&amp;CHAR(34)&amp;",","")</f>
        <v/>
      </c>
      <c r="EU5" s="48" t="str">
        <f>IF(AN5="y",CHAR(34)&amp;AN$1&amp;CHAR(34)&amp;",","")</f>
        <v/>
      </c>
      <c r="EV5" s="48" t="str">
        <f>IF(AO5="y",CHAR(34)&amp;AO$1&amp;CHAR(34)&amp;",","")</f>
        <v/>
      </c>
      <c r="EW5" s="48" t="str">
        <f>IF(AP5="y",CHAR(34)&amp;AP$1&amp;CHAR(34)&amp;",","")</f>
        <v/>
      </c>
      <c r="EX5" s="48" t="str">
        <f>IF(AQ5="y",CHAR(34)&amp;AQ$1&amp;CHAR(34)&amp;",","")</f>
        <v/>
      </c>
      <c r="EY5" s="48" t="str">
        <f>IF(AR5="y",CHAR(34)&amp;AR$1&amp;CHAR(34)&amp;",","")</f>
        <v/>
      </c>
      <c r="EZ5" s="48" t="str">
        <f>IF(AS5="y",CHAR(34)&amp;AS$1&amp;CHAR(34)&amp;",","")</f>
        <v/>
      </c>
      <c r="FA5" s="48" t="str">
        <f>IF(AT5&gt;0,CHAR(34)&amp;"sta"&amp;AZ5&amp;CHAR(34)&amp;",","")</f>
        <v>"staRED",</v>
      </c>
      <c r="FB5" s="48" t="str">
        <f>IF(AND(AT5&gt;0,BA5&lt;&gt;""),CHAR(34)&amp;"sta"&amp;BA5&amp;CHAR(34)&amp;",","")</f>
        <v>"staRED",</v>
      </c>
      <c r="FD5" s="48" t="str">
        <f>IF(BV5="n",CHAR(34)&amp;"tcWHYE"&amp;CHAR(34)&amp;",",IF(BV5="y",CHAR(34)&amp;FD$1&amp;CHAR(34)&amp;",",""))</f>
        <v/>
      </c>
      <c r="FE5" s="48" t="str">
        <f>IF(COUNTIF(BL5:BT5,"BLU")=0,CHAR(34)&amp;"NO_BLU"&amp;CHAR(34)&amp;",", "")</f>
        <v>"NO_BLU",</v>
      </c>
      <c r="FF5" s="48" t="str">
        <f>IF(COUNTIF(BL5:BT5,"WHI")=0,CHAR(34)&amp;"NO_WHI"&amp;CHAR(34)&amp;",", "")</f>
        <v/>
      </c>
      <c r="FG5" s="48" t="str">
        <f>IF(COUNTIF(BL5:BT5,"RED")=0,CHAR(34)&amp;"NO_RED"&amp;CHAR(34)&amp;",", "")</f>
        <v/>
      </c>
      <c r="FH5" s="48" t="str">
        <f>IF(COUNTIF(BL5:BS5,"GRE")=0,CHAR(34)&amp;"NO_GRE"&amp;CHAR(34)&amp;",", "")</f>
        <v/>
      </c>
      <c r="FI5" s="48" t="str">
        <f>IF(COUNTIF(BL5:BT5,"YEL")=0,CHAR(34)&amp;"NO_YEL"&amp;CHAR(34)&amp;",", "")</f>
        <v/>
      </c>
      <c r="FJ5" s="48" t="str">
        <f>IF(COUNTIF(BL5:BT5,"BLA")=0,CHAR(34)&amp;"NO_BLA"&amp;CHAR(34)&amp;",", "")</f>
        <v/>
      </c>
      <c r="FK5" s="48" t="str">
        <f>IF(AND(FH5&lt;&gt;"",FF5&lt;&gt;""),CHAR(34)&amp;"WHGRNO"&amp;CHAR(34)&amp;",","")</f>
        <v/>
      </c>
      <c r="FL5" s="48" t="str">
        <f>IF(AND(FI5&lt;&gt;"",FF5&lt;&gt;""),CHAR(34)&amp;"WHYENO"&amp;CHAR(34)&amp;",","")</f>
        <v/>
      </c>
      <c r="FM5" s="48" t="str">
        <f>IF(AND(FJ5&lt;&gt;"",FF5&lt;&gt;""),CHAR(34)&amp;"BAWHNO"&amp;CHAR(34)&amp;",","")</f>
        <v/>
      </c>
      <c r="FN5" s="48" t="str">
        <f>IF(AND(FE5&lt;&gt;"",FF5&lt;&gt;""),CHAR(34)&amp;"BLWHNO"&amp;CHAR(34)&amp;",","")</f>
        <v/>
      </c>
      <c r="FO5" s="48" t="str">
        <f>IF(AND(FE5&lt;&gt;"",FG5&lt;&gt;""),CHAR(34)&amp;"BLRENO"&amp;CHAR(34)&amp;",","")</f>
        <v/>
      </c>
      <c r="FP5" s="48" t="str">
        <f>IF(AND(FF5&lt;&gt;"",FF5&lt;&gt;""),CHAR(34)&amp;"WHRENO"&amp;CHAR(34)&amp;",","")</f>
        <v/>
      </c>
      <c r="FQ5" s="48" t="str">
        <f>IF(LEN(BF5)=3,CHAR(34)&amp;"001"&amp;BF5&amp;CHAR(34)&amp;",","")</f>
        <v>"001RED",</v>
      </c>
      <c r="FR5" s="48" t="str">
        <f>IF(LEN(BG5)=3,CHAR(34)&amp;"002"&amp;BG5&amp;CHAR(34)&amp;",","")</f>
        <v>"002GRE",</v>
      </c>
      <c r="FS5" s="48" t="str">
        <f>IF(LEN(BH5)=3,CHAR(34)&amp;"003"&amp;BH5&amp;CHAR(34)&amp;",","")</f>
        <v>"003RED",</v>
      </c>
      <c r="FT5" s="48" t="str">
        <f>CHAR(34)&amp;"myr"&amp;BD5&amp;CHAR(34)&amp;","</f>
        <v>"myrEQ",</v>
      </c>
      <c r="FU5" s="48" t="str">
        <f>IF(AY5="y",CHAR(34)&amp;"island"&amp;CHAR(34)&amp;",","")</f>
        <v/>
      </c>
      <c r="FV5" s="48" t="str">
        <f>IF(BZ5="y",CHAR(34)&amp;"landlo"&amp;CHAR(34)&amp;",","")</f>
        <v/>
      </c>
      <c r="FW5" s="48" t="str">
        <f>IF(CA5="y",CHAR(34)&amp;"eunion"&amp;CHAR(34)&amp;",","")</f>
        <v/>
      </c>
      <c r="FY5" s="48" t="str">
        <f>IFERROR(IF(SEARCH("Arabic",CB5)&gt;0,CHAR(34)&amp;"arabic"&amp;CHAR(34)&amp;",",""),"")</f>
        <v/>
      </c>
      <c r="FZ5" s="48" t="str">
        <f>IFERROR(IF(SEARCH("English",CB5)&gt;0,CHAR(34)&amp;"englis"&amp;CHAR(34)&amp;",",""),"")</f>
        <v/>
      </c>
      <c r="GA5" s="48" t="str">
        <f>IFERROR(IF(SEARCH("French",CB5)&gt;0,CHAR(34)&amp;"french"&amp;CHAR(34)&amp;",",""),"")</f>
        <v/>
      </c>
      <c r="GB5" s="48" t="str">
        <f>IFERROR(IF(SEARCH("Spanish",CB5)&gt;0,CHAR(34)&amp;"spanis"&amp;CHAR(34)&amp;",",""),"")</f>
        <v/>
      </c>
      <c r="GE5" s="48" t="str">
        <f>IFERROR(IF(SEARCH("Dutch",CB5)&gt;0,CHAR(34)&amp;"dutchs"&amp;CHAR(34)&amp;",",""),"")</f>
        <v/>
      </c>
      <c r="GF5" s="48" t="str">
        <f>IFERROR(IF(SEARCH("Historical",AU5)&gt;0,CHAR(34)&amp;"histor"&amp;CHAR(34)&amp;",",""),"")</f>
        <v>"histor",</v>
      </c>
      <c r="GG5" s="48" t="str">
        <f>IF(BU5="y",CHAR(34)&amp;"unjack"&amp;CHAR(34)&amp;",","")</f>
        <v/>
      </c>
      <c r="GH5" s="48" t="str">
        <f>IF(CD5=1,CHAR(34)&amp;"southc"&amp;CHAR(34)&amp;",","")</f>
        <v/>
      </c>
      <c r="GI5" s="48" t="str">
        <f>IF(CE5=1,CHAR(34)&amp;"hasmap"&amp;CHAR(34)&amp;",","")</f>
        <v/>
      </c>
      <c r="GJ5" s="48" t="str">
        <f>IF(CP5="y",CHAR(34)&amp;CP$1&amp;CHAR(34)&amp;",","")</f>
        <v/>
      </c>
      <c r="GK5" s="48" t="str">
        <f>IF(GJ5="",CHAR(34)&amp;"HasSta"&amp;CHAR(34)&amp;",","")</f>
        <v>"HasSta",</v>
      </c>
      <c r="GL5" s="48" t="str">
        <f>IF(CQ5="y",CHAR(34)&amp;CQ$1&amp;CHAR(34)&amp;",","")</f>
        <v/>
      </c>
      <c r="GM5" s="48" t="str">
        <f>IF(CR5="y",CHAR(34)&amp;CR$1&amp;CHAR(34)&amp;",","")</f>
        <v/>
      </c>
      <c r="GN5" s="48" t="str">
        <f>IF(CS5="y",CHAR(34)&amp;CS$1&amp;CHAR(34)&amp;",","")</f>
        <v>"3+Star",</v>
      </c>
      <c r="GP5" s="48" t="str">
        <f>CHAR(34)&amp;AU5&amp;CHAR(34)</f>
        <v>"Historical"</v>
      </c>
      <c r="GS5" s="48" t="str">
        <f>SUBSTITUTE("["&amp;_xlfn.CONCAT(CW5:GN5)&amp;"]",",]","]")</f>
        <v>["5+Colo","words2","words3","lets20","startB","with_y","year18","4+Band","Horizo","Vertic","Circle","Weapon","Center","staRED","staRED","NO_BLU","001RED","002GRE","003RED","myrEQ","histor","HasSta","3+Star"]</v>
      </c>
      <c r="GT5" s="48" t="str">
        <f>IF(BL5&lt;&gt;"",CHAR(34)&amp;"cl_"&amp;BL5&amp;CHAR(34)&amp;",","")</f>
        <v>"cl_BLA",</v>
      </c>
      <c r="GU5" s="48" t="str">
        <f>IF(BM5&lt;&gt;"",CHAR(34)&amp;"cl_"&amp;BM5&amp;CHAR(34)&amp;",","")</f>
        <v/>
      </c>
      <c r="GV5" s="48" t="str">
        <f>IF(BN5&lt;&gt;"",CHAR(34)&amp;"cl_"&amp;BN5&amp;CHAR(34)&amp;",","")</f>
        <v>"cl_GRE",</v>
      </c>
      <c r="GW5" s="48" t="str">
        <f>IF(BO5&lt;&gt;"",CHAR(34)&amp;"cl_"&amp;BO5&amp;CHAR(34)&amp;",","")</f>
        <v>"cl_RED",</v>
      </c>
      <c r="GX5" s="48" t="str">
        <f>IF(BP5&lt;&gt;"",CHAR(34)&amp;"cl_"&amp;BP5&amp;CHAR(34)&amp;",","")</f>
        <v>"cl_YEL",</v>
      </c>
      <c r="GY5" s="48" t="str">
        <f>IF(BQ5&lt;&gt;"",CHAR(34)&amp;"cl_"&amp;BQ5&amp;CHAR(34)&amp;",","")</f>
        <v/>
      </c>
      <c r="GZ5" s="48" t="str">
        <f>IF(BR5&lt;&gt;"",CHAR(34)&amp;"cl_"&amp;BR5&amp;CHAR(34)&amp;",","")</f>
        <v/>
      </c>
      <c r="HA5" s="48" t="str">
        <f>IF(BS5&lt;&gt;"",CHAR(34)&amp;"cl_"&amp;BS5&amp;CHAR(34)&amp;",","")</f>
        <v/>
      </c>
      <c r="HB5" s="48" t="str">
        <f>IF(BT5&lt;&gt;"",CHAR(34)&amp;"cl_"&amp;BT5&amp;CHAR(34)&amp;",","")</f>
        <v>"cl_WHI",</v>
      </c>
      <c r="HC5" s="48" t="str">
        <f>SUBSTITUTE("["&amp;_xlfn.CONCAT(GT5:HB5)&amp;"]",",]","]")</f>
        <v>["cl_BLA","cl_GRE","cl_RED","cl_YEL","cl_WHI"]</v>
      </c>
      <c r="HE5" s="71"/>
      <c r="HF5" s="72" t="str">
        <f>"{couname:"&amp;CT5&amp;(IF(HK5&lt;&gt;"",",subtype:"&amp;CHAR(34)&amp;HK5&amp;CHAR(34),""))&amp;",year:"&amp;HJ5&amp;",region:"&amp;CU5&amp;",Colors:"&amp;HC5&amp;",Items:"&amp;GS5&amp;",Flag:"&amp;CV5&amp;",HDFlag:"&amp;CHAR(34)&amp;E5&amp;CHAR(34)&amp;",type:"&amp;GP5&amp;", describe: "&amp;HH5&amp;", isnew:"&amp;CHAR(34)&amp;F5&amp;CHAR(34)&amp;", links: "&amp;HL5&amp;"},"</f>
        <v>{couname:"[TUN] Bey of Tunis (1827-1881)",year:"1827",region:"rgn_Africa",Colors:["cl_BLA","cl_GRE","cl_RED","cl_YEL","cl_WHI"],Items:["5+Colo","words2","words3","lets20","startB","with_y","year18","4+Band","Horizo","Vertic","Circle","Weapon","Center","staRED","staRED","NO_BLU","001RED","002GRE","003RED","myrEQ","histor","HasSta","3+Star"],Flag:"https://upload.wikimedia.org/wikipedia/commons/thumb/5/51/Flag_of_the_Bey_of_Tunis.svg/640px-Flag_of_the_Bey_of_Tunis.svg.png",HDFlag:"https://upload.wikimedia.org/wikipedia/commons/thumb/5/51/Flag_of_the_Bey_of_Tunis.svg/2400px-Flag_of_the_Bey_of_Tunis.svg.png",type:"Historical", describe: "\nA 7 horizontal striped banner with 4 red strips, 2 golden and 1 green with 31 6–pointed stars, 24 discs and a 2 pointed sword in the center.", isnew:".", links: "https://en.m.wikipedia.org/wiki/List_of_Tunisian_flags"},</v>
      </c>
      <c r="HG5" s="73" t="str">
        <f>"{couname:"&amp;CT5&amp;(IF(HK5&lt;&gt;"",",subtype:"&amp;CHAR(34)&amp;HK5&amp;CHAR(34),""))&amp;",year:"&amp;HJ5&amp;",region:"&amp;CU5&amp;",Colors:"&amp;HC5&amp;",Items:"&amp;GS5&amp;",Flag:"&amp;CV5&amp;",HDFlag:"&amp;CHAR(34)&amp;E5&amp;CHAR(34)&amp;",type:"&amp;GP5&amp;", describe: "&amp;HI5&amp;", links: "&amp;HL5&amp;"},"</f>
        <v>{couname:"[TUN] Bey of Tunis (1827-1881)",year:"1827",region:"rgn_Africa",Colors:["cl_BLA","cl_GRE","cl_RED","cl_YEL","cl_WHI"],Items:["5+Colo","words2","words3","lets20","startB","with_y","year18","4+Band","Horizo","Vertic","Circle","Weapon","Center","staRED","staRED","NO_BLU","001RED","002GRE","003RED","myrEQ","histor","HasSta","3+Star"],Flag:"https://upload.wikimedia.org/wikipedia/commons/thumb/5/51/Flag_of_the_Bey_of_Tunis.svg/640px-Flag_of_the_Bey_of_Tunis.svg.png",HDFlag:"https://upload.wikimedia.org/wikipedia/commons/thumb/5/51/Flag_of_the_Bey_of_Tunis.svg/2400px-Flag_of_the_Bey_of_Tunis.svg.png",type:"Historical", describe: "\nA 7 horizontal striped banner with 4 red strips, 2 golden and 1 green with 31 6–pointed stars, 24 discs and a 2 pointed sword in the center.", links: "https://en.m.wikipedia.org/wiki/List_of_Tunisian_flags"},</v>
      </c>
      <c r="HH5" s="48" t="str">
        <f>IF(P5&lt;&gt;"",CHAR(34)&amp;"\n"&amp;P5&amp;CHAR(34),CHAR(34)&amp;CHAR(34))</f>
        <v>"\nA 7 horizontal striped banner with 4 red strips, 2 golden and 1 green with 31 6–pointed stars, 24 discs and a 2 pointed sword in the center."</v>
      </c>
      <c r="HI5" s="48" t="str">
        <f>IF(J5=0,CHAR(34)&amp;CHAR(34),HH5)</f>
        <v>"\nA 7 horizontal striped banner with 4 red strips, 2 golden and 1 green with 31 6–pointed stars, 24 discs and a 2 pointed sword in the center."</v>
      </c>
      <c r="HJ5" s="48" t="str">
        <f>CHAR(34)&amp;O5&amp;CHAR(34)</f>
        <v>"1827"</v>
      </c>
      <c r="HL5" s="48" t="str">
        <f>CHAR(34)&amp;I5&amp;CHAR(34)</f>
        <v>"https://en.m.wikipedia.org/wiki/List_of_Tunisian_flags"</v>
      </c>
      <c r="HM5" s="72" t="str">
        <f>"{"&amp;CHAR(34)&amp;"couname"&amp;CHAR(34)&amp;":"&amp;CT5&amp;(IF(H5&lt;&gt;"",","&amp;CHAR(34)&amp;"subtype"&amp;CHAR(34)&amp;":"&amp;CHAR(34)&amp;H5&amp;CHAR(34),""))&amp;","&amp;CHAR(34)&amp;"year"&amp;CHAR(34)&amp;":"&amp;HJ5&amp;","&amp;CHAR(34)&amp;"region"&amp;CHAR(34)&amp;":"&amp;CU5&amp;","&amp;CHAR(34)&amp;"Colors"&amp;CHAR(34)&amp;":"&amp;HC5&amp;","&amp;CHAR(34)&amp;"Items"&amp;CHAR(34)&amp;":"&amp;GS5&amp;","&amp;CHAR(34)&amp;"Flag"&amp;CHAR(34)&amp;":"&amp;CV5&amp;","&amp;CHAR(34)&amp;"HDFlag"&amp;CHAR(34)&amp;":"&amp;CHAR(34)&amp;E5&amp;CHAR(34)&amp;","&amp;CHAR(34)&amp;"type"&amp;CHAR(34)&amp;":"&amp;GP5&amp;", "&amp;CHAR(34)&amp;"describe"&amp;CHAR(34)&amp;": "&amp;HH5&amp;", "&amp;CHAR(34)&amp;"isnew"&amp;CHAR(34)&amp;": "&amp;CHAR(34)&amp;F5&amp;CHAR(34)&amp;", "&amp;CHAR(34)&amp;"links"&amp;CHAR(34)&amp;": "&amp;HL5&amp;"},"</f>
        <v>{"couname":"[TUN] Bey of Tunis (1827-1881)","subtype":"[TUN] Other","year":"1827","region":"rgn_Africa","Colors":["cl_BLA","cl_GRE","cl_RED","cl_YEL","cl_WHI"],"Items":["5+Colo","words2","words3","lets20","startB","with_y","year18","4+Band","Horizo","Vertic","Circle","Weapon","Center","staRED","staRED","NO_BLU","001RED","002GRE","003RED","myrEQ","histor","HasSta","3+Star"],"Flag":"https://upload.wikimedia.org/wikipedia/commons/thumb/5/51/Flag_of_the_Bey_of_Tunis.svg/640px-Flag_of_the_Bey_of_Tunis.svg.png","HDFlag":"https://upload.wikimedia.org/wikipedia/commons/thumb/5/51/Flag_of_the_Bey_of_Tunis.svg/2400px-Flag_of_the_Bey_of_Tunis.svg.png","type":"Historical", "describe": "\nA 7 horizontal striped banner with 4 red strips, 2 golden and 1 green with 31 6–pointed stars, 24 discs and a 2 pointed sword in the center.", "isnew": ".", "links": "https://en.m.wikipedia.org/wiki/List_of_Tunisian_flags"},</v>
      </c>
      <c r="HN5" s="74" t="str">
        <f>"{"&amp;CHAR(34)&amp;"couname"&amp;CHAR(34)&amp;":"&amp;CT5&amp;(IF(H5&lt;&gt;"",","&amp;CHAR(34)&amp;"subtype"&amp;CHAR(34)&amp;":"&amp;CHAR(34)&amp;H5&amp;CHAR(34),""))&amp;","&amp;CHAR(34)&amp;"year"&amp;CHAR(34)&amp;":"&amp;HJ5&amp;","&amp;CHAR(34)&amp;"region"&amp;CHAR(34)&amp;":"&amp;CU5&amp;","&amp;CHAR(34)&amp;"Colors"&amp;CHAR(34)&amp;":"&amp;HC5&amp;","&amp;CHAR(34)&amp;"Items"&amp;CHAR(34)&amp;":"&amp;GS5&amp;","&amp;CHAR(34)&amp;"Flag"&amp;CHAR(34)&amp;":"&amp;CV5&amp;","&amp;CHAR(34)&amp;"HDFlag"&amp;CHAR(34)&amp;":"&amp;CHAR(34)&amp;E5&amp;CHAR(34)&amp;","&amp;CHAR(34)&amp;"type"&amp;CHAR(34)&amp;":"&amp;GP5&amp;", "&amp;CHAR(34)&amp;"describe"&amp;CHAR(34)&amp;": "&amp;HI5&amp;", "&amp;CHAR(34)&amp;"isnew"&amp;CHAR(34)&amp;": "&amp;CHAR(34)&amp;F5&amp;CHAR(34)&amp;", "&amp;CHAR(34)&amp;"links"&amp;CHAR(34)&amp;": "&amp;HL5&amp;"},"</f>
        <v>{"couname":"[TUN] Bey of Tunis (1827-1881)","subtype":"[TUN] Other","year":"1827","region":"rgn_Africa","Colors":["cl_BLA","cl_GRE","cl_RED","cl_YEL","cl_WHI"],"Items":["5+Colo","words2","words3","lets20","startB","with_y","year18","4+Band","Horizo","Vertic","Circle","Weapon","Center","staRED","staRED","NO_BLU","001RED","002GRE","003RED","myrEQ","histor","HasSta","3+Star"],"Flag":"https://upload.wikimedia.org/wikipedia/commons/thumb/5/51/Flag_of_the_Bey_of_Tunis.svg/640px-Flag_of_the_Bey_of_Tunis.svg.png","HDFlag":"https://upload.wikimedia.org/wikipedia/commons/thumb/5/51/Flag_of_the_Bey_of_Tunis.svg/2400px-Flag_of_the_Bey_of_Tunis.svg.png","type":"Historical", "describe": "\nA 7 horizontal striped banner with 4 red strips, 2 golden and 1 green with 31 6–pointed stars, 24 discs and a 2 pointed sword in the center.", "isnew": ".", "links": "https://en.m.wikipedia.org/wiki/List_of_Tunisian_flags"},</v>
      </c>
      <c r="HO5" s="75">
        <v>45644</v>
      </c>
      <c r="HP5" s="48" t="str" cm="1">
        <f t="array" ref="HP5">IF(_xlfn.TEXTJOIN(", ", TRUE, IF(ISNUMBER(SEARCH("BLA", BL5:BT5)), COLUMN(BL5:BT5) - COLUMN(BL5) + 1, ""))&lt;&gt;"","BLA","")</f>
        <v>BLA</v>
      </c>
      <c r="HQ5" s="48" t="str" cm="1">
        <f t="array" ref="HQ5">IF(_xlfn.TEXTJOIN(", ", TRUE, IF(ISNUMBER(SEARCH("BLU", BL5:BT5)), COLUMN(BL5:BT5) - COLUMN(BL5) + 1, ""))&lt;&gt;"","BLU","")</f>
        <v/>
      </c>
      <c r="HR5" s="48" t="str" cm="1">
        <f t="array" ref="HR5">IF(_xlfn.TEXTJOIN(", ", TRUE, IF(ISNUMBER(SEARCH("GRE", BL5:BT5)), COLUMN(BL5:BT5) - COLUMN(BL5) + 1, ""))&lt;&gt;"","GRE","")</f>
        <v>GRE</v>
      </c>
      <c r="HS5" s="48" t="str" cm="1">
        <f t="array" ref="HS5">IF(_xlfn.TEXTJOIN(", ", TRUE, IF(ISNUMBER(SEARCH("RED", BL5:BT5)), COLUMN(BL5:BT5) - COLUMN(BL5) + 1, ""))&lt;&gt;"","RED","")</f>
        <v>RED</v>
      </c>
      <c r="HT5" s="48" t="str" cm="1">
        <f t="array" ref="HT5">IF(_xlfn.TEXTJOIN(", ", TRUE, IF(ISNUMBER(SEARCH("YEL", BL5:BT5)), COLUMN(BL5:BT5) - COLUMN(BL5) + 1, ""))&lt;&gt;"","YEL","")</f>
        <v>YEL</v>
      </c>
      <c r="HU5" s="48" t="str" cm="1">
        <f t="array" ref="HU5">IF(_xlfn.TEXTJOIN(", ", TRUE, IF(ISNUMBER(SEARCH("ORA", BL5:BT5)), COLUMN(BL5:BT5) - COLUMN(BL5) + 1, ""))&lt;&gt;"","ORA","")</f>
        <v/>
      </c>
      <c r="HV5" s="48" t="str" cm="1">
        <f t="array" ref="HV5">IF(_xlfn.TEXTJOIN(", ", TRUE, IF(ISNUMBER(SEARCH("BRO", BL5:BT5)), COLUMN(BL5:BT5) - COLUMN(BL5) + 1, ""))&lt;&gt;"","BRO","")</f>
        <v/>
      </c>
      <c r="HW5" s="48" t="str" cm="1">
        <f t="array" ref="HW5">IF(_xlfn.TEXTJOIN(", ", TRUE, IF(ISNUMBER(SEARCH("PUR", BL5:BT5)), COLUMN(BL5:BT5) - COLUMN(BL5) + 1, ""))&lt;&gt;"","PUR","")</f>
        <v/>
      </c>
      <c r="HX5" s="48" t="str" cm="1">
        <f t="array" ref="HX5">IF(_xlfn.TEXTJOIN(", ", TRUE, IF(ISNUMBER(SEARCH("WHI", BL5:BT5)), COLUMN(BL5:BT5) - COLUMN(BL5) + 1, ""))&lt;&gt;"","WHI","")</f>
        <v>WHI</v>
      </c>
      <c r="HY5" s="76"/>
      <c r="HZ5" s="76"/>
      <c r="IA5" s="6"/>
      <c r="IB5" s="6"/>
      <c r="IC5" s="77"/>
      <c r="ID5" s="77"/>
      <c r="IE5" s="77"/>
      <c r="IF5" s="77"/>
      <c r="IG5" s="77"/>
      <c r="IH5" s="77"/>
      <c r="II5" s="77"/>
      <c r="IJ5" s="77"/>
      <c r="IK5" s="77"/>
      <c r="IM5" s="45">
        <f>COUNTIF(IC5:IK5,"&gt;0")-CG5</f>
        <v>-5</v>
      </c>
      <c r="IN5" s="78" t="str">
        <f>"http://mkweb.bcgsc.ca/color-summarizer/?url="&amp;D5&amp;"&amp;precision=low&amp;num_clusters="&amp;CG5&amp;"&amp;text=1"</f>
        <v>http://mkweb.bcgsc.ca/color-summarizer/?url=https://upload.wikimedia.org/wikipedia/commons/thumb/5/51/Flag_of_the_Bey_of_Tunis.svg/640px-Flag_of_the_Bey_of_Tunis.svg.png&amp;precision=low&amp;num_clusters=5&amp;text=1</v>
      </c>
      <c r="IO5" s="48" t="str">
        <f>IF(HP5&lt;&gt;"",CHAR(34)&amp;"black"&amp;CHAR(34),"")</f>
        <v>"black"</v>
      </c>
      <c r="IP5" s="48" t="str">
        <f>IF(HQ5&lt;&gt;"",CHAR(34)&amp;"blue"&amp;CHAR(34),"")</f>
        <v/>
      </c>
      <c r="IQ5" s="48" t="str">
        <f>IF(HR5&lt;&gt;"",CHAR(34)&amp;"green"&amp;CHAR(34),"")</f>
        <v>"green"</v>
      </c>
      <c r="IR5" s="48" t="str">
        <f>IF(HS5&lt;&gt;"",CHAR(34)&amp;"red"&amp;CHAR(34),"")</f>
        <v>"red"</v>
      </c>
      <c r="IS5" s="48" t="str">
        <f>IF(HT5&lt;&gt;"",CHAR(34)&amp;"yellow"&amp;CHAR(34),"")</f>
        <v>"yellow"</v>
      </c>
      <c r="IT5" s="48" t="str">
        <f>IF(HU5&lt;&gt;"",CHAR(34)&amp;"orange"&amp;CHAR(34),"")</f>
        <v/>
      </c>
      <c r="IU5" s="48" t="str">
        <f>IF(HV5&lt;&gt;"",CHAR(34)&amp;"brown"&amp;CHAR(34),"")</f>
        <v/>
      </c>
      <c r="IV5" s="48" t="str">
        <f>IF(HW5&lt;&gt;"",CHAR(34)&amp;"purple"&amp;CHAR(34),"")</f>
        <v/>
      </c>
      <c r="IW5" s="48" t="str">
        <f>IF(HX5&lt;&gt;"",CHAR(34)&amp;"white"&amp;CHAR(34),"")</f>
        <v>"white"</v>
      </c>
      <c r="IX5" s="48" t="str">
        <f>"{"&amp;CHAR(34)&amp;"url"&amp;CHAR(34)&amp;":"&amp;CHAR(34)&amp;IN5&amp;CHAR(34)&amp;","&amp;CHAR(34)&amp;"name"&amp;CHAR(34)&amp;":"&amp;CHAR(34)&amp;A5&amp;CHAR(34)&amp;"},"</f>
        <v>{"url":"http://mkweb.bcgsc.ca/color-summarizer/?url=https://upload.wikimedia.org/wikipedia/commons/thumb/5/51/Flag_of_the_Bey_of_Tunis.svg/640px-Flag_of_the_Bey_of_Tunis.svg.png&amp;precision=low&amp;num_clusters=5&amp;text=1","name":"[TUN] Bey of Tunis (1827-1881)"},</v>
      </c>
      <c r="IY5" s="48">
        <v>1503</v>
      </c>
    </row>
    <row r="6" spans="1:259" s="48" customFormat="1" ht="38.4" customHeight="1" thickBot="1" x14ac:dyDescent="0.35">
      <c r="A6" s="80" t="s">
        <v>1059</v>
      </c>
      <c r="B6" s="40" t="e" vm="130">
        <v>#VALUE!</v>
      </c>
      <c r="C6" s="41" t="s">
        <v>173</v>
      </c>
      <c r="D6" s="42" t="s">
        <v>1060</v>
      </c>
      <c r="E6" s="43" t="s">
        <v>1061</v>
      </c>
      <c r="F6" s="44" t="s">
        <v>163</v>
      </c>
      <c r="G6" s="45">
        <f>COUNTIF($A$1:$A$8335,A6)</f>
        <v>1</v>
      </c>
      <c r="H6" s="46" t="s">
        <v>1079</v>
      </c>
      <c r="I6" s="47" t="s">
        <v>1057</v>
      </c>
      <c r="J6" s="48" t="str">
        <f>""</f>
        <v/>
      </c>
      <c r="K6" s="49"/>
      <c r="L6" s="50"/>
      <c r="M6" s="50"/>
      <c r="N6" s="51" t="s">
        <v>180</v>
      </c>
      <c r="O6" s="52">
        <v>1705</v>
      </c>
      <c r="P6" s="53" t="s">
        <v>1062</v>
      </c>
      <c r="Q6" s="54">
        <v>3</v>
      </c>
      <c r="R6" s="55" t="s">
        <v>180</v>
      </c>
      <c r="S6" s="56">
        <v>5</v>
      </c>
      <c r="T6" s="57" t="s">
        <v>164</v>
      </c>
      <c r="U6" s="58" t="s">
        <v>164</v>
      </c>
      <c r="V6" s="58" t="s">
        <v>167</v>
      </c>
      <c r="W6" s="58" t="s">
        <v>164</v>
      </c>
      <c r="X6" s="58" t="s">
        <v>164</v>
      </c>
      <c r="Y6" s="58" t="s">
        <v>164</v>
      </c>
      <c r="Z6" s="58" t="s">
        <v>164</v>
      </c>
      <c r="AA6" s="58" t="s">
        <v>164</v>
      </c>
      <c r="AB6" s="58" t="s">
        <v>164</v>
      </c>
      <c r="AC6" s="58" t="s">
        <v>164</v>
      </c>
      <c r="AD6" s="58" t="s">
        <v>164</v>
      </c>
      <c r="AE6" s="58" t="s">
        <v>164</v>
      </c>
      <c r="AF6" s="59" t="s">
        <v>164</v>
      </c>
      <c r="AG6" s="59" t="s">
        <v>167</v>
      </c>
      <c r="AH6" s="59" t="s">
        <v>164</v>
      </c>
      <c r="AI6" s="59" t="s">
        <v>164</v>
      </c>
      <c r="AJ6" s="59" t="s">
        <v>164</v>
      </c>
      <c r="AK6" s="59" t="s">
        <v>167</v>
      </c>
      <c r="AL6" s="59" t="s">
        <v>164</v>
      </c>
      <c r="AM6" s="59" t="s">
        <v>164</v>
      </c>
      <c r="AN6" s="59" t="s">
        <v>164</v>
      </c>
      <c r="AO6" s="59" t="s">
        <v>164</v>
      </c>
      <c r="AP6" s="59" t="s">
        <v>164</v>
      </c>
      <c r="AQ6" s="59" t="s">
        <v>164</v>
      </c>
      <c r="AR6" s="59" t="s">
        <v>164</v>
      </c>
      <c r="AS6" s="59" t="s">
        <v>164</v>
      </c>
      <c r="AT6" s="60">
        <v>0</v>
      </c>
      <c r="AU6" s="59" t="s">
        <v>174</v>
      </c>
      <c r="AV6" s="59" t="str">
        <f>IF(LEFT(A6,1)="[",LEFT(A6,5)&amp;AU6&amp;A6,"")</f>
        <v>[TUN]Historical[TUN] Ottoman Tunisia (1705-1827)</v>
      </c>
      <c r="AW6" s="59" t="str">
        <f>C6&amp;H6&amp;A6</f>
        <v>3b[TUN] Other[TUN] Ottoman Tunisia (1705-1827)</v>
      </c>
      <c r="AX6" s="61"/>
      <c r="AY6" s="61"/>
      <c r="AZ6" s="62" t="s">
        <v>172</v>
      </c>
      <c r="BA6" s="62" t="s">
        <v>172</v>
      </c>
      <c r="BB6" s="62"/>
      <c r="BC6" s="63"/>
      <c r="BD6" s="64" t="s">
        <v>154</v>
      </c>
      <c r="BE6" s="47"/>
      <c r="BF6" s="64" t="s">
        <v>152</v>
      </c>
      <c r="BG6" s="64" t="s">
        <v>153</v>
      </c>
      <c r="BH6" s="64" t="s">
        <v>152</v>
      </c>
      <c r="BI6" s="64"/>
      <c r="BJ6" s="64"/>
      <c r="BK6" s="47"/>
      <c r="BL6" s="64" t="s">
        <v>172</v>
      </c>
      <c r="BM6" s="64" t="s">
        <v>152</v>
      </c>
      <c r="BN6" s="64" t="s">
        <v>153</v>
      </c>
      <c r="BO6" s="64" t="s">
        <v>154</v>
      </c>
      <c r="BP6" s="64" t="s">
        <v>172</v>
      </c>
      <c r="BQ6" s="64" t="s">
        <v>172</v>
      </c>
      <c r="BR6" s="64" t="s">
        <v>172</v>
      </c>
      <c r="BS6" s="64" t="s">
        <v>172</v>
      </c>
      <c r="BT6" s="64" t="s">
        <v>172</v>
      </c>
      <c r="BU6" s="65"/>
      <c r="BV6" s="66"/>
      <c r="BW6" s="66">
        <v>0</v>
      </c>
      <c r="BX6" s="47"/>
      <c r="CB6" s="6"/>
      <c r="CC6" s="6"/>
      <c r="CD6" s="67">
        <v>0</v>
      </c>
      <c r="CE6" s="67">
        <v>0</v>
      </c>
      <c r="CF6" s="67" t="e">
        <v>#REF!</v>
      </c>
      <c r="CG6" s="68" cm="1">
        <f t="array" ref="CG6">SUMPRODUCT(--(LEN(TRIM(BL6:BT6))&gt;0))</f>
        <v>3</v>
      </c>
      <c r="CH6" s="59" t="str">
        <f>IF(CG6=2,"y","n")</f>
        <v>n</v>
      </c>
      <c r="CI6" s="59" t="str">
        <f>IF(CG6=3,"y","n")</f>
        <v>y</v>
      </c>
      <c r="CJ6" s="59" t="str">
        <f>IF(CG6=4,"y","n")</f>
        <v>n</v>
      </c>
      <c r="CK6" s="59" t="str">
        <f>IF(CG6&gt;4,"y","n")</f>
        <v>n</v>
      </c>
      <c r="CL6" s="59" t="str">
        <f>IF(S6=0,"y","n")</f>
        <v>n</v>
      </c>
      <c r="CM6" s="59" t="str">
        <f>IF(S6=2,"y","n")</f>
        <v>n</v>
      </c>
      <c r="CN6" s="59" t="str">
        <f>IF(S6=3,"y","n")</f>
        <v>n</v>
      </c>
      <c r="CO6" s="59" t="str">
        <f>IF(S6&gt;=4,"y","n")</f>
        <v>y</v>
      </c>
      <c r="CP6" s="59" t="str">
        <f>IF(AT6=0,"y","n")</f>
        <v>y</v>
      </c>
      <c r="CQ6" s="59" t="str">
        <f>IF(AT6=1,"y","n")</f>
        <v>n</v>
      </c>
      <c r="CR6" s="59" t="str">
        <f>IF(AT6=2,"y","n")</f>
        <v>n</v>
      </c>
      <c r="CS6" s="59" t="str">
        <f>IF(AT6&gt;=3,"y","n")</f>
        <v>n</v>
      </c>
      <c r="CT6" s="69" t="str">
        <f>CHAR(34)&amp;A6&amp;CHAR(34)</f>
        <v>"[TUN] Ottoman Tunisia (1705-1827)"</v>
      </c>
      <c r="CU6" s="70" t="str">
        <f>CHAR(34)&amp;"rgn_"&amp;R6&amp;CHAR(34)</f>
        <v>"rgn_Africa"</v>
      </c>
      <c r="CV6" s="48" t="str">
        <f>CHAR(34)&amp;D6&amp;CHAR(34)</f>
        <v>"https://upload.wikimedia.org/wikipedia/commons/thumb/b/bf/Tunisian_flag_till_1831.svg/640px-Tunisian_flag_till_1831.svg.png"</v>
      </c>
      <c r="CW6" s="48" t="str">
        <f>IF(CH6="y",CHAR(34)&amp;CH$1&amp;CHAR(34)&amp;",","")</f>
        <v/>
      </c>
      <c r="CX6" s="48" t="str">
        <f>IF(CI6="y",CHAR(34)&amp;CI$1&amp;CHAR(34)&amp;",","")</f>
        <v>"3Color",</v>
      </c>
      <c r="CY6" s="48" t="str">
        <f>IF(CJ6="y",CHAR(34)&amp;CJ$1&amp;CHAR(34)&amp;",","")</f>
        <v/>
      </c>
      <c r="CZ6" s="48" t="str">
        <f>IF(CK6="y",CHAR(34)&amp;CK$1&amp;CHAR(34)&amp;",","")</f>
        <v/>
      </c>
      <c r="DA6" s="48" t="str">
        <f>IF(Q6&gt;1,CHAR(34)&amp;"words2"&amp;CHAR(34)&amp;",","")</f>
        <v>"words2",</v>
      </c>
      <c r="DB6" s="48" t="str">
        <f>IF(Q6&gt;2,CHAR(34)&amp;"words3"&amp;CHAR(34)&amp;",","")</f>
        <v>"words3",</v>
      </c>
      <c r="DD6" s="48" t="str">
        <f>IF(LEN(CHAR(34)&amp;"lets"&amp;LEN(SUBSTITUTE(SUBSTITUTE(IFERROR(TRIM(SUBSTITUTE(A6,MID(A6,FIND("[",A6),FIND("]",A6)-FIND("[",A6)+1),"")),A6)," ",""),"-",""))&amp;CHAR(34)&amp;",")=9,CHAR(34)&amp;"lets"&amp;LEN(SUBSTITUTE(SUBSTITUTE(IFERROR(TRIM(SUBSTITUTE(A6,MID(A6,FIND("[",A6),FIND("]",A6)-FIND("[",A6)+1),"")),A6)," ",""),"-",""))&amp;CHAR(34)&amp;",",CHAR(34)&amp;"lets0"&amp;LEN(SUBSTITUTE(SUBSTITUTE(IFERROR(TRIM(SUBSTITUTE(A6,MID(A6,FIND("[",A6),FIND("]",A6)-FIND("[",A6)+1),"")),A6)," ",""),"-",""))&amp;CHAR(34)&amp;",")</f>
        <v>"lets24",</v>
      </c>
      <c r="DE6" s="48" t="str">
        <f>CHAR(34)&amp;"start"&amp;IFERROR(LEFT(SUBSTITUTE(A6,"["&amp;MID(A6,FIND("[",A6)+1,FIND("]",A6)-FIND("[",A6)-1)&amp;"] ",""),1),LEFT(A6,1))&amp;CHAR(34)&amp;","</f>
        <v>"startO",</v>
      </c>
      <c r="DF6" s="48" t="str">
        <f>IFERROR(IF(SEARCH("tan",A6)&gt;0,CHAR(34)&amp;"withtn"&amp;CHAR(34)&amp;",",""),"")</f>
        <v/>
      </c>
      <c r="DG6" s="48" t="str">
        <f>IFERROR(IF(SEARCH("q",A6)&gt;0,CHAR(34)&amp;"with_q"&amp;CHAR(34)&amp;",",""),"")</f>
        <v/>
      </c>
      <c r="DH6" s="48" t="str">
        <f>IFERROR(IF(SEARCH("v",A6)&gt;0,CHAR(34)&amp;"with_v"&amp;CHAR(34)&amp;",",""),"")</f>
        <v/>
      </c>
      <c r="DI6" s="48" t="str">
        <f>IFERROR(IF(SEARCH("w",A6)&gt;0,CHAR(34)&amp;"with_w"&amp;CHAR(34)&amp;",",""),"")</f>
        <v/>
      </c>
      <c r="DJ6" s="48" t="str">
        <f>IFERROR(IF(SEARCH("y",A6)&gt;0,CHAR(34)&amp;"with_y"&amp;CHAR(34)&amp;",",""),"")</f>
        <v/>
      </c>
      <c r="DK6" s="48" t="str">
        <f>IFERROR(IF(SEARCH("z",A6)&gt;0,CHAR(34)&amp;"with_z"&amp;CHAR(34)&amp;",",""),"")</f>
        <v/>
      </c>
      <c r="DL6" s="48" t="str">
        <f>IF(CG6=2, CHAR(34) &amp; _xlfn.TEXTJOIN("", TRUE, _xlfn._xlws.SORT(HP6:HX6)) &amp; CHAR(34) &amp; ",", "")</f>
        <v/>
      </c>
      <c r="DM6" s="48" t="str" cm="1">
        <f t="array" ref="DM6">IF(CG6=3,CHAR(34) &amp; _xlfn.TEXTJOIN("", TRUE, RIGHT(HP6:HX6, 2)) &amp; CHAR(34) &amp; ",", "")</f>
        <v>"LUREED",</v>
      </c>
      <c r="DN6" s="48" t="str">
        <f>IF(AND(ISNUMBER(SEARCH("18", O6)), ISERROR(SEARCH("1918", O6)), ISERROR(SEARCH("2018", O6))), CHAR(34) &amp; "year18" &amp; CHAR(34) &amp; ",", "")</f>
        <v/>
      </c>
      <c r="DO6" s="48" t="str">
        <f>IF(AND(ISNUMBER(SEARCH("19", O6)), ISERROR(SEARCH("1819", O6)),  ISERROR(SEARCH("1219", O6)),ISERROR(SEARCH("1119", O6)),ISERROR(SEARCH("1190", O6)),ISERROR(SEARCH("2019", O6))), CHAR(34) &amp; "year19" &amp; CHAR(34) &amp; ",", "")</f>
        <v/>
      </c>
      <c r="DP6" s="6" t="str">
        <f>IF(AND(ISNUMBER(SEARCH("20", O6)), ISERROR(SEARCH("1920", O6))), CHAR(34)&amp;"year00"&amp;CHAR(34)&amp;",", "")</f>
        <v/>
      </c>
      <c r="DQ6" s="6" t="str">
        <f>IF(CC6="y",CHAR(34)&amp;"soviet"&amp;CHAR(34)&amp;",","")</f>
        <v/>
      </c>
      <c r="DR6" s="6" t="str">
        <f>IF(BY6="y",CHAR(34)&amp;"dgband"&amp;CHAR(34)&amp;",","")</f>
        <v/>
      </c>
      <c r="DS6" s="6" t="str">
        <f>IF(W6="y",IF(AND(V6="n",BY6&lt;&gt;"y"),CHAR(34)&amp;"allver"&amp;CHAR(34)&amp;",",""),"")</f>
        <v/>
      </c>
      <c r="DT6" s="6" t="str">
        <f>IF(V6="y",IF(AND(W6="n",BY6&lt;&gt;"y"),CHAR(34)&amp;"allhor"&amp;CHAR(34)&amp;",",""),"")</f>
        <v>"allhor",</v>
      </c>
      <c r="DU6" s="6" t="str">
        <f>IF(BY6="y",IF(AND(W6="n",V6="n"),CHAR(34)&amp;"alldia"&amp;CHAR(34)&amp;",",""),"")</f>
        <v/>
      </c>
      <c r="DW6" s="48" t="str">
        <f>IF(CL6="y",CHAR(34)&amp;CL$1&amp;CHAR(34)&amp;",","")</f>
        <v/>
      </c>
      <c r="DX6" s="48" t="str">
        <f>IF(CM6="y",CHAR(34)&amp;CM$1&amp;CHAR(34)&amp;",","")</f>
        <v/>
      </c>
      <c r="DY6" s="48" t="str">
        <f>IF(CN6="y",CHAR(34)&amp;CN$1&amp;CHAR(34)&amp;",","")</f>
        <v/>
      </c>
      <c r="DZ6" s="48" t="str">
        <f>IF(CO6="y",CHAR(34)&amp;CO$1&amp;CHAR(34)&amp;",","")</f>
        <v>"4+Band",</v>
      </c>
      <c r="EA6" s="48" t="str">
        <f>IF(T6="y",CHAR(34)&amp;T$1&amp;CHAR(34)&amp;",","")</f>
        <v/>
      </c>
      <c r="EB6" s="48" t="str">
        <f>IF(U6="y",CHAR(34)&amp;U$1&amp;CHAR(34)&amp;",","")</f>
        <v/>
      </c>
      <c r="EC6" s="48" t="str">
        <f>IF(V6="y",CHAR(34)&amp;V$1&amp;CHAR(34)&amp;",","")</f>
        <v>"Horizo",</v>
      </c>
      <c r="ED6" s="48" t="str">
        <f>IF(W6="y",CHAR(34)&amp;W$1&amp;CHAR(34)&amp;",","")</f>
        <v/>
      </c>
      <c r="EE6" s="48" t="str">
        <f>IF(X6="y",CHAR(34)&amp;X$1&amp;CHAR(34)&amp;",","")</f>
        <v/>
      </c>
      <c r="EF6" s="48" t="str">
        <f>IF(AND(Y6&lt;&gt;"n",Y6&lt;&gt;""),CHAR(34)&amp;Y$1&amp;CHAR(34)&amp;",","")</f>
        <v/>
      </c>
      <c r="EG6" s="48" t="str">
        <f>IF(Z6="y",CHAR(34)&amp;Z$1&amp;CHAR(34)&amp;",","")</f>
        <v/>
      </c>
      <c r="EH6" s="48" t="str">
        <f>IF(AA6="y",CHAR(34)&amp;AA$1&amp;CHAR(34)&amp;",","")</f>
        <v/>
      </c>
      <c r="EI6" s="48" t="str">
        <f>IF(AB6="y",CHAR(34)&amp;AB$1&amp;CHAR(34)&amp;",","")</f>
        <v/>
      </c>
      <c r="EJ6" s="48" t="str">
        <f>IF(AC6="y",CHAR(34)&amp;AC$1&amp;CHAR(34)&amp;",","")</f>
        <v/>
      </c>
      <c r="EK6" s="48" t="str">
        <f>IF(AD6="y",CHAR(34)&amp;AD$1&amp;CHAR(34)&amp;",","")</f>
        <v/>
      </c>
      <c r="EL6" s="48" t="str">
        <f>IF(AE6="y",CHAR(34)&amp;AE$1&amp;CHAR(34)&amp;",","")</f>
        <v/>
      </c>
      <c r="EM6" s="48" t="str">
        <f>IF(AF6="y",CHAR(34)&amp;AF$1&amp;CHAR(34)&amp;",","")</f>
        <v/>
      </c>
      <c r="EN6" s="48" t="str">
        <f>IF(AG6="y",CHAR(34)&amp;AG$1&amp;CHAR(34)&amp;",","")</f>
        <v>"Unequa",</v>
      </c>
      <c r="EO6" s="48" t="str">
        <f>IF(AH6="y",CHAR(34)&amp;AH$1&amp;CHAR(34)&amp;",","")</f>
        <v/>
      </c>
      <c r="EP6" s="48" t="str">
        <f>IF(AI6="y",CHAR(34)&amp;AI$1&amp;CHAR(34)&amp;",","")</f>
        <v/>
      </c>
      <c r="EQ6" s="48" t="str">
        <f>IF(AJ6="y",CHAR(34)&amp;AJ$1&amp;CHAR(34)&amp;",","")</f>
        <v/>
      </c>
      <c r="ER6" s="48" t="str">
        <f>IF(AK6="y",CHAR(34)&amp;AK$1&amp;CHAR(34)&amp;",","")</f>
        <v>"OnlyBa",</v>
      </c>
      <c r="ES6" s="48" t="str">
        <f>IF(AL6="y",CHAR(34)&amp;AL$1&amp;CHAR(34)&amp;",","")</f>
        <v/>
      </c>
      <c r="ET6" s="48" t="str">
        <f>IF(AM6="y",CHAR(34)&amp;AM$1&amp;CHAR(34)&amp;",","")</f>
        <v/>
      </c>
      <c r="EU6" s="48" t="str">
        <f>IF(AN6="y",CHAR(34)&amp;AN$1&amp;CHAR(34)&amp;",","")</f>
        <v/>
      </c>
      <c r="EV6" s="48" t="str">
        <f>IF(AO6="y",CHAR(34)&amp;AO$1&amp;CHAR(34)&amp;",","")</f>
        <v/>
      </c>
      <c r="EW6" s="48" t="str">
        <f>IF(AP6="y",CHAR(34)&amp;AP$1&amp;CHAR(34)&amp;",","")</f>
        <v/>
      </c>
      <c r="EX6" s="48" t="str">
        <f>IF(AQ6="y",CHAR(34)&amp;AQ$1&amp;CHAR(34)&amp;",","")</f>
        <v/>
      </c>
      <c r="EY6" s="48" t="str">
        <f>IF(AR6="y",CHAR(34)&amp;AR$1&amp;CHAR(34)&amp;",","")</f>
        <v/>
      </c>
      <c r="EZ6" s="48" t="str">
        <f>IF(AS6="y",CHAR(34)&amp;AS$1&amp;CHAR(34)&amp;",","")</f>
        <v/>
      </c>
      <c r="FA6" s="48" t="str">
        <f>IF(AT6&gt;0,CHAR(34)&amp;"sta"&amp;AZ6&amp;CHAR(34)&amp;",","")</f>
        <v/>
      </c>
      <c r="FB6" s="48" t="str">
        <f>IF(AND(AT6&gt;0,BA6&lt;&gt;""),CHAR(34)&amp;"sta"&amp;BA6&amp;CHAR(34)&amp;",","")</f>
        <v/>
      </c>
      <c r="FD6" s="48" t="str">
        <f>IF(BV6="n",CHAR(34)&amp;"tcWHYE"&amp;CHAR(34)&amp;",",IF(BV6="y",CHAR(34)&amp;FD$1&amp;CHAR(34)&amp;",",""))</f>
        <v/>
      </c>
      <c r="FE6" s="48" t="str">
        <f>IF(COUNTIF(BL6:BT6,"BLU")=0,CHAR(34)&amp;"NO_BLU"&amp;CHAR(34)&amp;",", "")</f>
        <v/>
      </c>
      <c r="FF6" s="48" t="str">
        <f>IF(COUNTIF(BL6:BT6,"WHI")=0,CHAR(34)&amp;"NO_WHI"&amp;CHAR(34)&amp;",", "")</f>
        <v>"NO_WHI",</v>
      </c>
      <c r="FG6" s="48" t="str">
        <f>IF(COUNTIF(BL6:BT6,"RED")=0,CHAR(34)&amp;"NO_RED"&amp;CHAR(34)&amp;",", "")</f>
        <v/>
      </c>
      <c r="FH6" s="48" t="str">
        <f>IF(COUNTIF(BL6:BS6,"GRE")=0,CHAR(34)&amp;"NO_GRE"&amp;CHAR(34)&amp;",", "")</f>
        <v/>
      </c>
      <c r="FI6" s="48" t="str">
        <f>IF(COUNTIF(BL6:BT6,"YEL")=0,CHAR(34)&amp;"NO_YEL"&amp;CHAR(34)&amp;",", "")</f>
        <v>"NO_YEL",</v>
      </c>
      <c r="FJ6" s="48" t="str">
        <f>IF(COUNTIF(BL6:BT6,"BLA")=0,CHAR(34)&amp;"NO_BLA"&amp;CHAR(34)&amp;",", "")</f>
        <v>"NO_BLA",</v>
      </c>
      <c r="FK6" s="48" t="str">
        <f>IF(AND(FH6&lt;&gt;"",FF6&lt;&gt;""),CHAR(34)&amp;"WHGRNO"&amp;CHAR(34)&amp;",","")</f>
        <v/>
      </c>
      <c r="FL6" s="48" t="str">
        <f>IF(AND(FI6&lt;&gt;"",FF6&lt;&gt;""),CHAR(34)&amp;"WHYENO"&amp;CHAR(34)&amp;",","")</f>
        <v>"WHYENO",</v>
      </c>
      <c r="FM6" s="48" t="str">
        <f>IF(AND(FJ6&lt;&gt;"",FF6&lt;&gt;""),CHAR(34)&amp;"BAWHNO"&amp;CHAR(34)&amp;",","")</f>
        <v>"BAWHNO",</v>
      </c>
      <c r="FN6" s="48" t="str">
        <f>IF(AND(FE6&lt;&gt;"",FF6&lt;&gt;""),CHAR(34)&amp;"BLWHNO"&amp;CHAR(34)&amp;",","")</f>
        <v/>
      </c>
      <c r="FO6" s="48" t="str">
        <f>IF(AND(FE6&lt;&gt;"",FG6&lt;&gt;""),CHAR(34)&amp;"BLRENO"&amp;CHAR(34)&amp;",","")</f>
        <v/>
      </c>
      <c r="FP6" s="48" t="str">
        <f>IF(AND(FF6&lt;&gt;"",FF6&lt;&gt;""),CHAR(34)&amp;"WHRENO"&amp;CHAR(34)&amp;",","")</f>
        <v>"WHRENO",</v>
      </c>
      <c r="FQ6" s="48" t="str">
        <f>IF(LEN(BF6)=3,CHAR(34)&amp;"001"&amp;BF6&amp;CHAR(34)&amp;",","")</f>
        <v>"001BLU",</v>
      </c>
      <c r="FR6" s="48" t="str">
        <f>IF(LEN(BG6)=3,CHAR(34)&amp;"002"&amp;BG6&amp;CHAR(34)&amp;",","")</f>
        <v>"002GRE",</v>
      </c>
      <c r="FS6" s="48" t="str">
        <f>IF(LEN(BH6)=3,CHAR(34)&amp;"003"&amp;BH6&amp;CHAR(34)&amp;",","")</f>
        <v>"003BLU",</v>
      </c>
      <c r="FT6" s="48" t="str">
        <f>CHAR(34)&amp;"myr"&amp;BD6&amp;CHAR(34)&amp;","</f>
        <v>"myrRED",</v>
      </c>
      <c r="FU6" s="48" t="str">
        <f>IF(AY6="y",CHAR(34)&amp;"island"&amp;CHAR(34)&amp;",","")</f>
        <v/>
      </c>
      <c r="FV6" s="48" t="str">
        <f>IF(BZ6="y",CHAR(34)&amp;"landlo"&amp;CHAR(34)&amp;",","")</f>
        <v/>
      </c>
      <c r="FW6" s="48" t="str">
        <f>IF(CA6="y",CHAR(34)&amp;"eunion"&amp;CHAR(34)&amp;",","")</f>
        <v/>
      </c>
      <c r="FY6" s="48" t="str">
        <f>IFERROR(IF(SEARCH("Arabic",CB6)&gt;0,CHAR(34)&amp;"arabic"&amp;CHAR(34)&amp;",",""),"")</f>
        <v/>
      </c>
      <c r="FZ6" s="48" t="str">
        <f>IFERROR(IF(SEARCH("English",CB6)&gt;0,CHAR(34)&amp;"englis"&amp;CHAR(34)&amp;",",""),"")</f>
        <v/>
      </c>
      <c r="GA6" s="48" t="str">
        <f>IFERROR(IF(SEARCH("French",CB6)&gt;0,CHAR(34)&amp;"french"&amp;CHAR(34)&amp;",",""),"")</f>
        <v/>
      </c>
      <c r="GB6" s="48" t="str">
        <f>IFERROR(IF(SEARCH("Spanish",CB6)&gt;0,CHAR(34)&amp;"spanis"&amp;CHAR(34)&amp;",",""),"")</f>
        <v/>
      </c>
      <c r="GE6" s="48" t="str">
        <f>IFERROR(IF(SEARCH("Dutch",CB6)&gt;0,CHAR(34)&amp;"dutchs"&amp;CHAR(34)&amp;",",""),"")</f>
        <v/>
      </c>
      <c r="GF6" s="48" t="str">
        <f>IFERROR(IF(SEARCH("Historical",AU6)&gt;0,CHAR(34)&amp;"histor"&amp;CHAR(34)&amp;",",""),"")</f>
        <v>"histor",</v>
      </c>
      <c r="GG6" s="48" t="str">
        <f>IF(BU6="y",CHAR(34)&amp;"unjack"&amp;CHAR(34)&amp;",","")</f>
        <v/>
      </c>
      <c r="GH6" s="48" t="str">
        <f>IF(CD6=1,CHAR(34)&amp;"southc"&amp;CHAR(34)&amp;",","")</f>
        <v/>
      </c>
      <c r="GI6" s="48" t="str">
        <f>IF(CE6=1,CHAR(34)&amp;"hasmap"&amp;CHAR(34)&amp;",","")</f>
        <v/>
      </c>
      <c r="GJ6" s="48" t="str">
        <f>IF(CP6="y",CHAR(34)&amp;CP$1&amp;CHAR(34)&amp;",","")</f>
        <v>"NoStar",</v>
      </c>
      <c r="GK6" s="48" t="str">
        <f>IF(GJ6="",CHAR(34)&amp;"HasSta"&amp;CHAR(34)&amp;",","")</f>
        <v/>
      </c>
      <c r="GL6" s="48" t="str">
        <f>IF(CQ6="y",CHAR(34)&amp;CQ$1&amp;CHAR(34)&amp;",","")</f>
        <v/>
      </c>
      <c r="GM6" s="48" t="str">
        <f>IF(CR6="y",CHAR(34)&amp;CR$1&amp;CHAR(34)&amp;",","")</f>
        <v/>
      </c>
      <c r="GN6" s="48" t="str">
        <f>IF(CS6="y",CHAR(34)&amp;CS$1&amp;CHAR(34)&amp;",","")</f>
        <v/>
      </c>
      <c r="GP6" s="48" t="str">
        <f>CHAR(34)&amp;AU6&amp;CHAR(34)</f>
        <v>"Historical"</v>
      </c>
      <c r="GS6" s="48" t="str">
        <f>SUBSTITUTE("["&amp;_xlfn.CONCAT(CW6:GN6)&amp;"]",",]","]")</f>
        <v>["3Color","words2","words3","lets24","startO","LUREED","allhor","4+Band","Horizo","Unequa","OnlyBa","NO_WHI","NO_YEL","NO_BLA","WHYENO","BAWHNO","WHRENO","001BLU","002GRE","003BLU","myrRED","histor","NoStar"]</v>
      </c>
      <c r="GT6" s="48" t="str">
        <f>IF(BL6&lt;&gt;"",CHAR(34)&amp;"cl_"&amp;BL6&amp;CHAR(34)&amp;",","")</f>
        <v/>
      </c>
      <c r="GU6" s="48" t="str">
        <f>IF(BM6&lt;&gt;"",CHAR(34)&amp;"cl_"&amp;BM6&amp;CHAR(34)&amp;",","")</f>
        <v>"cl_BLU",</v>
      </c>
      <c r="GV6" s="48" t="str">
        <f>IF(BN6&lt;&gt;"",CHAR(34)&amp;"cl_"&amp;BN6&amp;CHAR(34)&amp;",","")</f>
        <v>"cl_GRE",</v>
      </c>
      <c r="GW6" s="48" t="str">
        <f>IF(BO6&lt;&gt;"",CHAR(34)&amp;"cl_"&amp;BO6&amp;CHAR(34)&amp;",","")</f>
        <v>"cl_RED",</v>
      </c>
      <c r="GX6" s="48" t="str">
        <f>IF(BP6&lt;&gt;"",CHAR(34)&amp;"cl_"&amp;BP6&amp;CHAR(34)&amp;",","")</f>
        <v/>
      </c>
      <c r="GY6" s="48" t="str">
        <f>IF(BQ6&lt;&gt;"",CHAR(34)&amp;"cl_"&amp;BQ6&amp;CHAR(34)&amp;",","")</f>
        <v/>
      </c>
      <c r="GZ6" s="48" t="str">
        <f>IF(BR6&lt;&gt;"",CHAR(34)&amp;"cl_"&amp;BR6&amp;CHAR(34)&amp;",","")</f>
        <v/>
      </c>
      <c r="HA6" s="48" t="str">
        <f>IF(BS6&lt;&gt;"",CHAR(34)&amp;"cl_"&amp;BS6&amp;CHAR(34)&amp;",","")</f>
        <v/>
      </c>
      <c r="HB6" s="48" t="str">
        <f>IF(BT6&lt;&gt;"",CHAR(34)&amp;"cl_"&amp;BT6&amp;CHAR(34)&amp;",","")</f>
        <v/>
      </c>
      <c r="HC6" s="48" t="str">
        <f>SUBSTITUTE("["&amp;_xlfn.CONCAT(GT6:HB6)&amp;"]",",]","]")</f>
        <v>["cl_BLU","cl_GRE","cl_RED"]</v>
      </c>
      <c r="HE6" s="71"/>
      <c r="HF6" s="72" t="str">
        <f>"{couname:"&amp;CT6&amp;(IF(HK6&lt;&gt;"",",subtype:"&amp;CHAR(34)&amp;HK6&amp;CHAR(34),""))&amp;",year:"&amp;HJ6&amp;",region:"&amp;CU6&amp;",Colors:"&amp;HC6&amp;",Items:"&amp;GS6&amp;",Flag:"&amp;CV6&amp;",HDFlag:"&amp;CHAR(34)&amp;E6&amp;CHAR(34)&amp;",type:"&amp;GP6&amp;", describe: "&amp;HH6&amp;", isnew:"&amp;CHAR(34)&amp;F6&amp;CHAR(34)&amp;", links: "&amp;HL6&amp;"},"</f>
        <v>{couname:"[TUN] Ottoman Tunisia (1705-1827)",year:"1705",region:"rgn_Africa",Colors:["cl_BLU","cl_GRE","cl_RED"],Items:["3Color","words2","words3","lets24","startO","LUREED","allhor","4+Band","Horizo","Unequa","OnlyBa","NO_WHI","NO_YEL","NO_BLA","WHYENO","BAWHNO","WHRENO","001BLU","002GRE","003BLU","myrRED","histor","NoStar"],Flag:"https://upload.wikimedia.org/wikipedia/commons/thumb/b/bf/Tunisian_flag_till_1831.svg/640px-Tunisian_flag_till_1831.svg.png",HDFlag:"https://upload.wikimedia.org/wikipedia/commons/thumb/b/bf/Tunisian_flag_till_1831.svg/1280px-Tunisian_flag_till_1831.svg.png",type:"Historical", describe: "\nA 5 horizontal striped banner with 2 blue strip, 2 red and 1 green. The right edge of the flag is partially scalloped.", isnew:".", links: "https://en.m.wikipedia.org/wiki/List_of_Tunisian_flags"},</v>
      </c>
      <c r="HG6" s="73" t="str">
        <f>"{couname:"&amp;CT6&amp;(IF(HK6&lt;&gt;"",",subtype:"&amp;CHAR(34)&amp;HK6&amp;CHAR(34),""))&amp;",year:"&amp;HJ6&amp;",region:"&amp;CU6&amp;",Colors:"&amp;HC6&amp;",Items:"&amp;GS6&amp;",Flag:"&amp;CV6&amp;",HDFlag:"&amp;CHAR(34)&amp;E6&amp;CHAR(34)&amp;",type:"&amp;GP6&amp;", describe: "&amp;HI6&amp;", links: "&amp;HL6&amp;"},"</f>
        <v>{couname:"[TUN] Ottoman Tunisia (1705-1827)",year:"1705",region:"rgn_Africa",Colors:["cl_BLU","cl_GRE","cl_RED"],Items:["3Color","words2","words3","lets24","startO","LUREED","allhor","4+Band","Horizo","Unequa","OnlyBa","NO_WHI","NO_YEL","NO_BLA","WHYENO","BAWHNO","WHRENO","001BLU","002GRE","003BLU","myrRED","histor","NoStar"],Flag:"https://upload.wikimedia.org/wikipedia/commons/thumb/b/bf/Tunisian_flag_till_1831.svg/640px-Tunisian_flag_till_1831.svg.png",HDFlag:"https://upload.wikimedia.org/wikipedia/commons/thumb/b/bf/Tunisian_flag_till_1831.svg/1280px-Tunisian_flag_till_1831.svg.png",type:"Historical", describe: "\nA 5 horizontal striped banner with 2 blue strip, 2 red and 1 green. The right edge of the flag is partially scalloped.", links: "https://en.m.wikipedia.org/wiki/List_of_Tunisian_flags"},</v>
      </c>
      <c r="HH6" s="48" t="str">
        <f>IF(P6&lt;&gt;"",CHAR(34)&amp;"\n"&amp;P6&amp;CHAR(34),CHAR(34)&amp;CHAR(34))</f>
        <v>"\nA 5 horizontal striped banner with 2 blue strip, 2 red and 1 green. The right edge of the flag is partially scalloped."</v>
      </c>
      <c r="HI6" s="48" t="str">
        <f>IF(J6=0,CHAR(34)&amp;CHAR(34),HH6)</f>
        <v>"\nA 5 horizontal striped banner with 2 blue strip, 2 red and 1 green. The right edge of the flag is partially scalloped."</v>
      </c>
      <c r="HJ6" s="48" t="str">
        <f>CHAR(34)&amp;O6&amp;CHAR(34)</f>
        <v>"1705"</v>
      </c>
      <c r="HL6" s="48" t="str">
        <f>CHAR(34)&amp;I6&amp;CHAR(34)</f>
        <v>"https://en.m.wikipedia.org/wiki/List_of_Tunisian_flags"</v>
      </c>
      <c r="HM6" s="72" t="str">
        <f>"{"&amp;CHAR(34)&amp;"couname"&amp;CHAR(34)&amp;":"&amp;CT6&amp;(IF(H6&lt;&gt;"",","&amp;CHAR(34)&amp;"subtype"&amp;CHAR(34)&amp;":"&amp;CHAR(34)&amp;H6&amp;CHAR(34),""))&amp;","&amp;CHAR(34)&amp;"year"&amp;CHAR(34)&amp;":"&amp;HJ6&amp;","&amp;CHAR(34)&amp;"region"&amp;CHAR(34)&amp;":"&amp;CU6&amp;","&amp;CHAR(34)&amp;"Colors"&amp;CHAR(34)&amp;":"&amp;HC6&amp;","&amp;CHAR(34)&amp;"Items"&amp;CHAR(34)&amp;":"&amp;GS6&amp;","&amp;CHAR(34)&amp;"Flag"&amp;CHAR(34)&amp;":"&amp;CV6&amp;","&amp;CHAR(34)&amp;"HDFlag"&amp;CHAR(34)&amp;":"&amp;CHAR(34)&amp;E6&amp;CHAR(34)&amp;","&amp;CHAR(34)&amp;"type"&amp;CHAR(34)&amp;":"&amp;GP6&amp;", "&amp;CHAR(34)&amp;"describe"&amp;CHAR(34)&amp;": "&amp;HH6&amp;", "&amp;CHAR(34)&amp;"isnew"&amp;CHAR(34)&amp;": "&amp;CHAR(34)&amp;F6&amp;CHAR(34)&amp;", "&amp;CHAR(34)&amp;"links"&amp;CHAR(34)&amp;": "&amp;HL6&amp;"},"</f>
        <v>{"couname":"[TUN] Ottoman Tunisia (1705-1827)","subtype":"[TUN] Other","year":"1705","region":"rgn_Africa","Colors":["cl_BLU","cl_GRE","cl_RED"],"Items":["3Color","words2","words3","lets24","startO","LUREED","allhor","4+Band","Horizo","Unequa","OnlyBa","NO_WHI","NO_YEL","NO_BLA","WHYENO","BAWHNO","WHRENO","001BLU","002GRE","003BLU","myrRED","histor","NoStar"],"Flag":"https://upload.wikimedia.org/wikipedia/commons/thumb/b/bf/Tunisian_flag_till_1831.svg/640px-Tunisian_flag_till_1831.svg.png","HDFlag":"https://upload.wikimedia.org/wikipedia/commons/thumb/b/bf/Tunisian_flag_till_1831.svg/1280px-Tunisian_flag_till_1831.svg.png","type":"Historical", "describe": "\nA 5 horizontal striped banner with 2 blue strip, 2 red and 1 green. The right edge of the flag is partially scalloped.", "isnew": ".", "links": "https://en.m.wikipedia.org/wiki/List_of_Tunisian_flags"},</v>
      </c>
      <c r="HN6" s="74" t="str">
        <f>"{"&amp;CHAR(34)&amp;"couname"&amp;CHAR(34)&amp;":"&amp;CT6&amp;(IF(H6&lt;&gt;"",","&amp;CHAR(34)&amp;"subtype"&amp;CHAR(34)&amp;":"&amp;CHAR(34)&amp;H6&amp;CHAR(34),""))&amp;","&amp;CHAR(34)&amp;"year"&amp;CHAR(34)&amp;":"&amp;HJ6&amp;","&amp;CHAR(34)&amp;"region"&amp;CHAR(34)&amp;":"&amp;CU6&amp;","&amp;CHAR(34)&amp;"Colors"&amp;CHAR(34)&amp;":"&amp;HC6&amp;","&amp;CHAR(34)&amp;"Items"&amp;CHAR(34)&amp;":"&amp;GS6&amp;","&amp;CHAR(34)&amp;"Flag"&amp;CHAR(34)&amp;":"&amp;CV6&amp;","&amp;CHAR(34)&amp;"HDFlag"&amp;CHAR(34)&amp;":"&amp;CHAR(34)&amp;E6&amp;CHAR(34)&amp;","&amp;CHAR(34)&amp;"type"&amp;CHAR(34)&amp;":"&amp;GP6&amp;", "&amp;CHAR(34)&amp;"describe"&amp;CHAR(34)&amp;": "&amp;HI6&amp;", "&amp;CHAR(34)&amp;"isnew"&amp;CHAR(34)&amp;": "&amp;CHAR(34)&amp;F6&amp;CHAR(34)&amp;", "&amp;CHAR(34)&amp;"links"&amp;CHAR(34)&amp;": "&amp;HL6&amp;"},"</f>
        <v>{"couname":"[TUN] Ottoman Tunisia (1705-1827)","subtype":"[TUN] Other","year":"1705","region":"rgn_Africa","Colors":["cl_BLU","cl_GRE","cl_RED"],"Items":["3Color","words2","words3","lets24","startO","LUREED","allhor","4+Band","Horizo","Unequa","OnlyBa","NO_WHI","NO_YEL","NO_BLA","WHYENO","BAWHNO","WHRENO","001BLU","002GRE","003BLU","myrRED","histor","NoStar"],"Flag":"https://upload.wikimedia.org/wikipedia/commons/thumb/b/bf/Tunisian_flag_till_1831.svg/640px-Tunisian_flag_till_1831.svg.png","HDFlag":"https://upload.wikimedia.org/wikipedia/commons/thumb/b/bf/Tunisian_flag_till_1831.svg/1280px-Tunisian_flag_till_1831.svg.png","type":"Historical", "describe": "\nA 5 horizontal striped banner with 2 blue strip, 2 red and 1 green. The right edge of the flag is partially scalloped.", "isnew": ".", "links": "https://en.m.wikipedia.org/wiki/List_of_Tunisian_flags"},</v>
      </c>
      <c r="HO6" s="75">
        <v>45644</v>
      </c>
      <c r="HP6" s="48" t="str" cm="1">
        <f t="array" ref="HP6">IF(_xlfn.TEXTJOIN(", ", TRUE, IF(ISNUMBER(SEARCH("BLA", BL6:BT6)), COLUMN(BL6:BT6) - COLUMN(BL6) + 1, ""))&lt;&gt;"","BLA","")</f>
        <v/>
      </c>
      <c r="HQ6" s="48" t="str" cm="1">
        <f t="array" ref="HQ6">IF(_xlfn.TEXTJOIN(", ", TRUE, IF(ISNUMBER(SEARCH("BLU", BL6:BT6)), COLUMN(BL6:BT6) - COLUMN(BL6) + 1, ""))&lt;&gt;"","BLU","")</f>
        <v>BLU</v>
      </c>
      <c r="HR6" s="48" t="str" cm="1">
        <f t="array" ref="HR6">IF(_xlfn.TEXTJOIN(", ", TRUE, IF(ISNUMBER(SEARCH("GRE", BL6:BT6)), COLUMN(BL6:BT6) - COLUMN(BL6) + 1, ""))&lt;&gt;"","GRE","")</f>
        <v>GRE</v>
      </c>
      <c r="HS6" s="48" t="str" cm="1">
        <f t="array" ref="HS6">IF(_xlfn.TEXTJOIN(", ", TRUE, IF(ISNUMBER(SEARCH("RED", BL6:BT6)), COLUMN(BL6:BT6) - COLUMN(BL6) + 1, ""))&lt;&gt;"","RED","")</f>
        <v>RED</v>
      </c>
      <c r="HT6" s="48" t="str" cm="1">
        <f t="array" ref="HT6">IF(_xlfn.TEXTJOIN(", ", TRUE, IF(ISNUMBER(SEARCH("YEL", BL6:BT6)), COLUMN(BL6:BT6) - COLUMN(BL6) + 1, ""))&lt;&gt;"","YEL","")</f>
        <v/>
      </c>
      <c r="HU6" s="48" t="str" cm="1">
        <f t="array" ref="HU6">IF(_xlfn.TEXTJOIN(", ", TRUE, IF(ISNUMBER(SEARCH("ORA", BL6:BT6)), COLUMN(BL6:BT6) - COLUMN(BL6) + 1, ""))&lt;&gt;"","ORA","")</f>
        <v/>
      </c>
      <c r="HV6" s="48" t="str" cm="1">
        <f t="array" ref="HV6">IF(_xlfn.TEXTJOIN(", ", TRUE, IF(ISNUMBER(SEARCH("BRO", BL6:BT6)), COLUMN(BL6:BT6) - COLUMN(BL6) + 1, ""))&lt;&gt;"","BRO","")</f>
        <v/>
      </c>
      <c r="HW6" s="48" t="str" cm="1">
        <f t="array" ref="HW6">IF(_xlfn.TEXTJOIN(", ", TRUE, IF(ISNUMBER(SEARCH("PUR", BL6:BT6)), COLUMN(BL6:BT6) - COLUMN(BL6) + 1, ""))&lt;&gt;"","PUR","")</f>
        <v/>
      </c>
      <c r="HX6" s="48" t="str" cm="1">
        <f t="array" ref="HX6">IF(_xlfn.TEXTJOIN(", ", TRUE, IF(ISNUMBER(SEARCH("WHI", BL6:BT6)), COLUMN(BL6:BT6) - COLUMN(BL6) + 1, ""))&lt;&gt;"","WHI","")</f>
        <v/>
      </c>
      <c r="HY6" s="76"/>
      <c r="HZ6" s="76"/>
      <c r="IA6" s="6"/>
      <c r="IB6" s="6"/>
      <c r="IC6" s="77"/>
      <c r="ID6" s="77"/>
      <c r="IE6" s="77"/>
      <c r="IF6" s="77"/>
      <c r="IG6" s="77"/>
      <c r="IH6" s="77"/>
      <c r="II6" s="77"/>
      <c r="IJ6" s="77"/>
      <c r="IK6" s="77"/>
      <c r="IM6" s="45">
        <f>COUNTIF(IC6:IK6,"&gt;0")-CG6</f>
        <v>-3</v>
      </c>
      <c r="IN6" s="78" t="str">
        <f>"http://mkweb.bcgsc.ca/color-summarizer/?url="&amp;D6&amp;"&amp;precision=low&amp;num_clusters="&amp;CG6&amp;"&amp;text=1"</f>
        <v>http://mkweb.bcgsc.ca/color-summarizer/?url=https://upload.wikimedia.org/wikipedia/commons/thumb/b/bf/Tunisian_flag_till_1831.svg/640px-Tunisian_flag_till_1831.svg.png&amp;precision=low&amp;num_clusters=3&amp;text=1</v>
      </c>
      <c r="IO6" s="48" t="str">
        <f>IF(HP6&lt;&gt;"",CHAR(34)&amp;"black"&amp;CHAR(34),"")</f>
        <v/>
      </c>
      <c r="IP6" s="48" t="str">
        <f>IF(HQ6&lt;&gt;"",CHAR(34)&amp;"blue"&amp;CHAR(34),"")</f>
        <v>"blue"</v>
      </c>
      <c r="IQ6" s="48" t="str">
        <f>IF(HR6&lt;&gt;"",CHAR(34)&amp;"green"&amp;CHAR(34),"")</f>
        <v>"green"</v>
      </c>
      <c r="IR6" s="48" t="str">
        <f>IF(HS6&lt;&gt;"",CHAR(34)&amp;"red"&amp;CHAR(34),"")</f>
        <v>"red"</v>
      </c>
      <c r="IS6" s="48" t="str">
        <f>IF(HT6&lt;&gt;"",CHAR(34)&amp;"yellow"&amp;CHAR(34),"")</f>
        <v/>
      </c>
      <c r="IT6" s="48" t="str">
        <f>IF(HU6&lt;&gt;"",CHAR(34)&amp;"orange"&amp;CHAR(34),"")</f>
        <v/>
      </c>
      <c r="IU6" s="48" t="str">
        <f>IF(HV6&lt;&gt;"",CHAR(34)&amp;"brown"&amp;CHAR(34),"")</f>
        <v/>
      </c>
      <c r="IV6" s="48" t="str">
        <f>IF(HW6&lt;&gt;"",CHAR(34)&amp;"purple"&amp;CHAR(34),"")</f>
        <v/>
      </c>
      <c r="IW6" s="48" t="str">
        <f>IF(HX6&lt;&gt;"",CHAR(34)&amp;"white"&amp;CHAR(34),"")</f>
        <v/>
      </c>
      <c r="IX6" s="48" t="str">
        <f>"{"&amp;CHAR(34)&amp;"url"&amp;CHAR(34)&amp;":"&amp;CHAR(34)&amp;IN6&amp;CHAR(34)&amp;","&amp;CHAR(34)&amp;"name"&amp;CHAR(34)&amp;":"&amp;CHAR(34)&amp;A6&amp;CHAR(34)&amp;"},"</f>
        <v>{"url":"http://mkweb.bcgsc.ca/color-summarizer/?url=https://upload.wikimedia.org/wikipedia/commons/thumb/b/bf/Tunisian_flag_till_1831.svg/640px-Tunisian_flag_till_1831.svg.png&amp;precision=low&amp;num_clusters=3&amp;text=1","name":"[TUN] Ottoman Tunisia (1705-1827)"},</v>
      </c>
      <c r="IY6" s="48">
        <v>1503</v>
      </c>
    </row>
  </sheetData>
  <autoFilter ref="A1:IY1" xr:uid="{A1051193-A95B-4CFB-A73C-F0184620C81F}">
    <sortState xmlns:xlrd2="http://schemas.microsoft.com/office/spreadsheetml/2017/richdata2" ref="A2:IY6">
      <sortCondition ref="AW1"/>
    </sortState>
  </autoFilter>
  <conditionalFormatting sqref="H1 CW1:GS1 IA1:IB1">
    <cfRule type="cellIs" dxfId="634" priority="118" operator="greaterThan">
      <formula>0</formula>
    </cfRule>
  </conditionalFormatting>
  <conditionalFormatting sqref="H1 H7:H1048576">
    <cfRule type="cellIs" dxfId="633" priority="84" stopIfTrue="1" operator="notEqual">
      <formula>""</formula>
    </cfRule>
  </conditionalFormatting>
  <conditionalFormatting sqref="T1:BK1">
    <cfRule type="cellIs" dxfId="632" priority="121" operator="greaterThan">
      <formula>0</formula>
    </cfRule>
  </conditionalFormatting>
  <conditionalFormatting sqref="BV1:BW1 BV7:BW1048576">
    <cfRule type="cellIs" dxfId="631" priority="120" operator="equal">
      <formula>"nc"</formula>
    </cfRule>
  </conditionalFormatting>
  <conditionalFormatting sqref="HF1:HG1">
    <cfRule type="cellIs" dxfId="630" priority="122" operator="greaterThan">
      <formula>0</formula>
    </cfRule>
  </conditionalFormatting>
  <conditionalFormatting sqref="HK1">
    <cfRule type="cellIs" dxfId="629" priority="119" operator="greaterThan">
      <formula>0</formula>
    </cfRule>
  </conditionalFormatting>
  <conditionalFormatting sqref="HP1:HX1">
    <cfRule type="cellIs" dxfId="628" priority="96" operator="equal">
      <formula>"PIN"</formula>
    </cfRule>
    <cfRule type="cellIs" dxfId="627" priority="97" operator="equal">
      <formula>"ORA"</formula>
    </cfRule>
    <cfRule type="cellIs" dxfId="626" priority="98" operator="equal">
      <formula>"GRA"</formula>
    </cfRule>
    <cfRule type="cellIs" dxfId="625" priority="99" operator="equal">
      <formula>"PUR"</formula>
    </cfRule>
    <cfRule type="cellIs" dxfId="624" priority="100" operator="equal">
      <formula>"BRO"</formula>
    </cfRule>
    <cfRule type="cellIs" dxfId="623" priority="101" operator="equal">
      <formula>"YEL"</formula>
    </cfRule>
    <cfRule type="cellIs" dxfId="622" priority="102" operator="equal">
      <formula>"BLU"</formula>
    </cfRule>
    <cfRule type="cellIs" dxfId="621" priority="103" operator="equal">
      <formula>"WHI"</formula>
    </cfRule>
    <cfRule type="cellIs" dxfId="620" priority="104" operator="equal">
      <formula>"GRE"</formula>
    </cfRule>
    <cfRule type="cellIs" dxfId="619" priority="105" operator="equal">
      <formula>"RED"</formula>
    </cfRule>
    <cfRule type="cellIs" dxfId="618" priority="106" operator="equal">
      <formula>"BLA"</formula>
    </cfRule>
  </conditionalFormatting>
  <conditionalFormatting sqref="IC1:IK1">
    <cfRule type="cellIs" dxfId="617" priority="107" operator="equal">
      <formula>"PIN"</formula>
    </cfRule>
    <cfRule type="cellIs" dxfId="616" priority="108" operator="equal">
      <formula>"ORA"</formula>
    </cfRule>
    <cfRule type="cellIs" dxfId="615" priority="109" operator="equal">
      <formula>"GRA"</formula>
    </cfRule>
    <cfRule type="cellIs" dxfId="614" priority="110" operator="equal">
      <formula>"PUR"</formula>
    </cfRule>
    <cfRule type="cellIs" dxfId="613" priority="111" operator="equal">
      <formula>"BRO"</formula>
    </cfRule>
    <cfRule type="cellIs" dxfId="612" priority="112" operator="equal">
      <formula>"YEL"</formula>
    </cfRule>
    <cfRule type="cellIs" dxfId="611" priority="113" operator="equal">
      <formula>"BLU"</formula>
    </cfRule>
    <cfRule type="cellIs" dxfId="610" priority="114" operator="equal">
      <formula>"WHI"</formula>
    </cfRule>
    <cfRule type="cellIs" dxfId="609" priority="115" operator="equal">
      <formula>"GRE"</formula>
    </cfRule>
    <cfRule type="cellIs" dxfId="608" priority="116" operator="equal">
      <formula>"RED"</formula>
    </cfRule>
    <cfRule type="cellIs" dxfId="607" priority="117" operator="equal">
      <formula>"BLA"</formula>
    </cfRule>
  </conditionalFormatting>
  <conditionalFormatting sqref="IO1:IW1">
    <cfRule type="cellIs" dxfId="606" priority="85" operator="equal">
      <formula>"PIN"</formula>
    </cfRule>
    <cfRule type="cellIs" dxfId="605" priority="86" operator="equal">
      <formula>"ORA"</formula>
    </cfRule>
    <cfRule type="cellIs" dxfId="604" priority="87" operator="equal">
      <formula>"GRA"</formula>
    </cfRule>
    <cfRule type="cellIs" dxfId="603" priority="88" operator="equal">
      <formula>"PUR"</formula>
    </cfRule>
    <cfRule type="cellIs" dxfId="602" priority="89" operator="equal">
      <formula>"BRO"</formula>
    </cfRule>
    <cfRule type="cellIs" dxfId="601" priority="90" operator="equal">
      <formula>"YEL"</formula>
    </cfRule>
    <cfRule type="cellIs" dxfId="600" priority="91" operator="equal">
      <formula>"BLU"</formula>
    </cfRule>
    <cfRule type="cellIs" dxfId="599" priority="92" operator="equal">
      <formula>"WHI"</formula>
    </cfRule>
    <cfRule type="cellIs" dxfId="598" priority="93" operator="equal">
      <formula>"GRE"</formula>
    </cfRule>
    <cfRule type="cellIs" dxfId="597" priority="94" operator="equal">
      <formula>"RED"</formula>
    </cfRule>
    <cfRule type="cellIs" dxfId="596" priority="95" operator="equal">
      <formula>"BLA"</formula>
    </cfRule>
  </conditionalFormatting>
  <conditionalFormatting sqref="H3:H6">
    <cfRule type="cellIs" dxfId="595" priority="76" stopIfTrue="1" operator="notEqual">
      <formula>""</formula>
    </cfRule>
  </conditionalFormatting>
  <conditionalFormatting sqref="R3:R6 CU3:CU6">
    <cfRule type="cellIs" dxfId="594" priority="79" operator="greaterThan">
      <formula>0</formula>
    </cfRule>
  </conditionalFormatting>
  <conditionalFormatting sqref="T3:AS6 CH3:CS6">
    <cfRule type="cellIs" dxfId="593" priority="73" stopIfTrue="1" operator="equal">
      <formula>"n"</formula>
    </cfRule>
    <cfRule type="cellIs" dxfId="592" priority="74" stopIfTrue="1" operator="equal">
      <formula>"y"</formula>
    </cfRule>
    <cfRule type="cellIs" dxfId="591" priority="75" operator="greaterThan">
      <formula>0</formula>
    </cfRule>
  </conditionalFormatting>
  <conditionalFormatting sqref="AZ3:BB6">
    <cfRule type="expression" dxfId="590" priority="60">
      <formula>$AT3=0</formula>
    </cfRule>
  </conditionalFormatting>
  <conditionalFormatting sqref="CD3:CF6 BX3:CA6 AZ3:BU6">
    <cfRule type="cellIs" dxfId="589" priority="61" operator="equal">
      <formula>"PIN"</formula>
    </cfRule>
    <cfRule type="cellIs" dxfId="588" priority="62" operator="equal">
      <formula>"ORA"</formula>
    </cfRule>
    <cfRule type="cellIs" dxfId="587" priority="63" operator="equal">
      <formula>"GRA"</formula>
    </cfRule>
    <cfRule type="cellIs" dxfId="586" priority="64" operator="equal">
      <formula>"PUR"</formula>
    </cfRule>
    <cfRule type="cellIs" dxfId="585" priority="65" operator="equal">
      <formula>"BRO"</formula>
    </cfRule>
    <cfRule type="cellIs" dxfId="584" priority="66" operator="equal">
      <formula>"YEL"</formula>
    </cfRule>
    <cfRule type="cellIs" dxfId="583" priority="67" operator="equal">
      <formula>"BLU"</formula>
    </cfRule>
    <cfRule type="cellIs" dxfId="582" priority="68" operator="equal">
      <formula>"WHI"</formula>
    </cfRule>
    <cfRule type="cellIs" dxfId="581" priority="69" operator="equal">
      <formula>"GRE"</formula>
    </cfRule>
    <cfRule type="cellIs" dxfId="580" priority="70" operator="equal">
      <formula>"RED"</formula>
    </cfRule>
    <cfRule type="cellIs" dxfId="579" priority="71" operator="equal">
      <formula>"BLA"</formula>
    </cfRule>
  </conditionalFormatting>
  <conditionalFormatting sqref="BV3:BV6">
    <cfRule type="cellIs" dxfId="578" priority="78" operator="equal">
      <formula>"nc"</formula>
    </cfRule>
  </conditionalFormatting>
  <conditionalFormatting sqref="CD3:CF6 BX3:CA6">
    <cfRule type="cellIs" dxfId="577" priority="77" operator="equal">
      <formula>"y"</formula>
    </cfRule>
  </conditionalFormatting>
  <conditionalFormatting sqref="CD3:CF6 BZ3:CA6">
    <cfRule type="cellIs" dxfId="576" priority="72" operator="greaterThan">
      <formula>0</formula>
    </cfRule>
  </conditionalFormatting>
  <conditionalFormatting sqref="IC3:IK6">
    <cfRule type="expression" dxfId="575" priority="59">
      <formula>$IL3&gt;0</formula>
    </cfRule>
  </conditionalFormatting>
  <conditionalFormatting sqref="IC3:IC6">
    <cfRule type="cellIs" dxfId="574" priority="53" stopIfTrue="1" operator="greaterThan">
      <formula>0</formula>
    </cfRule>
  </conditionalFormatting>
  <conditionalFormatting sqref="ID3:ID6">
    <cfRule type="cellIs" dxfId="573" priority="51" stopIfTrue="1" operator="greaterThan">
      <formula>0</formula>
    </cfRule>
  </conditionalFormatting>
  <conditionalFormatting sqref="II3:II6 IE3:IF6">
    <cfRule type="cellIs" dxfId="572" priority="58" operator="greaterThan">
      <formula>0</formula>
    </cfRule>
  </conditionalFormatting>
  <conditionalFormatting sqref="II3:II6 IF3:IF6">
    <cfRule type="cellIs" dxfId="571" priority="52" stopIfTrue="1" operator="greaterThan">
      <formula>0</formula>
    </cfRule>
  </conditionalFormatting>
  <conditionalFormatting sqref="IG3:IG6">
    <cfRule type="cellIs" dxfId="570" priority="57" operator="greaterThan">
      <formula>0</formula>
    </cfRule>
  </conditionalFormatting>
  <conditionalFormatting sqref="IH3:II6">
    <cfRule type="cellIs" dxfId="569" priority="56" operator="greaterThan">
      <formula>0</formula>
    </cfRule>
  </conditionalFormatting>
  <conditionalFormatting sqref="IJ3:IJ6">
    <cfRule type="cellIs" dxfId="568" priority="55" operator="greaterThan">
      <formula>0</formula>
    </cfRule>
  </conditionalFormatting>
  <conditionalFormatting sqref="IK3:IK6">
    <cfRule type="cellIs" dxfId="567" priority="54" operator="greaterThan">
      <formula>0</formula>
    </cfRule>
  </conditionalFormatting>
  <conditionalFormatting sqref="IF3:IF6">
    <cfRule type="cellIs" dxfId="566" priority="50" stopIfTrue="1" operator="greaterThan">
      <formula>0</formula>
    </cfRule>
  </conditionalFormatting>
  <conditionalFormatting sqref="IM3:IM6">
    <cfRule type="cellIs" dxfId="565" priority="49" operator="equal">
      <formula>0</formula>
    </cfRule>
  </conditionalFormatting>
  <conditionalFormatting sqref="BX3:CA6 CD3:CF6">
    <cfRule type="cellIs" dxfId="564" priority="37" operator="equal">
      <formula>"y"</formula>
    </cfRule>
    <cfRule type="cellIs" dxfId="563" priority="38" operator="equal">
      <formula>"PIN"</formula>
    </cfRule>
    <cfRule type="cellIs" dxfId="562" priority="39" operator="equal">
      <formula>"ORA"</formula>
    </cfRule>
    <cfRule type="cellIs" dxfId="561" priority="40" operator="equal">
      <formula>"GRA"</formula>
    </cfRule>
    <cfRule type="cellIs" dxfId="560" priority="41" operator="equal">
      <formula>"PUR"</formula>
    </cfRule>
    <cfRule type="cellIs" dxfId="559" priority="42" operator="equal">
      <formula>"BRO"</formula>
    </cfRule>
    <cfRule type="cellIs" dxfId="558" priority="43" operator="equal">
      <formula>"YEL"</formula>
    </cfRule>
    <cfRule type="cellIs" dxfId="557" priority="44" operator="equal">
      <formula>"BLU"</formula>
    </cfRule>
    <cfRule type="cellIs" dxfId="556" priority="45" operator="equal">
      <formula>"WHI"</formula>
    </cfRule>
    <cfRule type="cellIs" dxfId="555" priority="46" operator="equal">
      <formula>"GRE"</formula>
    </cfRule>
    <cfRule type="cellIs" dxfId="554" priority="47" operator="equal">
      <formula>"RED"</formula>
    </cfRule>
    <cfRule type="cellIs" dxfId="553" priority="48" operator="equal">
      <formula>"BLA"</formula>
    </cfRule>
  </conditionalFormatting>
  <conditionalFormatting sqref="AT3:AT6">
    <cfRule type="colorScale" priority="80">
      <colorScale>
        <cfvo type="min"/>
        <cfvo type="max"/>
        <color rgb="FFFCFCFF"/>
        <color theme="8" tint="0.39997558519241921"/>
      </colorScale>
    </cfRule>
  </conditionalFormatting>
  <conditionalFormatting sqref="S3:S6">
    <cfRule type="colorScale" priority="81">
      <colorScale>
        <cfvo type="min"/>
        <cfvo type="max"/>
        <color rgb="FFFCFCFF"/>
        <color rgb="FF754BFB"/>
      </colorScale>
    </cfRule>
  </conditionalFormatting>
  <conditionalFormatting sqref="J3:J6">
    <cfRule type="colorScale" priority="82">
      <colorScale>
        <cfvo type="min"/>
        <cfvo type="percentile" val="50"/>
        <cfvo type="max"/>
        <color rgb="FFF8696B"/>
        <color rgb="FFFFEB84"/>
        <color rgb="FF63BE7B"/>
      </colorScale>
    </cfRule>
  </conditionalFormatting>
  <conditionalFormatting sqref="CG3:CG6">
    <cfRule type="colorScale" priority="83">
      <colorScale>
        <cfvo type="min"/>
        <cfvo type="max"/>
        <color rgb="FFFCFCFF"/>
        <color rgb="FF63BE7B"/>
      </colorScale>
    </cfRule>
  </conditionalFormatting>
  <conditionalFormatting sqref="H2">
    <cfRule type="cellIs" dxfId="552" priority="30" stopIfTrue="1" operator="notEqual">
      <formula>""</formula>
    </cfRule>
  </conditionalFormatting>
  <conditionalFormatting sqref="R2 CU2">
    <cfRule type="cellIs" dxfId="551" priority="32" operator="greaterThan">
      <formula>0</formula>
    </cfRule>
  </conditionalFormatting>
  <conditionalFormatting sqref="T2:AS2 CH2:CS2">
    <cfRule type="cellIs" dxfId="550" priority="27" stopIfTrue="1" operator="equal">
      <formula>"n"</formula>
    </cfRule>
    <cfRule type="cellIs" dxfId="549" priority="28" stopIfTrue="1" operator="equal">
      <formula>"y"</formula>
    </cfRule>
    <cfRule type="cellIs" dxfId="548" priority="29" operator="greaterThan">
      <formula>0</formula>
    </cfRule>
  </conditionalFormatting>
  <conditionalFormatting sqref="AZ2:BB2">
    <cfRule type="expression" dxfId="547" priority="14">
      <formula>$AT2=0</formula>
    </cfRule>
  </conditionalFormatting>
  <conditionalFormatting sqref="AZ2:BU2">
    <cfRule type="cellIs" dxfId="546" priority="15" operator="equal">
      <formula>"PIN"</formula>
    </cfRule>
    <cfRule type="cellIs" dxfId="545" priority="16" operator="equal">
      <formula>"ORA"</formula>
    </cfRule>
    <cfRule type="cellIs" dxfId="544" priority="17" operator="equal">
      <formula>"GRA"</formula>
    </cfRule>
    <cfRule type="cellIs" dxfId="543" priority="18" operator="equal">
      <formula>"PUR"</formula>
    </cfRule>
    <cfRule type="cellIs" dxfId="542" priority="19" operator="equal">
      <formula>"BRO"</formula>
    </cfRule>
    <cfRule type="cellIs" dxfId="541" priority="20" operator="equal">
      <formula>"YEL"</formula>
    </cfRule>
    <cfRule type="cellIs" dxfId="540" priority="21" operator="equal">
      <formula>"BLU"</formula>
    </cfRule>
    <cfRule type="cellIs" dxfId="539" priority="22" operator="equal">
      <formula>"WHI"</formula>
    </cfRule>
    <cfRule type="cellIs" dxfId="538" priority="23" operator="equal">
      <formula>"GRE"</formula>
    </cfRule>
    <cfRule type="cellIs" dxfId="537" priority="24" operator="equal">
      <formula>"RED"</formula>
    </cfRule>
    <cfRule type="cellIs" dxfId="536" priority="25" operator="equal">
      <formula>"BLA"</formula>
    </cfRule>
  </conditionalFormatting>
  <conditionalFormatting sqref="BV2">
    <cfRule type="cellIs" dxfId="535" priority="31" operator="equal">
      <formula>"nc"</formula>
    </cfRule>
  </conditionalFormatting>
  <conditionalFormatting sqref="CD2:CF2 BZ2:CA2">
    <cfRule type="cellIs" dxfId="534" priority="26" operator="greaterThan">
      <formula>0</formula>
    </cfRule>
  </conditionalFormatting>
  <conditionalFormatting sqref="IC2:IK2">
    <cfRule type="expression" dxfId="533" priority="13">
      <formula>$IL2&gt;0</formula>
    </cfRule>
  </conditionalFormatting>
  <conditionalFormatting sqref="BX2:CA2 CD2:CF2">
    <cfRule type="cellIs" dxfId="532" priority="1" operator="equal">
      <formula>"y"</formula>
    </cfRule>
    <cfRule type="cellIs" dxfId="531" priority="2" operator="equal">
      <formula>"PIN"</formula>
    </cfRule>
    <cfRule type="cellIs" dxfId="530" priority="3" operator="equal">
      <formula>"ORA"</formula>
    </cfRule>
    <cfRule type="cellIs" dxfId="529" priority="4" operator="equal">
      <formula>"GRA"</formula>
    </cfRule>
    <cfRule type="cellIs" dxfId="528" priority="5" operator="equal">
      <formula>"PUR"</formula>
    </cfRule>
    <cfRule type="cellIs" dxfId="527" priority="6" operator="equal">
      <formula>"BRO"</formula>
    </cfRule>
    <cfRule type="cellIs" dxfId="526" priority="7" operator="equal">
      <formula>"YEL"</formula>
    </cfRule>
    <cfRule type="cellIs" dxfId="525" priority="8" operator="equal">
      <formula>"BLU"</formula>
    </cfRule>
    <cfRule type="cellIs" dxfId="524" priority="9" operator="equal">
      <formula>"WHI"</formula>
    </cfRule>
    <cfRule type="cellIs" dxfId="523" priority="10" operator="equal">
      <formula>"GRE"</formula>
    </cfRule>
    <cfRule type="cellIs" dxfId="522" priority="11" operator="equal">
      <formula>"RED"</formula>
    </cfRule>
    <cfRule type="cellIs" dxfId="521" priority="12" operator="equal">
      <formula>"BLA"</formula>
    </cfRule>
  </conditionalFormatting>
  <conditionalFormatting sqref="J2">
    <cfRule type="colorScale" priority="33">
      <colorScale>
        <cfvo type="min"/>
        <cfvo type="percentile" val="50"/>
        <cfvo type="max"/>
        <color rgb="FFF8696B"/>
        <color rgb="FFFFEB84"/>
        <color rgb="FF63BE7B"/>
      </colorScale>
    </cfRule>
  </conditionalFormatting>
  <conditionalFormatting sqref="S2">
    <cfRule type="colorScale" priority="34">
      <colorScale>
        <cfvo type="min"/>
        <cfvo type="max"/>
        <color rgb="FFFCFCFF"/>
        <color rgb="FF754BFB"/>
      </colorScale>
    </cfRule>
  </conditionalFormatting>
  <conditionalFormatting sqref="AT2">
    <cfRule type="colorScale" priority="35">
      <colorScale>
        <cfvo type="min"/>
        <cfvo type="max"/>
        <color rgb="FFFCFCFF"/>
        <color theme="8" tint="0.39997558519241921"/>
      </colorScale>
    </cfRule>
  </conditionalFormatting>
  <conditionalFormatting sqref="CG2">
    <cfRule type="colorScale" priority="36">
      <colorScale>
        <cfvo type="min"/>
        <cfvo type="max"/>
        <color rgb="FFFCFCFF"/>
        <color rgb="FF63BE7B"/>
      </colorScale>
    </cfRule>
  </conditionalFormatting>
  <hyperlinks>
    <hyperlink ref="A2" r:id="rId1" display="https://fbref.com/en/country/TUN/Tunisia-Football" xr:uid="{2CD9FEFF-BBEB-4076-A127-698399D9A9B4}"/>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11266" r:id="rId6"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11267" r:id="rId7"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A7730-808D-4998-A9F2-A0097675F299}">
  <sheetPr codeName="Sheet23"/>
  <dimension ref="A1:IY6"/>
  <sheetViews>
    <sheetView zoomScale="70" zoomScaleNormal="70" workbookViewId="0">
      <pane xSplit="5" ySplit="1" topLeftCell="F2" activePane="bottomRight" state="frozen"/>
      <selection pane="topRight" activeCell="F1" sqref="F1"/>
      <selection pane="bottomLeft" activeCell="A2" sqref="A2"/>
      <selection pane="bottomRight" activeCell="M3" sqref="M3"/>
    </sheetView>
  </sheetViews>
  <sheetFormatPr defaultRowHeight="38.4" customHeight="1" x14ac:dyDescent="0.3"/>
  <cols>
    <col min="1" max="1" width="52.44140625" style="81" bestFit="1" customWidth="1"/>
    <col min="2" max="2" width="10.109375" style="81" customWidth="1"/>
    <col min="3" max="3" width="7.44140625" style="82" customWidth="1"/>
    <col min="4" max="4" width="4.77734375" style="83" customWidth="1"/>
    <col min="5" max="5" width="4.5546875" style="83" customWidth="1"/>
    <col min="6" max="6" width="5.77734375" style="83" customWidth="1"/>
    <col min="7" max="7" width="7.44140625" style="81" customWidth="1"/>
    <col min="8" max="8" width="11.44140625" style="81" customWidth="1"/>
    <col min="9" max="9" width="10" style="81" customWidth="1"/>
    <col min="10" max="10" width="4.21875" style="81" customWidth="1"/>
    <col min="11" max="11" width="5.6640625" style="83" customWidth="1"/>
    <col min="12" max="12" width="2.88671875" style="83" customWidth="1"/>
    <col min="13" max="13" width="6.44140625" style="83" customWidth="1"/>
    <col min="14" max="14" width="4.5546875" style="83" customWidth="1"/>
    <col min="15" max="15" width="10.5546875" style="84" customWidth="1"/>
    <col min="16" max="16" width="6.88671875" style="83" customWidth="1"/>
    <col min="17" max="17" width="4.77734375" style="83" customWidth="1"/>
    <col min="18" max="18" width="13.109375" style="82" customWidth="1"/>
    <col min="19" max="19" width="6.77734375" style="82" customWidth="1"/>
    <col min="20" max="46" width="8.44140625" style="81" customWidth="1"/>
    <col min="47" max="47" width="24.5546875" style="81" customWidth="1"/>
    <col min="48" max="51" width="16.6640625" style="81" customWidth="1"/>
    <col min="52" max="52" width="6.5546875" style="81" customWidth="1"/>
    <col min="53" max="54" width="5.88671875" style="81" customWidth="1"/>
    <col min="55" max="55" width="1.33203125" style="81" customWidth="1"/>
    <col min="56" max="56" width="7.44140625" style="81" customWidth="1"/>
    <col min="57" max="57" width="2.33203125" style="81" customWidth="1"/>
    <col min="58" max="62" width="6.109375" style="81" customWidth="1"/>
    <col min="63" max="63" width="2.33203125" style="81" customWidth="1"/>
    <col min="64" max="64" width="7" style="81" bestFit="1" customWidth="1"/>
    <col min="65" max="65" width="6.44140625" style="81" bestFit="1" customWidth="1"/>
    <col min="66" max="66" width="7.109375" style="81" bestFit="1" customWidth="1"/>
    <col min="67" max="71" width="6.44140625" style="81" bestFit="1" customWidth="1"/>
    <col min="72" max="73" width="6.44140625" style="81" customWidth="1"/>
    <col min="74" max="75" width="13.44140625" style="81" customWidth="1"/>
    <col min="76" max="84" width="14.6640625" style="81" customWidth="1"/>
    <col min="85" max="85" width="6.44140625" style="81" customWidth="1"/>
    <col min="86" max="87" width="11.6640625" style="81" bestFit="1" customWidth="1"/>
    <col min="88" max="88" width="11.6640625" style="81" customWidth="1"/>
    <col min="89" max="89" width="12.77734375" style="81" bestFit="1" customWidth="1"/>
    <col min="90" max="90" width="16.44140625" style="82" bestFit="1" customWidth="1"/>
    <col min="91" max="92" width="14.88671875" style="82" bestFit="1" customWidth="1"/>
    <col min="93" max="93" width="16" style="82" bestFit="1" customWidth="1"/>
    <col min="94" max="97" width="7.77734375" style="81" customWidth="1"/>
    <col min="98" max="98" width="33.21875" style="81" customWidth="1"/>
    <col min="99" max="99" width="18" style="81" customWidth="1"/>
    <col min="100" max="100" width="75.6640625" style="81" customWidth="1"/>
    <col min="101" max="125" width="33" style="81" customWidth="1"/>
    <col min="126" max="126" width="8.88671875" style="81"/>
    <col min="127" max="128" width="9.44140625" style="81" bestFit="1" customWidth="1"/>
    <col min="129" max="129" width="10.77734375" style="81" bestFit="1" customWidth="1"/>
    <col min="130" max="134" width="10.77734375" style="81" customWidth="1"/>
    <col min="135" max="135" width="10.109375" style="81" bestFit="1" customWidth="1"/>
    <col min="136" max="136" width="7.77734375" style="81" bestFit="1" customWidth="1"/>
    <col min="137" max="137" width="7.77734375" style="81" customWidth="1"/>
    <col min="138" max="138" width="9" style="81" bestFit="1" customWidth="1"/>
    <col min="139" max="139" width="11.33203125" style="81" bestFit="1" customWidth="1"/>
    <col min="140" max="140" width="9.109375" style="81" bestFit="1" customWidth="1"/>
    <col min="141" max="141" width="9" style="81" bestFit="1" customWidth="1"/>
    <col min="142" max="142" width="12" style="81" bestFit="1" customWidth="1"/>
    <col min="143" max="166" width="12" style="81" customWidth="1"/>
    <col min="167" max="167" width="17.21875" style="81" customWidth="1"/>
    <col min="168" max="191" width="12" style="81" customWidth="1"/>
    <col min="192" max="192" width="8.5546875" style="81" bestFit="1" customWidth="1"/>
    <col min="193" max="193" width="8.5546875" style="81" customWidth="1"/>
    <col min="194" max="194" width="7.109375" style="81" bestFit="1" customWidth="1"/>
    <col min="195" max="195" width="7.5546875" style="81" bestFit="1" customWidth="1"/>
    <col min="196" max="196" width="8.5546875" style="81" bestFit="1" customWidth="1"/>
    <col min="197" max="200" width="8.5546875" style="81" customWidth="1"/>
    <col min="201" max="201" width="188.88671875" style="81" customWidth="1"/>
    <col min="202" max="202" width="9.5546875" style="81" bestFit="1" customWidth="1"/>
    <col min="203" max="203" width="10.44140625" style="81" bestFit="1" customWidth="1"/>
    <col min="204" max="204" width="11.109375" style="81" bestFit="1" customWidth="1"/>
    <col min="205" max="205" width="10.44140625" style="81" bestFit="1" customWidth="1"/>
    <col min="206" max="210" width="10.44140625" style="81" customWidth="1"/>
    <col min="211" max="211" width="45.44140625" style="81" customWidth="1"/>
    <col min="212" max="212" width="47.5546875" style="81" bestFit="1" customWidth="1"/>
    <col min="213" max="213" width="9.33203125" style="85" customWidth="1"/>
    <col min="214" max="214" width="119.5546875" style="81" customWidth="1"/>
    <col min="215" max="215" width="69.6640625" style="81" customWidth="1"/>
    <col min="216" max="218" width="8.88671875" style="81"/>
    <col min="219" max="219" width="37.109375" style="81" customWidth="1"/>
    <col min="220" max="220" width="16.33203125" style="81" customWidth="1"/>
    <col min="221" max="222" width="8.88671875" style="81"/>
    <col min="223" max="223" width="10.109375" style="81" bestFit="1" customWidth="1"/>
    <col min="224" max="232" width="10.88671875" style="81" customWidth="1"/>
    <col min="233" max="234" width="30.77734375" style="81" customWidth="1"/>
    <col min="235" max="235" width="5.109375" style="81" customWidth="1"/>
    <col min="236" max="236" width="3" style="81" customWidth="1"/>
    <col min="237" max="245" width="6.77734375" style="86" customWidth="1"/>
    <col min="246" max="247" width="8.88671875" style="81"/>
    <col min="248" max="248" width="61.5546875" style="81" customWidth="1"/>
    <col min="249" max="253" width="8.88671875" style="81"/>
    <col min="254" max="254" width="9" style="81" customWidth="1"/>
    <col min="255" max="16384" width="8.88671875" style="8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1040</v>
      </c>
      <c r="B2" s="40" t="e" vm="131">
        <v>#VALUE!</v>
      </c>
      <c r="C2" s="41">
        <v>1</v>
      </c>
      <c r="D2" s="42" t="s">
        <v>1041</v>
      </c>
      <c r="E2" s="43" t="s">
        <v>1042</v>
      </c>
      <c r="F2" s="44" t="s">
        <v>163</v>
      </c>
      <c r="G2" s="45">
        <f>COUNTIF($A$1:$A$8337,A2)</f>
        <v>1</v>
      </c>
      <c r="H2" s="46"/>
      <c r="I2" s="47" t="s">
        <v>1043</v>
      </c>
      <c r="J2" s="48" t="str">
        <f>""</f>
        <v/>
      </c>
      <c r="K2" s="49">
        <v>67000000</v>
      </c>
      <c r="L2" s="50">
        <v>1808205</v>
      </c>
      <c r="M2" s="50" t="s">
        <v>1053</v>
      </c>
      <c r="N2" s="51" t="s">
        <v>180</v>
      </c>
      <c r="O2" s="52" t="s">
        <v>1044</v>
      </c>
      <c r="P2" s="53" t="s">
        <v>1045</v>
      </c>
      <c r="Q2" s="54">
        <v>1</v>
      </c>
      <c r="R2" s="55" t="s">
        <v>180</v>
      </c>
      <c r="S2" s="56">
        <v>5</v>
      </c>
      <c r="T2" s="57" t="s">
        <v>167</v>
      </c>
      <c r="U2" s="58" t="s">
        <v>164</v>
      </c>
      <c r="V2" s="58" t="s">
        <v>164</v>
      </c>
      <c r="W2" s="58" t="s">
        <v>164</v>
      </c>
      <c r="X2" s="58" t="s">
        <v>164</v>
      </c>
      <c r="Y2" s="58" t="s">
        <v>164</v>
      </c>
      <c r="Z2" s="58" t="s">
        <v>164</v>
      </c>
      <c r="AA2" s="58" t="s">
        <v>164</v>
      </c>
      <c r="AB2" s="58" t="s">
        <v>164</v>
      </c>
      <c r="AC2" s="58" t="s">
        <v>164</v>
      </c>
      <c r="AD2" s="58" t="s">
        <v>164</v>
      </c>
      <c r="AE2" s="58" t="s">
        <v>164</v>
      </c>
      <c r="AF2" s="59" t="s">
        <v>164</v>
      </c>
      <c r="AG2" s="59" t="s">
        <v>167</v>
      </c>
      <c r="AH2" s="59" t="s">
        <v>164</v>
      </c>
      <c r="AI2" s="59" t="s">
        <v>164</v>
      </c>
      <c r="AJ2" s="59" t="s">
        <v>164</v>
      </c>
      <c r="AK2" s="59" t="s">
        <v>167</v>
      </c>
      <c r="AL2" s="59" t="s">
        <v>164</v>
      </c>
      <c r="AM2" s="59" t="s">
        <v>164</v>
      </c>
      <c r="AN2" s="59" t="s">
        <v>164</v>
      </c>
      <c r="AO2" s="59" t="s">
        <v>164</v>
      </c>
      <c r="AP2" s="59" t="s">
        <v>164</v>
      </c>
      <c r="AQ2" s="59" t="s">
        <v>164</v>
      </c>
      <c r="AR2" s="59" t="s">
        <v>164</v>
      </c>
      <c r="AS2" s="59" t="s">
        <v>164</v>
      </c>
      <c r="AT2" s="60">
        <v>0</v>
      </c>
      <c r="AU2" s="59"/>
      <c r="AV2" s="59" t="str">
        <f>IF(LEFT(A2,1)="[",LEFT(A2,5)&amp;AU2&amp;A2,"")</f>
        <v/>
      </c>
      <c r="AW2" s="59" t="str">
        <f t="shared" ref="AW2:AW3" si="0">C2&amp;H2&amp;A2</f>
        <v>1Tanzania</v>
      </c>
      <c r="AX2" s="61" t="str">
        <f>_xlfn.TEXTJOIN(";",TRUE,AU2:AW2)</f>
        <v>1Tanzania</v>
      </c>
      <c r="AY2" s="61"/>
      <c r="AZ2" s="62"/>
      <c r="BA2" s="62"/>
      <c r="BB2" s="62"/>
      <c r="BC2" s="63"/>
      <c r="BD2" s="64" t="s">
        <v>169</v>
      </c>
      <c r="BE2" s="47"/>
      <c r="BF2" s="64" t="s">
        <v>153</v>
      </c>
      <c r="BG2" s="64" t="s">
        <v>151</v>
      </c>
      <c r="BH2" s="64" t="s">
        <v>152</v>
      </c>
      <c r="BI2" s="64"/>
      <c r="BJ2" s="64"/>
      <c r="BK2" s="47"/>
      <c r="BL2" s="64" t="s">
        <v>153</v>
      </c>
      <c r="BM2" s="64" t="s">
        <v>155</v>
      </c>
      <c r="BN2" s="64" t="s">
        <v>151</v>
      </c>
      <c r="BO2" s="64" t="s">
        <v>152</v>
      </c>
      <c r="BP2" s="64"/>
      <c r="BQ2" s="64"/>
      <c r="BR2" s="64"/>
      <c r="BS2" s="64"/>
      <c r="BT2" s="64"/>
      <c r="BU2" s="65"/>
      <c r="BV2" s="66" t="s">
        <v>165</v>
      </c>
      <c r="BW2" s="66">
        <v>0</v>
      </c>
      <c r="BX2" s="47"/>
      <c r="BY2" s="48" t="s">
        <v>167</v>
      </c>
      <c r="CB2" s="6" t="s">
        <v>1046</v>
      </c>
      <c r="CC2" s="6"/>
      <c r="CD2" s="67">
        <v>0</v>
      </c>
      <c r="CE2" s="67">
        <v>0</v>
      </c>
      <c r="CF2" s="67" t="e">
        <v>#REF!</v>
      </c>
      <c r="CG2" s="68" cm="1">
        <f t="array" ref="CG2">SUMPRODUCT(--(LEN(TRIM(BL2:BT2))&gt;0))</f>
        <v>4</v>
      </c>
      <c r="CH2" s="59" t="str">
        <f>IF(CG2=2,"y","n")</f>
        <v>n</v>
      </c>
      <c r="CI2" s="59" t="str">
        <f>IF(CG2=3,"y","n")</f>
        <v>n</v>
      </c>
      <c r="CJ2" s="59" t="str">
        <f>IF(CG2=4,"y","n")</f>
        <v>y</v>
      </c>
      <c r="CK2" s="59" t="str">
        <f>IF(CG2&gt;4,"y","n")</f>
        <v>n</v>
      </c>
      <c r="CL2" s="59" t="str">
        <f>IF(S2=0,"y","n")</f>
        <v>n</v>
      </c>
      <c r="CM2" s="59" t="str">
        <f>IF(S2=2,"y","n")</f>
        <v>n</v>
      </c>
      <c r="CN2" s="59" t="str">
        <f>IF(S2=3,"y","n")</f>
        <v>n</v>
      </c>
      <c r="CO2" s="59" t="str">
        <f>IF(S2&gt;=4,"y","n")</f>
        <v>y</v>
      </c>
      <c r="CP2" s="59" t="str">
        <f>IF(AT2=0,"y","n")</f>
        <v>y</v>
      </c>
      <c r="CQ2" s="59" t="str">
        <f>IF(AT2=1,"y","n")</f>
        <v>n</v>
      </c>
      <c r="CR2" s="59" t="str">
        <f>IF(AT2=2,"y","n")</f>
        <v>n</v>
      </c>
      <c r="CS2" s="59" t="str">
        <f>IF(AT2&gt;=3,"y","n")</f>
        <v>n</v>
      </c>
      <c r="CT2" s="69" t="str">
        <f>CHAR(34)&amp;A2&amp;CHAR(34)</f>
        <v>"Tanzania"</v>
      </c>
      <c r="CU2" s="70" t="str">
        <f>CHAR(34)&amp;"rgn_"&amp;R2&amp;CHAR(34)</f>
        <v>"rgn_Africa"</v>
      </c>
      <c r="CV2" s="48" t="str">
        <f>CHAR(34)&amp;D2&amp;CHAR(34)</f>
        <v>"https://i.ibb.co/G5Sv3wk/Tanzania-Flag.png"</v>
      </c>
      <c r="CW2" s="48" t="str">
        <f>IF(CH2="y",CHAR(34)&amp;CH$1&amp;CHAR(34)&amp;",","")</f>
        <v/>
      </c>
      <c r="CX2" s="48" t="str">
        <f>IF(CI2="y",CHAR(34)&amp;CI$1&amp;CHAR(34)&amp;",","")</f>
        <v/>
      </c>
      <c r="CY2" s="48" t="str">
        <f>IF(CJ2="y",CHAR(34)&amp;CJ$1&amp;CHAR(34)&amp;",","")</f>
        <v>"4Color",</v>
      </c>
      <c r="CZ2" s="48" t="str">
        <f>IF(CK2="y",CHAR(34)&amp;CK$1&amp;CHAR(34)&amp;",","")</f>
        <v/>
      </c>
      <c r="DA2" s="48" t="str">
        <f>IF(Q2&gt;1,CHAR(34)&amp;"words2"&amp;CHAR(34)&amp;",","")</f>
        <v/>
      </c>
      <c r="DB2" s="48" t="str">
        <f>IF(Q2&gt;2,CHAR(34)&amp;"words3"&amp;CHAR(34)&amp;",","")</f>
        <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"lets08",</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"startT",</v>
      </c>
      <c r="DF2" s="48" t="str">
        <f>IFERROR(IF(SEARCH("tan",A2)&gt;0,CHAR(34)&amp;"withtn"&amp;CHAR(34)&amp;",",""),"")</f>
        <v>"withtn",</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"with_z",</v>
      </c>
      <c r="DL2" s="48" t="str">
        <f>IF(CG2=2, CHAR(34) &amp; _xlfn.TEXTJOIN("", TRUE, _xlfn._xlws.SORT(HP2:HX2)) &amp; CHAR(34) &amp; ",", "")</f>
        <v/>
      </c>
      <c r="DM2" s="48" t="str" cm="1">
        <f t="array" ref="DM2">IF(CG2=3,CHAR(34) &amp; _xlfn.TEXTJOIN("", TRUE, RIGHT(HP2:HX2, 2)) &amp; CHAR(34) &amp; ",", "")</f>
        <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"dgband",</v>
      </c>
      <c r="DS2" s="6" t="str">
        <f>IF(W2="y",IF(AND(V2="n",BY2&lt;&gt;"y"),CHAR(34)&amp;"allver"&amp;CHAR(34)&amp;",",""),"")</f>
        <v/>
      </c>
      <c r="DT2" s="6" t="str">
        <f>IF(V2="y",IF(AND(W2="n",BY2&lt;&gt;"y"),CHAR(34)&amp;"allhor"&amp;CHAR(34)&amp;",",""),"")</f>
        <v/>
      </c>
      <c r="DU2" s="6" t="str">
        <f>IF(BY2="y",IF(AND(W2="n",V2="n"),CHAR(34)&amp;"alldia"&amp;CHAR(34)&amp;",",""),"")</f>
        <v>"alldia",</v>
      </c>
      <c r="DV2" s="48" t="str">
        <f>IF(IA2&lt;&gt;"",(IF(IA2="y",CHAR(34)&amp;"largec"&amp;CHAR(34)&amp;",",CHAR(34)&amp;"smallc"&amp;CHAR(34)&amp;",")),"")</f>
        <v/>
      </c>
      <c r="DW2" s="48" t="str">
        <f>IF(CL2="y",CHAR(34)&amp;CL$1&amp;CHAR(34)&amp;",","")</f>
        <v/>
      </c>
      <c r="DX2" s="48" t="str">
        <f>IF(CM2="y",CHAR(34)&amp;CM$1&amp;CHAR(34)&amp;",","")</f>
        <v/>
      </c>
      <c r="DY2" s="48" t="str">
        <f>IF(CN2="y",CHAR(34)&amp;CN$1&amp;CHAR(34)&amp;",","")</f>
        <v/>
      </c>
      <c r="DZ2" s="48" t="str">
        <f>IF(CO2="y",CHAR(34)&amp;CO$1&amp;CHAR(34)&amp;",","")</f>
        <v>"4+Band",</v>
      </c>
      <c r="EA2" s="48" t="str">
        <f>IF(T2="y",CHAR(34)&amp;T$1&amp;CHAR(34)&amp;",","")</f>
        <v>"Diagon",</v>
      </c>
      <c r="EB2" s="48" t="str">
        <f>IF(U2="y",CHAR(34)&amp;U$1&amp;CHAR(34)&amp;",","")</f>
        <v/>
      </c>
      <c r="EC2" s="48" t="str">
        <f>IF(V2="y",CHAR(34)&amp;V$1&amp;CHAR(34)&amp;",","")</f>
        <v/>
      </c>
      <c r="ED2" s="48" t="str">
        <f>IF(W2="y",CHAR(34)&amp;W$1&amp;CHAR(34)&amp;",","")</f>
        <v/>
      </c>
      <c r="EE2" s="48" t="str">
        <f>IF(X2="y",CHAR(34)&amp;X$1&amp;CHAR(34)&amp;",","")</f>
        <v/>
      </c>
      <c r="EF2" s="48" t="str">
        <f>IF(AND(Y2&lt;&gt;"n",Y2&lt;&gt;""),CHAR(34)&amp;Y$1&amp;CHAR(34)&amp;",","")</f>
        <v/>
      </c>
      <c r="EG2" s="48" t="str">
        <f>IF(Z2="y",CHAR(34)&amp;Z$1&amp;CHAR(34)&amp;",","")</f>
        <v/>
      </c>
      <c r="EH2" s="48" t="str">
        <f>IF(AA2="y",CHAR(34)&amp;AA$1&amp;CHAR(34)&amp;",","")</f>
        <v/>
      </c>
      <c r="EI2" s="48" t="str">
        <f>IF(AB2="y",CHAR(34)&amp;AB$1&amp;CHAR(34)&amp;",","")</f>
        <v/>
      </c>
      <c r="EJ2" s="48" t="str">
        <f>IF(AC2="y",CHAR(34)&amp;AC$1&amp;CHAR(34)&amp;",","")</f>
        <v/>
      </c>
      <c r="EK2" s="48" t="str">
        <f>IF(AD2="y",CHAR(34)&amp;AD$1&amp;CHAR(34)&amp;",","")</f>
        <v/>
      </c>
      <c r="EL2" s="48" t="str">
        <f>IF(AE2="y",CHAR(34)&amp;AE$1&amp;CHAR(34)&amp;",","")</f>
        <v/>
      </c>
      <c r="EM2" s="48" t="str">
        <f>IF(AF2="y",CHAR(34)&amp;AF$1&amp;CHAR(34)&amp;",","")</f>
        <v/>
      </c>
      <c r="EN2" s="48" t="str">
        <f>IF(AG2="y",CHAR(34)&amp;AG$1&amp;CHAR(34)&amp;",","")</f>
        <v>"Unequa",</v>
      </c>
      <c r="EO2" s="48" t="str">
        <f>IF(AH2="y",CHAR(34)&amp;AH$1&amp;CHAR(34)&amp;",","")</f>
        <v/>
      </c>
      <c r="EP2" s="48" t="str">
        <f>IF(AI2="y",CHAR(34)&amp;AI$1&amp;CHAR(34)&amp;",","")</f>
        <v/>
      </c>
      <c r="EQ2" s="48" t="str">
        <f>IF(AJ2="y",CHAR(34)&amp;AJ$1&amp;CHAR(34)&amp;",","")</f>
        <v/>
      </c>
      <c r="ER2" s="48" t="str">
        <f>IF(AK2="y",CHAR(34)&amp;AK$1&amp;CHAR(34)&amp;",","")</f>
        <v>"OnlyBa",</v>
      </c>
      <c r="ES2" s="48" t="str">
        <f>IF(AL2="y",CHAR(34)&amp;AL$1&amp;CHAR(34)&amp;",","")</f>
        <v/>
      </c>
      <c r="ET2" s="48" t="str">
        <f>IF(AM2="y",CHAR(34)&amp;AM$1&amp;CHAR(34)&amp;",","")</f>
        <v/>
      </c>
      <c r="EU2" s="48" t="str">
        <f>IF(AN2="y",CHAR(34)&amp;AN$1&amp;CHAR(34)&amp;",","")</f>
        <v/>
      </c>
      <c r="EV2" s="48" t="str">
        <f>IF(AO2="y",CHAR(34)&amp;AO$1&amp;CHAR(34)&amp;",","")</f>
        <v/>
      </c>
      <c r="EW2" s="48" t="str">
        <f>IF(AP2="y",CHAR(34)&amp;AP$1&amp;CHAR(34)&amp;",","")</f>
        <v/>
      </c>
      <c r="EX2" s="48" t="str">
        <f>IF(AQ2="y",CHAR(34)&amp;AQ$1&amp;CHAR(34)&amp;",","")</f>
        <v/>
      </c>
      <c r="EY2" s="48" t="str">
        <f>IF(AR2="y",CHAR(34)&amp;AR$1&amp;CHAR(34)&amp;",","")</f>
        <v/>
      </c>
      <c r="EZ2" s="48" t="str">
        <f>IF(AS2="y",CHAR(34)&amp;AS$1&amp;CHAR(34)&amp;",","")</f>
        <v/>
      </c>
      <c r="FA2" s="48" t="str">
        <f>IF(AT2&gt;0,CHAR(34)&amp;"sta"&amp;AZ2&amp;CHAR(34)&amp;",","")</f>
        <v/>
      </c>
      <c r="FB2" s="48" t="str">
        <f>IF(AND(AT2&gt;0,BA2&lt;&gt;""),CHAR(34)&amp;"sta"&amp;BA2&amp;CHAR(34)&amp;",","")</f>
        <v/>
      </c>
      <c r="FC2" s="48" t="str">
        <f>IF(AND(AT2&gt;0,BB2&lt;&gt;""),CHAR(34)&amp;"sta"&amp;BB2&amp;CHAR(34)&amp;",","")</f>
        <v/>
      </c>
      <c r="FD2" s="48" t="str">
        <f>IF(BV2="n",CHAR(34)&amp;"tcWHYE"&amp;CHAR(34)&amp;",",IF(BV2="y",CHAR(34)&amp;FD$1&amp;CHAR(34)&amp;",",""))</f>
        <v/>
      </c>
      <c r="FE2" s="48" t="str">
        <f>IF(COUNTIF(BL2:BT2,"BLU")=0,CHAR(34)&amp;"NO_BLU"&amp;CHAR(34)&amp;",", "")</f>
        <v/>
      </c>
      <c r="FF2" s="48" t="str">
        <f>IF(COUNTIF(BL2:BT2,"WHI")=0,CHAR(34)&amp;"NO_WHI"&amp;CHAR(34)&amp;",", "")</f>
        <v>"NO_WHI",</v>
      </c>
      <c r="FG2" s="48" t="str">
        <f>IF(COUNTIF(BL2:BT2,"RED")=0,CHAR(34)&amp;"NO_RED"&amp;CHAR(34)&amp;",", "")</f>
        <v>"NO_RED",</v>
      </c>
      <c r="FH2" s="48" t="str">
        <f>IF(COUNTIF(BL2:BS2,"GRE")=0,CHAR(34)&amp;"NO_GRE"&amp;CHAR(34)&amp;",", "")</f>
        <v/>
      </c>
      <c r="FI2" s="48" t="str">
        <f>IF(COUNTIF(BL2:BT2,"YEL")=0,CHAR(34)&amp;"NO_YEL"&amp;CHAR(34)&amp;",", "")</f>
        <v/>
      </c>
      <c r="FJ2" s="48" t="str">
        <f>IF(COUNTIF(BL2:BT2,"BLA")=0,CHAR(34)&amp;"NO_BLA"&amp;CHAR(34)&amp;",", "")</f>
        <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
      </c>
      <c r="FP2" s="48" t="str">
        <f>IF(AND(FF2&lt;&gt;"",FF2&lt;&gt;""),CHAR(34)&amp;"WHRENO"&amp;CHAR(34)&amp;",","")</f>
        <v>"WHRENO",</v>
      </c>
      <c r="FQ2" s="48" t="str">
        <f>IF(LEN(BF2)=3,CHAR(34)&amp;"001"&amp;BF2&amp;CHAR(34)&amp;",","")</f>
        <v>"001GRE",</v>
      </c>
      <c r="FR2" s="48" t="str">
        <f>IF(LEN(BG2)=3,CHAR(34)&amp;"002"&amp;BG2&amp;CHAR(34)&amp;",","")</f>
        <v>"002BLA",</v>
      </c>
      <c r="FS2" s="48" t="str">
        <f>IF(LEN(BH2)=3,CHAR(34)&amp;"003"&amp;BH2&amp;CHAR(34)&amp;",","")</f>
        <v>"003BLU",</v>
      </c>
      <c r="FT2" s="48" t="str">
        <f>CHAR(34)&amp;"myr"&amp;BD2&amp;CHAR(34)&amp;","</f>
        <v>"myrEQ",</v>
      </c>
      <c r="FU2" s="48" t="str">
        <f>IF(AY2="y",CHAR(34)&amp;"island"&amp;CHAR(34)&amp;",","")</f>
        <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"englis",</v>
      </c>
      <c r="GA2" s="48" t="str">
        <f>IFERROR(IF(SEARCH("French",CB2)&gt;0,CHAR(34)&amp;"french"&amp;CHAR(34)&amp;",",""),"")</f>
        <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"NoStar",</v>
      </c>
      <c r="GK2" s="48" t="str">
        <f>IF(GJ2="",CHAR(34)&amp;"HasSta"&amp;CHAR(34)&amp;",","")</f>
        <v/>
      </c>
      <c r="GL2" s="48" t="str">
        <f>IF(CQ2="y",CHAR(34)&amp;CQ$1&amp;CHAR(34)&amp;",","")</f>
        <v/>
      </c>
      <c r="GM2" s="48" t="str">
        <f>IF(CR2="y",CHAR(34)&amp;CR$1&amp;CHAR(34)&amp;",","")</f>
        <v/>
      </c>
      <c r="GN2" s="48" t="str">
        <f>IF(CS2="y",CHAR(34)&amp;CS$1&amp;CHAR(34)&amp;",","")</f>
        <v/>
      </c>
      <c r="GP2" s="48" t="str">
        <f>CHAR(34)&amp;AU2&amp;CHAR(34)</f>
        <v>""</v>
      </c>
      <c r="GS2" s="48" t="str">
        <f>SUBSTITUTE("["&amp;_xlfn.CONCAT(CW2:GN2)&amp;"]",",]","]")</f>
        <v>["4Color","lets08","startT","withtn","with_z","year19","dgband","alldia","4+Band","Diagon","Unequa","OnlyBa","NO_WHI","NO_RED","WHRENO","001GRE","002BLA","003BLU","myrEQ","englis","NoStar"]</v>
      </c>
      <c r="GT2" s="48" t="str">
        <f>IF(BL2&lt;&gt;"",CHAR(34)&amp;"cl_"&amp;BL2&amp;CHAR(34)&amp;",","")</f>
        <v>"cl_GRE",</v>
      </c>
      <c r="GU2" s="48" t="str">
        <f>IF(BM2&lt;&gt;"",CHAR(34)&amp;"cl_"&amp;BM2&amp;CHAR(34)&amp;",","")</f>
        <v>"cl_YEL",</v>
      </c>
      <c r="GV2" s="48" t="str">
        <f>IF(BN2&lt;&gt;"",CHAR(34)&amp;"cl_"&amp;BN2&amp;CHAR(34)&amp;",","")</f>
        <v>"cl_BLA",</v>
      </c>
      <c r="GW2" s="48" t="str">
        <f>IF(BO2&lt;&gt;"",CHAR(34)&amp;"cl_"&amp;BO2&amp;CHAR(34)&amp;",","")</f>
        <v>"cl_BLU",</v>
      </c>
      <c r="GX2" s="48" t="str">
        <f>IF(BP2&lt;&gt;"",CHAR(34)&amp;"cl_"&amp;BP2&amp;CHAR(34)&amp;",","")</f>
        <v/>
      </c>
      <c r="GY2" s="48" t="str">
        <f>IF(BQ2&lt;&gt;"",CHAR(34)&amp;"cl_"&amp;BQ2&amp;CHAR(34)&amp;",","")</f>
        <v/>
      </c>
      <c r="GZ2" s="48" t="str">
        <f>IF(BR2&lt;&gt;"",CHAR(34)&amp;"cl_"&amp;BR2&amp;CHAR(34)&amp;",","")</f>
        <v/>
      </c>
      <c r="HA2" s="48" t="str">
        <f>IF(BS2&lt;&gt;"",CHAR(34)&amp;"cl_"&amp;BS2&amp;CHAR(34)&amp;",","")</f>
        <v/>
      </c>
      <c r="HB2" s="48" t="str">
        <f>IF(BT2&lt;&gt;"",CHAR(34)&amp;"cl_"&amp;BT2&amp;CHAR(34)&amp;",","")</f>
        <v/>
      </c>
      <c r="HC2" s="48" t="str">
        <f>SUBSTITUTE("["&amp;_xlfn.CONCAT(GT2:HB2)&amp;"]",",]","]")</f>
        <v>["cl_GRE","cl_YEL","cl_BLA","cl_BLU"]</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{couname:"Tanzania",year:"1964 ",region:"rgn_Africa",Colors:["cl_GRE","cl_YEL","cl_BLA","cl_BLU"],Items:["4Color","lets08","startT","withtn","with_z","year19","dgband","alldia","4+Band","Diagon","Unequa","OnlyBa","NO_WHI","NO_RED","WHRENO","001GRE","002BLA","003BLU","myrEQ","englis","NoStar"],Flag:"https://i.ibb.co/G5Sv3wk/Tanzania-Flag.png",HDFlag:"https://upload.wikimedia.org/wikipedia/commons/thumb/3/38/Flag_of_Tanzania.svg/2560px-Flag_of_Tanzania.svg.png",type:"", describe: "\nThe green alludes to the natural vegetation and rich agricultural resources of the country, while black represents the Swahili people who are native to Tanzania. The blue epitomizes the Indian Ocean, as well as the nation's numerous lakes and rivers. The thin stripes stand for Tanzania's mineral wealth, derived from the rich deposits in the land.", isnew:".", links: "https://en.wikipedia.org/wiki/Flag_of_Tanzania"},</v>
      </c>
      <c r="HG2" s="73" t="str">
        <f>"{couname:"&amp;CT2&amp;(IF(HK2&lt;&gt;"",",subtype:"&amp;CHAR(34)&amp;HK2&amp;CHAR(34),""))&amp;",year:"&amp;HJ2&amp;",region:"&amp;CU2&amp;",Colors:"&amp;HC2&amp;",Items:"&amp;GS2&amp;",Flag:"&amp;CV2&amp;",HDFlag:"&amp;CHAR(34)&amp;E2&amp;CHAR(34)&amp;",type:"&amp;GP2&amp;", describe: "&amp;HI2&amp;", links: "&amp;HL2&amp;"},"</f>
        <v>{couname:"Tanzania",year:"1964 ",region:"rgn_Africa",Colors:["cl_GRE","cl_YEL","cl_BLA","cl_BLU"],Items:["4Color","lets08","startT","withtn","with_z","year19","dgband","alldia","4+Band","Diagon","Unequa","OnlyBa","NO_WHI","NO_RED","WHRENO","001GRE","002BLA","003BLU","myrEQ","englis","NoStar"],Flag:"https://i.ibb.co/G5Sv3wk/Tanzania-Flag.png",HDFlag:"https://upload.wikimedia.org/wikipedia/commons/thumb/3/38/Flag_of_Tanzania.svg/2560px-Flag_of_Tanzania.svg.png",type:"", describe: "\nThe green alludes to the natural vegetation and rich agricultural resources of the country, while black represents the Swahili people who are native to Tanzania. The blue epitomizes the Indian Ocean, as well as the nation's numerous lakes and rivers. The thin stripes stand for Tanzania's mineral wealth, derived from the rich deposits in the land.", links: "https://en.wikipedia.org/wiki/Flag_of_Tanzania"},</v>
      </c>
      <c r="HH2" s="48" t="str">
        <f>IF(P2&lt;&gt;"",CHAR(34)&amp;"\n"&amp;P2&amp;CHAR(34),CHAR(34)&amp;CHAR(34))</f>
        <v>"\nThe green alludes to the natural vegetation and rich agricultural resources of the country, while black represents the Swahili people who are native to Tanzania. The blue epitomizes the Indian Ocean, as well as the nation's numerous lakes and rivers. The thin stripes stand for Tanzania's mineral wealth, derived from the rich deposits in the land."</v>
      </c>
      <c r="HI2" s="48" t="str">
        <f>IF(J2=0,CHAR(34)&amp;CHAR(34),HH2)</f>
        <v>"\nThe green alludes to the natural vegetation and rich agricultural resources of the country, while black represents the Swahili people who are native to Tanzania. The blue epitomizes the Indian Ocean, as well as the nation's numerous lakes and rivers. The thin stripes stand for Tanzania's mineral wealth, derived from the rich deposits in the land."</v>
      </c>
      <c r="HJ2" s="48" t="str">
        <f>CHAR(34)&amp;O2&amp;CHAR(34)</f>
        <v>"1964 "</v>
      </c>
      <c r="HL2" s="48" t="str">
        <f>CHAR(34)&amp;I2&amp;CHAR(34)</f>
        <v>"https://en.wikipedia.org/wiki/Flag_of_Tanzania"</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{"couname":"Tanzania","year":"1964 ","region":"rgn_Africa","Colors":["cl_GRE","cl_YEL","cl_BLA","cl_BLU"],"Items":["4Color","lets08","startT","withtn","with_z","year19","dgband","alldia","4+Band","Diagon","Unequa","OnlyBa","NO_WHI","NO_RED","WHRENO","001GRE","002BLA","003BLU","myrEQ","englis","NoStar"],"Flag":"https://i.ibb.co/G5Sv3wk/Tanzania-Flag.png","HDFlag":"https://upload.wikimedia.org/wikipedia/commons/thumb/3/38/Flag_of_Tanzania.svg/2560px-Flag_of_Tanzania.svg.png","type":"", "describe": "\nThe green alludes to the natural vegetation and rich agricultural resources of the country, while black represents the Swahili people who are native to Tanzania. The blue epitomizes the Indian Ocean, as well as the nation's numerous lakes and rivers. The thin stripes stand for Tanzania's mineral wealth, derived from the rich deposits in the land.", "isnew": ".", "links": "https://en.wikipedia.org/wiki/Flag_of_Tanzania"},</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{"couname":"Tanzania","year":"1964 ","region":"rgn_Africa","Colors":["cl_GRE","cl_YEL","cl_BLA","cl_BLU"],"Items":["4Color","lets08","startT","withtn","with_z","year19","dgband","alldia","4+Band","Diagon","Unequa","OnlyBa","NO_WHI","NO_RED","WHRENO","001GRE","002BLA","003BLU","myrEQ","englis","NoStar"],"Flag":"https://i.ibb.co/G5Sv3wk/Tanzania-Flag.png","HDFlag":"https://upload.wikimedia.org/wikipedia/commons/thumb/3/38/Flag_of_Tanzania.svg/2560px-Flag_of_Tanzania.svg.png","type":"", "describe": "\nThe green alludes to the natural vegetation and rich agricultural resources of the country, while black represents the Swahili people who are native to Tanzania. The blue epitomizes the Indian Ocean, as well as the nation's numerous lakes and rivers. The thin stripes stand for Tanzania's mineral wealth, derived from the rich deposits in the land.", "isnew": ".", "links": "https://en.wikipedia.org/wiki/Flag_of_Tanzania"},</v>
      </c>
      <c r="HO2" s="75"/>
      <c r="HP2" s="48" t="str" cm="1">
        <f t="array" ref="HP2">IF(_xlfn.TEXTJOIN(", ", TRUE, IF(ISNUMBER(SEARCH("BLA", BL2:BT2)), COLUMN(BL2:BT2) - COLUMN(BL2) + 1, ""))&lt;&gt;"","BLA","")</f>
        <v>BLA</v>
      </c>
      <c r="HQ2" s="48" t="str" cm="1">
        <f t="array" ref="HQ2">IF(_xlfn.TEXTJOIN(", ", TRUE, IF(ISNUMBER(SEARCH("BLU", BL2:BT2)), COLUMN(BL2:BT2) - COLUMN(BL2) + 1, ""))&lt;&gt;"","BLU","")</f>
        <v>BLU</v>
      </c>
      <c r="HR2" s="48" t="str" cm="1">
        <f t="array" ref="HR2">IF(_xlfn.TEXTJOIN(", ", TRUE, IF(ISNUMBER(SEARCH("GRE", BL2:BT2)), COLUMN(BL2:BT2) - COLUMN(BL2) + 1, ""))&lt;&gt;"","GRE","")</f>
        <v>GRE</v>
      </c>
      <c r="HS2" s="48" t="str" cm="1">
        <f t="array" ref="HS2">IF(_xlfn.TEXTJOIN(", ", TRUE, IF(ISNUMBER(SEARCH("RED", BL2:BT2)), COLUMN(BL2:BT2) - COLUMN(BL2) + 1, ""))&lt;&gt;"","RED","")</f>
        <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
      </c>
      <c r="HY2" s="76"/>
      <c r="HZ2" s="76"/>
      <c r="IA2" s="6"/>
      <c r="IB2" s="6"/>
      <c r="IC2" s="77"/>
      <c r="ID2" s="77"/>
      <c r="IE2" s="77"/>
      <c r="IF2" s="77"/>
      <c r="IG2" s="77"/>
      <c r="IH2" s="77"/>
      <c r="II2" s="77"/>
      <c r="IJ2" s="77"/>
      <c r="IK2" s="77"/>
      <c r="IL2" s="48">
        <f>SUM(IC2:IK2)</f>
        <v>0</v>
      </c>
      <c r="IM2" s="45">
        <f>COUNTIF(IC2:IK2,"&gt;0")-CG2</f>
        <v>-4</v>
      </c>
      <c r="IN2" s="78" t="str">
        <f>"http://mkweb.bcgsc.ca/color-summarizer/?url="&amp;D2&amp;"&amp;precision=low&amp;num_clusters="&amp;CG2&amp;"&amp;text=1"</f>
        <v>http://mkweb.bcgsc.ca/color-summarizer/?url=https://i.ibb.co/G5Sv3wk/Tanzania-Flag.png&amp;precision=low&amp;num_clusters=4&amp;text=1</v>
      </c>
      <c r="IO2" s="48" t="str">
        <f>IF(HP2&lt;&gt;"",CHAR(34)&amp;"black"&amp;CHAR(34),"")</f>
        <v>"black"</v>
      </c>
      <c r="IP2" s="48" t="str">
        <f>IF(HQ2&lt;&gt;"",CHAR(34)&amp;"blue"&amp;CHAR(34),"")</f>
        <v>"blue"</v>
      </c>
      <c r="IQ2" s="48" t="str">
        <f>IF(HR2&lt;&gt;"",CHAR(34)&amp;"green"&amp;CHAR(34),"")</f>
        <v>"green"</v>
      </c>
      <c r="IR2" s="48" t="str">
        <f>IF(HS2&lt;&gt;"",CHAR(34)&amp;"red"&amp;CHAR(34),"")</f>
        <v/>
      </c>
      <c r="IS2" s="48" t="str">
        <f>IF(HT2&lt;&gt;"",CHAR(34)&amp;"yellow"&amp;CHAR(34),"")</f>
        <v>"yellow"</v>
      </c>
      <c r="IT2" s="48" t="str">
        <f>IF(HU2&lt;&gt;"",CHAR(34)&amp;"orange"&amp;CHAR(34),"")</f>
        <v/>
      </c>
      <c r="IU2" s="48" t="str">
        <f>IF(HV2&lt;&gt;"",CHAR(34)&amp;"brown"&amp;CHAR(34),"")</f>
        <v/>
      </c>
      <c r="IV2" s="48" t="str">
        <f>IF(HW2&lt;&gt;"",CHAR(34)&amp;"purple"&amp;CHAR(34),"")</f>
        <v/>
      </c>
      <c r="IW2" s="48" t="str">
        <f>IF(HX2&lt;&gt;"",CHAR(34)&amp;"white"&amp;CHAR(34),"")</f>
        <v/>
      </c>
      <c r="IX2" s="48" t="str">
        <f>"{"&amp;CHAR(34)&amp;"url"&amp;CHAR(34)&amp;":"&amp;CHAR(34)&amp;IN2&amp;CHAR(34)&amp;","&amp;CHAR(34)&amp;"name"&amp;CHAR(34)&amp;":"&amp;CHAR(34)&amp;A2&amp;CHAR(34)&amp;"},"</f>
        <v>{"url":"http://mkweb.bcgsc.ca/color-summarizer/?url=https://i.ibb.co/G5Sv3wk/Tanzania-Flag.png&amp;precision=low&amp;num_clusters=4&amp;text=1","name":"Tanzania"},</v>
      </c>
      <c r="IY2" s="48">
        <v>216</v>
      </c>
    </row>
    <row r="3" spans="1:259" s="48" customFormat="1" ht="38.4" customHeight="1" thickBot="1" x14ac:dyDescent="0.35">
      <c r="A3" s="80" t="s">
        <v>1047</v>
      </c>
      <c r="B3" s="40" t="e" vm="132">
        <v>#VALUE!</v>
      </c>
      <c r="C3" s="41" t="s">
        <v>173</v>
      </c>
      <c r="D3" s="42" t="s">
        <v>1048</v>
      </c>
      <c r="E3" s="43" t="s">
        <v>1049</v>
      </c>
      <c r="F3" s="44" t="s">
        <v>163</v>
      </c>
      <c r="G3" s="45">
        <f>COUNTIF($A$1:$A$8336,A3)</f>
        <v>1</v>
      </c>
      <c r="H3" s="46" t="s">
        <v>1052</v>
      </c>
      <c r="I3" s="47" t="s">
        <v>1050</v>
      </c>
      <c r="J3" s="48" t="str">
        <f>""</f>
        <v/>
      </c>
      <c r="K3" s="49"/>
      <c r="L3" s="50"/>
      <c r="M3" s="50"/>
      <c r="N3" s="51" t="s">
        <v>180</v>
      </c>
      <c r="O3" s="52" t="s">
        <v>376</v>
      </c>
      <c r="P3" s="53" t="s">
        <v>1051</v>
      </c>
      <c r="Q3" s="54">
        <v>1</v>
      </c>
      <c r="R3" s="55" t="s">
        <v>180</v>
      </c>
      <c r="S3" s="56">
        <v>5</v>
      </c>
      <c r="T3" s="57" t="s">
        <v>164</v>
      </c>
      <c r="U3" s="58" t="s">
        <v>164</v>
      </c>
      <c r="V3" s="58" t="s">
        <v>167</v>
      </c>
      <c r="W3" s="58" t="s">
        <v>164</v>
      </c>
      <c r="X3" s="58" t="s">
        <v>164</v>
      </c>
      <c r="Y3" s="58" t="s">
        <v>164</v>
      </c>
      <c r="Z3" s="58" t="s">
        <v>164</v>
      </c>
      <c r="AA3" s="58" t="s">
        <v>164</v>
      </c>
      <c r="AB3" s="58" t="s">
        <v>164</v>
      </c>
      <c r="AC3" s="58" t="s">
        <v>164</v>
      </c>
      <c r="AD3" s="58" t="s">
        <v>164</v>
      </c>
      <c r="AE3" s="58" t="s">
        <v>164</v>
      </c>
      <c r="AF3" s="59" t="s">
        <v>164</v>
      </c>
      <c r="AG3" s="59" t="s">
        <v>164</v>
      </c>
      <c r="AH3" s="59" t="s">
        <v>164</v>
      </c>
      <c r="AI3" s="59" t="s">
        <v>164</v>
      </c>
      <c r="AJ3" s="59" t="s">
        <v>164</v>
      </c>
      <c r="AK3" s="59" t="s">
        <v>167</v>
      </c>
      <c r="AL3" s="59" t="s">
        <v>164</v>
      </c>
      <c r="AM3" s="59" t="s">
        <v>164</v>
      </c>
      <c r="AN3" s="59" t="s">
        <v>164</v>
      </c>
      <c r="AO3" s="59" t="s">
        <v>164</v>
      </c>
      <c r="AP3" s="59" t="s">
        <v>164</v>
      </c>
      <c r="AQ3" s="59" t="s">
        <v>164</v>
      </c>
      <c r="AR3" s="59" t="s">
        <v>167</v>
      </c>
      <c r="AS3" s="59" t="s">
        <v>164</v>
      </c>
      <c r="AT3" s="60">
        <v>0</v>
      </c>
      <c r="AU3" s="59" t="s">
        <v>174</v>
      </c>
      <c r="AV3" s="59" t="str">
        <f>IF(LEFT(A3,1)="[",LEFT(A3,5)&amp;AU3&amp;A3,"")</f>
        <v>[TZA]Historical[TZA] Tanganyika (1961-1964)</v>
      </c>
      <c r="AW3" s="59" t="str">
        <f t="shared" si="0"/>
        <v>3b[TZA] Other[TZA] Tanganyika (1961-1964)</v>
      </c>
      <c r="AX3" s="61"/>
      <c r="AY3" s="61"/>
      <c r="AZ3" s="62"/>
      <c r="BA3" s="62"/>
      <c r="BB3" s="62"/>
      <c r="BC3" s="63"/>
      <c r="BD3" s="64" t="s">
        <v>153</v>
      </c>
      <c r="BE3" s="47"/>
      <c r="BF3" s="64" t="s">
        <v>153</v>
      </c>
      <c r="BG3" s="64" t="s">
        <v>151</v>
      </c>
      <c r="BH3" s="64" t="s">
        <v>153</v>
      </c>
      <c r="BI3" s="64" t="s">
        <v>155</v>
      </c>
      <c r="BJ3" s="64"/>
      <c r="BK3" s="47"/>
      <c r="BL3" s="64" t="s">
        <v>153</v>
      </c>
      <c r="BM3" s="64" t="s">
        <v>151</v>
      </c>
      <c r="BN3" s="64" t="s">
        <v>155</v>
      </c>
      <c r="BO3" s="64"/>
      <c r="BP3" s="64"/>
      <c r="BQ3" s="64"/>
      <c r="BR3" s="64"/>
      <c r="BS3" s="64"/>
      <c r="BT3" s="64"/>
      <c r="BU3" s="65"/>
      <c r="BV3" s="66"/>
      <c r="BW3" s="66">
        <v>0</v>
      </c>
      <c r="BX3" s="47"/>
      <c r="CB3" s="6"/>
      <c r="CC3" s="6"/>
      <c r="CD3" s="67">
        <v>0</v>
      </c>
      <c r="CE3" s="67">
        <v>0</v>
      </c>
      <c r="CF3" s="67" t="e">
        <v>#REF!</v>
      </c>
      <c r="CG3" s="68" cm="1">
        <f t="array" ref="CG3">SUMPRODUCT(--(LEN(TRIM(BL3:BT3))&gt;0))</f>
        <v>3</v>
      </c>
      <c r="CH3" s="59" t="str">
        <f>IF(CG3=2,"y","n")</f>
        <v>n</v>
      </c>
      <c r="CI3" s="59" t="str">
        <f>IF(CG3=3,"y","n")</f>
        <v>y</v>
      </c>
      <c r="CJ3" s="59" t="str">
        <f>IF(CG3=4,"y","n")</f>
        <v>n</v>
      </c>
      <c r="CK3" s="59" t="str">
        <f>IF(CG3&gt;4,"y","n")</f>
        <v>n</v>
      </c>
      <c r="CL3" s="59" t="str">
        <f>IF(S3=0,"y","n")</f>
        <v>n</v>
      </c>
      <c r="CM3" s="59" t="str">
        <f>IF(S3=2,"y","n")</f>
        <v>n</v>
      </c>
      <c r="CN3" s="59" t="str">
        <f>IF(S3=3,"y","n")</f>
        <v>n</v>
      </c>
      <c r="CO3" s="59" t="str">
        <f>IF(S3&gt;=4,"y","n")</f>
        <v>y</v>
      </c>
      <c r="CP3" s="59" t="str">
        <f>IF(AT3=0,"y","n")</f>
        <v>y</v>
      </c>
      <c r="CQ3" s="59" t="str">
        <f>IF(AT3=1,"y","n")</f>
        <v>n</v>
      </c>
      <c r="CR3" s="59" t="str">
        <f>IF(AT3=2,"y","n")</f>
        <v>n</v>
      </c>
      <c r="CS3" s="59" t="str">
        <f>IF(AT3&gt;=3,"y","n")</f>
        <v>n</v>
      </c>
      <c r="CT3" s="69" t="str">
        <f>CHAR(34)&amp;A3&amp;CHAR(34)</f>
        <v>"[TZA] Tanganyika (1961-1964)"</v>
      </c>
      <c r="CU3" s="70" t="str">
        <f>CHAR(34)&amp;"rgn_"&amp;R3&amp;CHAR(34)</f>
        <v>"rgn_Africa"</v>
      </c>
      <c r="CV3" s="48" t="str">
        <f>CHAR(34)&amp;D3&amp;CHAR(34)</f>
        <v>"https://upload.wikimedia.org/wikipedia/commons/thumb/1/16/Flag_of_Tanganyika_%281961%E2%80%931964%29.svg/720px-Flag_of_Tanganyika_%281961%E2%80%931964%29.svg.png"</v>
      </c>
      <c r="CW3" s="48" t="str">
        <f>IF(CH3="y",CHAR(34)&amp;CH$1&amp;CHAR(34)&amp;",","")</f>
        <v/>
      </c>
      <c r="CX3" s="48" t="str">
        <f>IF(CI3="y",CHAR(34)&amp;CI$1&amp;CHAR(34)&amp;",","")</f>
        <v>"3Color",</v>
      </c>
      <c r="CY3" s="48" t="str">
        <f>IF(CJ3="y",CHAR(34)&amp;CJ$1&amp;CHAR(34)&amp;",","")</f>
        <v/>
      </c>
      <c r="CZ3" s="48" t="str">
        <f>IF(CK3="y",CHAR(34)&amp;CK$1&amp;CHAR(34)&amp;",","")</f>
        <v/>
      </c>
      <c r="DA3" s="48" t="str">
        <f>IF(Q3&gt;1,CHAR(34)&amp;"words2"&amp;CHAR(34)&amp;",","")</f>
        <v/>
      </c>
      <c r="DB3" s="48" t="str">
        <f>IF(Q3&gt;2,CHAR(34)&amp;"words3"&amp;CHAR(34)&amp;",","")</f>
        <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"lets20",</v>
      </c>
      <c r="DE3" s="48" t="str">
        <f>CHAR(34)&amp;"start"&amp;IFERROR(LEFT(SUBSTITUTE(A3,"["&amp;MID(A3,FIND("[",A3)+1,FIND("]",A3)-FIND("[",A3)-1)&amp;"] ",""),1),LEFT(A3,1))&amp;CHAR(34)&amp;","</f>
        <v>"startT",</v>
      </c>
      <c r="DF3" s="48" t="str">
        <f>IFERROR(IF(SEARCH("tan",A3)&gt;0,CHAR(34)&amp;"withtn"&amp;CHAR(34)&amp;",",""),"")</f>
        <v>"withtn",</v>
      </c>
      <c r="DG3" s="48" t="str">
        <f>IFERROR(IF(SEARCH("q",A3)&gt;0,CHAR(34)&amp;"with_q"&amp;CHAR(34)&amp;",",""),"")</f>
        <v/>
      </c>
      <c r="DH3" s="48" t="str">
        <f>IFERROR(IF(SEARCH("v",A3)&gt;0,CHAR(34)&amp;"with_v"&amp;CHAR(34)&amp;",",""),"")</f>
        <v/>
      </c>
      <c r="DI3" s="48" t="str">
        <f>IFERROR(IF(SEARCH("w",A3)&gt;0,CHAR(34)&amp;"with_w"&amp;CHAR(34)&amp;",",""),"")</f>
        <v/>
      </c>
      <c r="DJ3" s="48" t="str">
        <f>IFERROR(IF(SEARCH("y",A3)&gt;0,CHAR(34)&amp;"with_y"&amp;CHAR(34)&amp;",",""),"")</f>
        <v>"with_y",</v>
      </c>
      <c r="DK3" s="48" t="str">
        <f>IFERROR(IF(SEARCH("z",A3)&gt;0,CHAR(34)&amp;"with_z"&amp;CHAR(34)&amp;",",""),"")</f>
        <v>"with_z",</v>
      </c>
      <c r="DL3" s="48" t="str">
        <f>IF(CG3=2, CHAR(34) &amp; _xlfn.TEXTJOIN("", TRUE, _xlfn._xlws.SORT(HP3:HX3)) &amp; CHAR(34) &amp; ",", "")</f>
        <v/>
      </c>
      <c r="DM3" s="48" t="str" cm="1">
        <f t="array" ref="DM3">IF(CG3=3,CHAR(34) &amp; _xlfn.TEXTJOIN("", TRUE, RIGHT(HP3:HX3, 2)) &amp; CHAR(34) &amp; ",", "")</f>
        <v>"LAREEL",</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"year19",</v>
      </c>
      <c r="DP3" s="6" t="str">
        <f>IF(AND(ISNUMBER(SEARCH("20", O3)), ISERROR(SEARCH("1920", O3))), CHAR(34)&amp;"year00"&amp;CHAR(34)&amp;",", "")</f>
        <v/>
      </c>
      <c r="DQ3" s="6" t="str">
        <f>IF(CC3="y",CHAR(34)&amp;"soviet"&amp;CHAR(34)&amp;",","")</f>
        <v/>
      </c>
      <c r="DR3" s="6" t="str">
        <f>IF(BY3="y",CHAR(34)&amp;"dgband"&amp;CHAR(34)&amp;",","")</f>
        <v/>
      </c>
      <c r="DS3" s="6" t="str">
        <f>IF(W3="y",IF(AND(V3="n",BY3&lt;&gt;"y"),CHAR(34)&amp;"allver"&amp;CHAR(34)&amp;",",""),"")</f>
        <v/>
      </c>
      <c r="DT3" s="6" t="str">
        <f>IF(V3="y",IF(AND(W3="n",BY3&lt;&gt;"y"),CHAR(34)&amp;"allhor"&amp;CHAR(34)&amp;",",""),"")</f>
        <v>"allhor",</v>
      </c>
      <c r="DU3" s="6" t="str">
        <f>IF(BY3="y",IF(AND(W3="n",V3="n"),CHAR(34)&amp;"alldia"&amp;CHAR(34)&amp;",",""),"")</f>
        <v/>
      </c>
      <c r="DW3" s="48" t="str">
        <f>IF(CL3="y",CHAR(34)&amp;CL$1&amp;CHAR(34)&amp;",","")</f>
        <v/>
      </c>
      <c r="DX3" s="48" t="str">
        <f>IF(CM3="y",CHAR(34)&amp;CM$1&amp;CHAR(34)&amp;",","")</f>
        <v/>
      </c>
      <c r="DY3" s="48" t="str">
        <f>IF(CN3="y",CHAR(34)&amp;CN$1&amp;CHAR(34)&amp;",","")</f>
        <v/>
      </c>
      <c r="DZ3" s="48" t="str">
        <f>IF(CO3="y",CHAR(34)&amp;CO$1&amp;CHAR(34)&amp;",","")</f>
        <v>"4+Band",</v>
      </c>
      <c r="EA3" s="48" t="str">
        <f>IF(T3="y",CHAR(34)&amp;T$1&amp;CHAR(34)&amp;",","")</f>
        <v/>
      </c>
      <c r="EB3" s="48" t="str">
        <f>IF(U3="y",CHAR(34)&amp;U$1&amp;CHAR(34)&amp;",","")</f>
        <v/>
      </c>
      <c r="EC3" s="48" t="str">
        <f>IF(V3="y",CHAR(34)&amp;V$1&amp;CHAR(34)&amp;",","")</f>
        <v>"Horizo",</v>
      </c>
      <c r="ED3" s="48" t="str">
        <f>IF(W3="y",CHAR(34)&amp;W$1&amp;CHAR(34)&amp;",","")</f>
        <v/>
      </c>
      <c r="EE3" s="48" t="str">
        <f>IF(X3="y",CHAR(34)&amp;X$1&amp;CHAR(34)&amp;",","")</f>
        <v/>
      </c>
      <c r="EF3" s="48" t="str">
        <f>IF(AND(Y3&lt;&gt;"n",Y3&lt;&gt;""),CHAR(34)&amp;Y$1&amp;CHAR(34)&amp;",","")</f>
        <v/>
      </c>
      <c r="EG3" s="48" t="str">
        <f>IF(Z3="y",CHAR(34)&amp;Z$1&amp;CHAR(34)&amp;",","")</f>
        <v/>
      </c>
      <c r="EH3" s="48" t="str">
        <f>IF(AA3="y",CHAR(34)&amp;AA$1&amp;CHAR(34)&amp;",","")</f>
        <v/>
      </c>
      <c r="EI3" s="48" t="str">
        <f>IF(AB3="y",CHAR(34)&amp;AB$1&amp;CHAR(34)&amp;",","")</f>
        <v/>
      </c>
      <c r="EJ3" s="48" t="str">
        <f>IF(AC3="y",CHAR(34)&amp;AC$1&amp;CHAR(34)&amp;",","")</f>
        <v/>
      </c>
      <c r="EK3" s="48" t="str">
        <f>IF(AD3="y",CHAR(34)&amp;AD$1&amp;CHAR(34)&amp;",","")</f>
        <v/>
      </c>
      <c r="EL3" s="48" t="str">
        <f>IF(AE3="y",CHAR(34)&amp;AE$1&amp;CHAR(34)&amp;",","")</f>
        <v/>
      </c>
      <c r="EM3" s="48" t="str">
        <f>IF(AF3="y",CHAR(34)&amp;AF$1&amp;CHAR(34)&amp;",","")</f>
        <v/>
      </c>
      <c r="EN3" s="48" t="str">
        <f>IF(AG3="y",CHAR(34)&amp;AG$1&amp;CHAR(34)&amp;",","")</f>
        <v/>
      </c>
      <c r="EO3" s="48" t="str">
        <f>IF(AH3="y",CHAR(34)&amp;AH$1&amp;CHAR(34)&amp;",","")</f>
        <v/>
      </c>
      <c r="EP3" s="48" t="str">
        <f>IF(AI3="y",CHAR(34)&amp;AI$1&amp;CHAR(34)&amp;",","")</f>
        <v/>
      </c>
      <c r="EQ3" s="48" t="str">
        <f>IF(AJ3="y",CHAR(34)&amp;AJ$1&amp;CHAR(34)&amp;",","")</f>
        <v/>
      </c>
      <c r="ER3" s="48" t="str">
        <f>IF(AK3="y",CHAR(34)&amp;AK$1&amp;CHAR(34)&amp;",","")</f>
        <v>"OnlyBa",</v>
      </c>
      <c r="ES3" s="48" t="str">
        <f>IF(AL3="y",CHAR(34)&amp;AL$1&amp;CHAR(34)&amp;",","")</f>
        <v/>
      </c>
      <c r="ET3" s="48" t="str">
        <f>IF(AM3="y",CHAR(34)&amp;AM$1&amp;CHAR(34)&amp;",","")</f>
        <v/>
      </c>
      <c r="EU3" s="48" t="str">
        <f>IF(AN3="y",CHAR(34)&amp;AN$1&amp;CHAR(34)&amp;",","")</f>
        <v/>
      </c>
      <c r="EV3" s="48" t="str">
        <f>IF(AO3="y",CHAR(34)&amp;AO$1&amp;CHAR(34)&amp;",","")</f>
        <v/>
      </c>
      <c r="EW3" s="48" t="str">
        <f>IF(AP3="y",CHAR(34)&amp;AP$1&amp;CHAR(34)&amp;",","")</f>
        <v/>
      </c>
      <c r="EX3" s="48" t="str">
        <f>IF(AQ3="y",CHAR(34)&amp;AQ$1&amp;CHAR(34)&amp;",","")</f>
        <v/>
      </c>
      <c r="EY3" s="48" t="str">
        <f>IF(AR3="y",CHAR(34)&amp;AR$1&amp;CHAR(34)&amp;",","")</f>
        <v>"Rotate",</v>
      </c>
      <c r="EZ3" s="48" t="str">
        <f>IF(AS3="y",CHAR(34)&amp;AS$1&amp;CHAR(34)&amp;",","")</f>
        <v/>
      </c>
      <c r="FA3" s="48" t="str">
        <f>IF(AT3&gt;0,CHAR(34)&amp;"sta"&amp;AZ3&amp;CHAR(34)&amp;",","")</f>
        <v/>
      </c>
      <c r="FB3" s="48" t="str">
        <f>IF(AND(AT3&gt;0,BA3&lt;&gt;""),CHAR(34)&amp;"sta"&amp;BA3&amp;CHAR(34)&amp;",","")</f>
        <v/>
      </c>
      <c r="FD3" s="48" t="str">
        <f>IF(BV3="n",CHAR(34)&amp;"tcWHYE"&amp;CHAR(34)&amp;",",IF(BV3="y",CHAR(34)&amp;FD$1&amp;CHAR(34)&amp;",",""))</f>
        <v/>
      </c>
      <c r="FE3" s="48" t="str">
        <f>IF(COUNTIF(BL3:BT3,"BLU")=0,CHAR(34)&amp;"NO_BLU"&amp;CHAR(34)&amp;",", "")</f>
        <v>"NO_BLU",</v>
      </c>
      <c r="FF3" s="48" t="str">
        <f>IF(COUNTIF(BL3:BT3,"WHI")=0,CHAR(34)&amp;"NO_WHI"&amp;CHAR(34)&amp;",", "")</f>
        <v>"NO_WHI",</v>
      </c>
      <c r="FG3" s="48" t="str">
        <f>IF(COUNTIF(BL3:BT3,"RED")=0,CHAR(34)&amp;"NO_RED"&amp;CHAR(34)&amp;",", "")</f>
        <v>"NO_RED",</v>
      </c>
      <c r="FH3" s="48" t="str">
        <f>IF(COUNTIF(BL3:BS3,"GRE")=0,CHAR(34)&amp;"NO_GRE"&amp;CHAR(34)&amp;",", "")</f>
        <v/>
      </c>
      <c r="FI3" s="48" t="str">
        <f>IF(COUNTIF(BL3:BT3,"YEL")=0,CHAR(34)&amp;"NO_YEL"&amp;CHAR(34)&amp;",", "")</f>
        <v/>
      </c>
      <c r="FJ3" s="48" t="str">
        <f>IF(COUNTIF(BL3:BT3,"BLA")=0,CHAR(34)&amp;"NO_BLA"&amp;CHAR(34)&amp;",", "")</f>
        <v/>
      </c>
      <c r="FK3" s="48" t="str">
        <f>IF(AND(FH3&lt;&gt;"",FF3&lt;&gt;""),CHAR(34)&amp;"WHGRNO"&amp;CHAR(34)&amp;",","")</f>
        <v/>
      </c>
      <c r="FL3" s="48" t="str">
        <f>IF(AND(FI3&lt;&gt;"",FF3&lt;&gt;""),CHAR(34)&amp;"WHYENO"&amp;CHAR(34)&amp;",","")</f>
        <v/>
      </c>
      <c r="FM3" s="48" t="str">
        <f>IF(AND(FJ3&lt;&gt;"",FF3&lt;&gt;""),CHAR(34)&amp;"BAWHNO"&amp;CHAR(34)&amp;",","")</f>
        <v/>
      </c>
      <c r="FN3" s="48" t="str">
        <f>IF(AND(FE3&lt;&gt;"",FF3&lt;&gt;""),CHAR(34)&amp;"BLWHNO"&amp;CHAR(34)&amp;",","")</f>
        <v>"BLWHNO",</v>
      </c>
      <c r="FO3" s="48" t="str">
        <f>IF(AND(FE3&lt;&gt;"",FG3&lt;&gt;""),CHAR(34)&amp;"BLRENO"&amp;CHAR(34)&amp;",","")</f>
        <v>"BLRENO",</v>
      </c>
      <c r="FP3" s="48" t="str">
        <f>IF(AND(FF3&lt;&gt;"",FF3&lt;&gt;""),CHAR(34)&amp;"WHRENO"&amp;CHAR(34)&amp;",","")</f>
        <v>"WHRENO",</v>
      </c>
      <c r="FQ3" s="48" t="str">
        <f>IF(LEN(BF3)=3,CHAR(34)&amp;"001"&amp;BF3&amp;CHAR(34)&amp;",","")</f>
        <v>"001GRE",</v>
      </c>
      <c r="FR3" s="48" t="str">
        <f>IF(LEN(BG3)=3,CHAR(34)&amp;"002"&amp;BG3&amp;CHAR(34)&amp;",","")</f>
        <v>"002BLA",</v>
      </c>
      <c r="FS3" s="48" t="str">
        <f>IF(LEN(BH3)=3,CHAR(34)&amp;"003"&amp;BH3&amp;CHAR(34)&amp;",","")</f>
        <v>"003GRE",</v>
      </c>
      <c r="FT3" s="48" t="str">
        <f>CHAR(34)&amp;"myr"&amp;BD3&amp;CHAR(34)&amp;","</f>
        <v>"myrGRE",</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"histor",</v>
      </c>
      <c r="GG3" s="48" t="str">
        <f>IF(BU3="y",CHAR(34)&amp;"unjack"&amp;CHAR(34)&amp;",","")</f>
        <v/>
      </c>
      <c r="GH3" s="48" t="str">
        <f>IF(CD3=1,CHAR(34)&amp;"southc"&amp;CHAR(34)&amp;",","")</f>
        <v/>
      </c>
      <c r="GI3" s="48" t="str">
        <f>IF(CE3=1,CHAR(34)&amp;"hasmap"&amp;CHAR(34)&amp;",","")</f>
        <v/>
      </c>
      <c r="GJ3" s="48" t="str">
        <f>IF(CP3="y",CHAR(34)&amp;CP$1&amp;CHAR(34)&amp;",","")</f>
        <v>"NoStar",</v>
      </c>
      <c r="GK3" s="48" t="str">
        <f>IF(GJ3="",CHAR(34)&amp;"HasSta"&amp;CHAR(34)&amp;",","")</f>
        <v/>
      </c>
      <c r="GL3" s="48" t="str">
        <f>IF(CQ3="y",CHAR(34)&amp;CQ$1&amp;CHAR(34)&amp;",","")</f>
        <v/>
      </c>
      <c r="GM3" s="48" t="str">
        <f>IF(CR3="y",CHAR(34)&amp;CR$1&amp;CHAR(34)&amp;",","")</f>
        <v/>
      </c>
      <c r="GN3" s="48" t="str">
        <f>IF(CS3="y",CHAR(34)&amp;CS$1&amp;CHAR(34)&amp;",","")</f>
        <v/>
      </c>
      <c r="GP3" s="48" t="str">
        <f>CHAR(34)&amp;AU3&amp;CHAR(34)</f>
        <v>"Historical"</v>
      </c>
      <c r="GS3" s="48" t="str">
        <f>SUBSTITUTE("["&amp;_xlfn.CONCAT(CW3:GN3)&amp;"]",",]","]")</f>
        <v>["3Color","lets20","startT","withtn","with_y","with_z","LAREEL","year19","allhor","4+Band","Horizo","OnlyBa","Rotate","NO_BLU","NO_WHI","NO_RED","BLWHNO","BLRENO","WHRENO","001GRE","002BLA","003GRE","myrGRE","histor","NoStar"]</v>
      </c>
      <c r="GT3" s="48" t="str">
        <f>IF(BL3&lt;&gt;"",CHAR(34)&amp;"cl_"&amp;BL3&amp;CHAR(34)&amp;",","")</f>
        <v>"cl_GRE",</v>
      </c>
      <c r="GU3" s="48" t="str">
        <f>IF(BM3&lt;&gt;"",CHAR(34)&amp;"cl_"&amp;BM3&amp;CHAR(34)&amp;",","")</f>
        <v>"cl_BLA",</v>
      </c>
      <c r="GV3" s="48" t="str">
        <f>IF(BN3&lt;&gt;"",CHAR(34)&amp;"cl_"&amp;BN3&amp;CHAR(34)&amp;",","")</f>
        <v>"cl_YEL",</v>
      </c>
      <c r="GW3" s="48" t="str">
        <f>IF(BO3&lt;&gt;"",CHAR(34)&amp;"cl_"&amp;BO3&amp;CHAR(34)&amp;",","")</f>
        <v/>
      </c>
      <c r="GX3" s="48" t="str">
        <f>IF(BP3&lt;&gt;"",CHAR(34)&amp;"cl_"&amp;BP3&amp;CHAR(34)&amp;",","")</f>
        <v/>
      </c>
      <c r="GY3" s="48" t="str">
        <f>IF(BQ3&lt;&gt;"",CHAR(34)&amp;"cl_"&amp;BQ3&amp;CHAR(34)&amp;",","")</f>
        <v/>
      </c>
      <c r="GZ3" s="48" t="str">
        <f>IF(BR3&lt;&gt;"",CHAR(34)&amp;"cl_"&amp;BR3&amp;CHAR(34)&amp;",","")</f>
        <v/>
      </c>
      <c r="HA3" s="48" t="str">
        <f>IF(BS3&lt;&gt;"",CHAR(34)&amp;"cl_"&amp;BS3&amp;CHAR(34)&amp;",","")</f>
        <v/>
      </c>
      <c r="HB3" s="48" t="str">
        <f>IF(BT3&lt;&gt;"",CHAR(34)&amp;"cl_"&amp;BT3&amp;CHAR(34)&amp;",","")</f>
        <v/>
      </c>
      <c r="HC3" s="48" t="str">
        <f>SUBSTITUTE("["&amp;_xlfn.CONCAT(GT3:HB3)&amp;"]",",]","]")</f>
        <v>["cl_GRE","cl_BLA","cl_YEL"]</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{couname:"[TZA] Tanganyika (1961-1964)",year:"1961",region:"rgn_Africa",Colors:["cl_GRE","cl_BLA","cl_YEL"],Items:["3Color","lets20","startT","withtn","with_y","with_z","LAREEL","year19","allhor","4+Band","Horizo","OnlyBa","Rotate","NO_BLU","NO_WHI","NO_RED","BLWHNO","BLRENO","WHRENO","001GRE","002BLA","003GRE","myrGRE","histor","NoStar"],Flag:"https://upload.wikimedia.org/wikipedia/commons/thumb/1/16/Flag_of_Tanganyika_%281961%E2%80%931964%29.svg/720px-Flag_of_Tanganyika_%281961%E2%80%931964%29.svg.png",HDFlag:"https://upload.wikimedia.org/wikipedia/commons/thumb/1/16/Flag_of_Tanganyika_%281961%E2%80%931964%29.svg/2560px-Flag_of_Tanganyika_%281961%E2%80%931964%29.svg.png",type:"Historical", describe: "\nTanganyika was a sovereign state, comprising the mainland part of present-day Tanzania, that existed from 1961 until 1964. ", isnew:".", links: "https://en.wikipedia.org/wiki/Tanganyika_(1961–1964)"},</v>
      </c>
      <c r="HG3" s="73" t="str">
        <f>"{couname:"&amp;CT3&amp;(IF(HK3&lt;&gt;"",",subtype:"&amp;CHAR(34)&amp;HK3&amp;CHAR(34),""))&amp;",year:"&amp;HJ3&amp;",region:"&amp;CU3&amp;",Colors:"&amp;HC3&amp;",Items:"&amp;GS3&amp;",Flag:"&amp;CV3&amp;",HDFlag:"&amp;CHAR(34)&amp;E3&amp;CHAR(34)&amp;",type:"&amp;GP3&amp;", describe: "&amp;HI3&amp;", links: "&amp;HL3&amp;"},"</f>
        <v>{couname:"[TZA] Tanganyika (1961-1964)",year:"1961",region:"rgn_Africa",Colors:["cl_GRE","cl_BLA","cl_YEL"],Items:["3Color","lets20","startT","withtn","with_y","with_z","LAREEL","year19","allhor","4+Band","Horizo","OnlyBa","Rotate","NO_BLU","NO_WHI","NO_RED","BLWHNO","BLRENO","WHRENO","001GRE","002BLA","003GRE","myrGRE","histor","NoStar"],Flag:"https://upload.wikimedia.org/wikipedia/commons/thumb/1/16/Flag_of_Tanganyika_%281961%E2%80%931964%29.svg/720px-Flag_of_Tanganyika_%281961%E2%80%931964%29.svg.png",HDFlag:"https://upload.wikimedia.org/wikipedia/commons/thumb/1/16/Flag_of_Tanganyika_%281961%E2%80%931964%29.svg/2560px-Flag_of_Tanganyika_%281961%E2%80%931964%29.svg.png",type:"Historical", describe: "\nTanganyika was a sovereign state, comprising the mainland part of present-day Tanzania, that existed from 1961 until 1964. ", links: "https://en.wikipedia.org/wiki/Tanganyika_(1961–1964)"},</v>
      </c>
      <c r="HH3" s="48" t="str">
        <f>IF(P3&lt;&gt;"",CHAR(34)&amp;"\n"&amp;P3&amp;CHAR(34),CHAR(34)&amp;CHAR(34))</f>
        <v>"\nTanganyika was a sovereign state, comprising the mainland part of present-day Tanzania, that existed from 1961 until 1964. "</v>
      </c>
      <c r="HI3" s="48" t="str">
        <f>IF(J3=0,CHAR(34)&amp;CHAR(34),HH3)</f>
        <v>"\nTanganyika was a sovereign state, comprising the mainland part of present-day Tanzania, that existed from 1961 until 1964. "</v>
      </c>
      <c r="HJ3" s="48" t="str">
        <f>CHAR(34)&amp;O3&amp;CHAR(34)</f>
        <v>"1961"</v>
      </c>
      <c r="HL3" s="48" t="str">
        <f>CHAR(34)&amp;I3&amp;CHAR(34)</f>
        <v>"https://en.wikipedia.org/wiki/Tanganyika_(1961–1964)"</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{"couname":"[TZA] Tanganyika (1961-1964)","subtype":"[TZA] Other","year":"1961","region":"rgn_Africa","Colors":["cl_GRE","cl_BLA","cl_YEL"],"Items":["3Color","lets20","startT","withtn","with_y","with_z","LAREEL","year19","allhor","4+Band","Horizo","OnlyBa","Rotate","NO_BLU","NO_WHI","NO_RED","BLWHNO","BLRENO","WHRENO","001GRE","002BLA","003GRE","myrGRE","histor","NoStar"],"Flag":"https://upload.wikimedia.org/wikipedia/commons/thumb/1/16/Flag_of_Tanganyika_%281961%E2%80%931964%29.svg/720px-Flag_of_Tanganyika_%281961%E2%80%931964%29.svg.png","HDFlag":"https://upload.wikimedia.org/wikipedia/commons/thumb/1/16/Flag_of_Tanganyika_%281961%E2%80%931964%29.svg/2560px-Flag_of_Tanganyika_%281961%E2%80%931964%29.svg.png","type":"Historical", "describe": "\nTanganyika was a sovereign state, comprising the mainland part of present-day Tanzania, that existed from 1961 until 1964. ", "isnew": ".", "links": "https://en.wikipedia.org/wiki/Tanganyika_(1961–1964)"},</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{"couname":"[TZA] Tanganyika (1961-1964)","subtype":"[TZA] Other","year":"1961","region":"rgn_Africa","Colors":["cl_GRE","cl_BLA","cl_YEL"],"Items":["3Color","lets20","startT","withtn","with_y","with_z","LAREEL","year19","allhor","4+Band","Horizo","OnlyBa","Rotate","NO_BLU","NO_WHI","NO_RED","BLWHNO","BLRENO","WHRENO","001GRE","002BLA","003GRE","myrGRE","histor","NoStar"],"Flag":"https://upload.wikimedia.org/wikipedia/commons/thumb/1/16/Flag_of_Tanganyika_%281961%E2%80%931964%29.svg/720px-Flag_of_Tanganyika_%281961%E2%80%931964%29.svg.png","HDFlag":"https://upload.wikimedia.org/wikipedia/commons/thumb/1/16/Flag_of_Tanganyika_%281961%E2%80%931964%29.svg/2560px-Flag_of_Tanganyika_%281961%E2%80%931964%29.svg.png","type":"Historical", "describe": "\nTanganyika was a sovereign state, comprising the mainland part of present-day Tanzania, that existed from 1961 until 1964. ", "isnew": ".", "links": "https://en.wikipedia.org/wiki/Tanganyika_(1961–1964)"},</v>
      </c>
      <c r="HO3" s="75">
        <v>45644</v>
      </c>
      <c r="HP3" s="48" t="str" cm="1">
        <f t="array" ref="HP3">IF(_xlfn.TEXTJOIN(", ", TRUE, IF(ISNUMBER(SEARCH("BLA", BL3:BT3)), COLUMN(BL3:BT3) - COLUMN(BL3) + 1, ""))&lt;&gt;"","BLA","")</f>
        <v>BLA</v>
      </c>
      <c r="HQ3" s="48" t="str" cm="1">
        <f t="array" ref="HQ3">IF(_xlfn.TEXTJOIN(", ", TRUE, IF(ISNUMBER(SEARCH("BLU", BL3:BT3)), COLUMN(BL3:BT3) - COLUMN(BL3) + 1, ""))&lt;&gt;"","BLU","")</f>
        <v/>
      </c>
      <c r="HR3" s="48" t="str" cm="1">
        <f t="array" ref="HR3">IF(_xlfn.TEXTJOIN(", ", TRUE, IF(ISNUMBER(SEARCH("GRE", BL3:BT3)), COLUMN(BL3:BT3) - COLUMN(BL3) + 1, ""))&lt;&gt;"","GRE","")</f>
        <v>GRE</v>
      </c>
      <c r="HS3" s="48" t="str" cm="1">
        <f t="array" ref="HS3">IF(_xlfn.TEXTJOIN(", ", TRUE, IF(ISNUMBER(SEARCH("RED", BL3:BT3)), COLUMN(BL3:BT3) - COLUMN(BL3) + 1, ""))&lt;&gt;"","RED","")</f>
        <v/>
      </c>
      <c r="HT3" s="48" t="str" cm="1">
        <f t="array" ref="HT3">IF(_xlfn.TEXTJOIN(", ", TRUE, IF(ISNUMBER(SEARCH("YEL", BL3:BT3)), COLUMN(BL3:BT3) - COLUMN(BL3) + 1, ""))&lt;&gt;"","YEL","")</f>
        <v>YEL</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
      </c>
      <c r="HY3" s="76"/>
      <c r="HZ3" s="76"/>
      <c r="IA3" s="6"/>
      <c r="IB3" s="6"/>
      <c r="IC3" s="77"/>
      <c r="ID3" s="77"/>
      <c r="IE3" s="77"/>
      <c r="IF3" s="77"/>
      <c r="IG3" s="77"/>
      <c r="IH3" s="77"/>
      <c r="II3" s="77"/>
      <c r="IJ3" s="77"/>
      <c r="IK3" s="77"/>
      <c r="IM3" s="45">
        <f>COUNTIF(IC3:IK3,"&gt;0")-CG3</f>
        <v>-3</v>
      </c>
      <c r="IN3" s="78" t="str">
        <f>"http://mkweb.bcgsc.ca/color-summarizer/?url="&amp;D3&amp;"&amp;precision=low&amp;num_clusters="&amp;CG3&amp;"&amp;text=1"</f>
        <v>http://mkweb.bcgsc.ca/color-summarizer/?url=https://upload.wikimedia.org/wikipedia/commons/thumb/1/16/Flag_of_Tanganyika_%281961%E2%80%931964%29.svg/720px-Flag_of_Tanganyika_%281961%E2%80%931964%29.svg.png&amp;precision=low&amp;num_clusters=3&amp;text=1</v>
      </c>
      <c r="IO3" s="48" t="str">
        <f>IF(HP3&lt;&gt;"",CHAR(34)&amp;"black"&amp;CHAR(34),"")</f>
        <v>"black"</v>
      </c>
      <c r="IP3" s="48" t="str">
        <f>IF(HQ3&lt;&gt;"",CHAR(34)&amp;"blue"&amp;CHAR(34),"")</f>
        <v/>
      </c>
      <c r="IQ3" s="48" t="str">
        <f>IF(HR3&lt;&gt;"",CHAR(34)&amp;"green"&amp;CHAR(34),"")</f>
        <v>"green"</v>
      </c>
      <c r="IR3" s="48" t="str">
        <f>IF(HS3&lt;&gt;"",CHAR(34)&amp;"red"&amp;CHAR(34),"")</f>
        <v/>
      </c>
      <c r="IS3" s="48" t="str">
        <f>IF(HT3&lt;&gt;"",CHAR(34)&amp;"yellow"&amp;CHAR(34),"")</f>
        <v>"yellow"</v>
      </c>
      <c r="IT3" s="48" t="str">
        <f>IF(HU3&lt;&gt;"",CHAR(34)&amp;"orange"&amp;CHAR(34),"")</f>
        <v/>
      </c>
      <c r="IU3" s="48" t="str">
        <f>IF(HV3&lt;&gt;"",CHAR(34)&amp;"brown"&amp;CHAR(34),"")</f>
        <v/>
      </c>
      <c r="IV3" s="48" t="str">
        <f>IF(HW3&lt;&gt;"",CHAR(34)&amp;"purple"&amp;CHAR(34),"")</f>
        <v/>
      </c>
      <c r="IW3" s="48" t="str">
        <f>IF(HX3&lt;&gt;"",CHAR(34)&amp;"white"&amp;CHAR(34),"")</f>
        <v/>
      </c>
      <c r="IX3" s="48" t="str">
        <f>"{"&amp;CHAR(34)&amp;"url"&amp;CHAR(34)&amp;":"&amp;CHAR(34)&amp;IN3&amp;CHAR(34)&amp;","&amp;CHAR(34)&amp;"name"&amp;CHAR(34)&amp;":"&amp;CHAR(34)&amp;A3&amp;CHAR(34)&amp;"},"</f>
        <v>{"url":"http://mkweb.bcgsc.ca/color-summarizer/?url=https://upload.wikimedia.org/wikipedia/commons/thumb/1/16/Flag_of_Tanganyika_%281961%E2%80%931964%29.svg/720px-Flag_of_Tanganyika_%281961%E2%80%931964%29.svg.png&amp;precision=low&amp;num_clusters=3&amp;text=1","name":"[TZA] Tanganyika (1961-1964)"},</v>
      </c>
      <c r="IY3" s="48">
        <v>1503</v>
      </c>
    </row>
    <row r="4" spans="1:259" ht="38.4" customHeight="1" x14ac:dyDescent="0.3">
      <c r="F4" s="82"/>
      <c r="G4" s="82"/>
      <c r="H4" s="82"/>
      <c r="I4" s="82"/>
      <c r="J4" s="82"/>
      <c r="K4" s="82"/>
    </row>
    <row r="5" spans="1:259" ht="38.4" customHeight="1" x14ac:dyDescent="0.3">
      <c r="F5" s="82"/>
      <c r="G5" s="82"/>
      <c r="H5" s="82"/>
      <c r="I5" s="82"/>
      <c r="J5" s="82"/>
      <c r="K5" s="82"/>
    </row>
    <row r="6" spans="1:259" ht="38.4" customHeight="1" x14ac:dyDescent="0.3">
      <c r="F6" s="82"/>
      <c r="G6" s="82"/>
      <c r="H6" s="82"/>
      <c r="I6" s="82"/>
      <c r="J6" s="82"/>
      <c r="K6" s="82"/>
    </row>
  </sheetData>
  <autoFilter ref="A1:IY1" xr:uid="{A1051193-A95B-4CFB-A73C-F0184620C81F}">
    <sortState xmlns:xlrd2="http://schemas.microsoft.com/office/spreadsheetml/2017/richdata2" ref="A2:IY5">
      <sortCondition ref="AW1"/>
    </sortState>
  </autoFilter>
  <conditionalFormatting sqref="H1 CW1:GS1 IA1:IB1">
    <cfRule type="cellIs" dxfId="520" priority="118" operator="greaterThan">
      <formula>0</formula>
    </cfRule>
  </conditionalFormatting>
  <conditionalFormatting sqref="H1 H7:H1048576">
    <cfRule type="cellIs" dxfId="519" priority="84" stopIfTrue="1" operator="notEqual">
      <formula>""</formula>
    </cfRule>
  </conditionalFormatting>
  <conditionalFormatting sqref="T1:BK1">
    <cfRule type="cellIs" dxfId="518" priority="121" operator="greaterThan">
      <formula>0</formula>
    </cfRule>
  </conditionalFormatting>
  <conditionalFormatting sqref="BV1:BW1 BV4:BW1048576">
    <cfRule type="cellIs" dxfId="517" priority="120" operator="equal">
      <formula>"nc"</formula>
    </cfRule>
  </conditionalFormatting>
  <conditionalFormatting sqref="HF1:HG1">
    <cfRule type="cellIs" dxfId="516" priority="122" operator="greaterThan">
      <formula>0</formula>
    </cfRule>
  </conditionalFormatting>
  <conditionalFormatting sqref="HK1">
    <cfRule type="cellIs" dxfId="515" priority="119" operator="greaterThan">
      <formula>0</formula>
    </cfRule>
  </conditionalFormatting>
  <conditionalFormatting sqref="HP1:HX1">
    <cfRule type="cellIs" dxfId="514" priority="96" operator="equal">
      <formula>"PIN"</formula>
    </cfRule>
    <cfRule type="cellIs" dxfId="513" priority="97" operator="equal">
      <formula>"ORA"</formula>
    </cfRule>
    <cfRule type="cellIs" dxfId="512" priority="98" operator="equal">
      <formula>"GRA"</formula>
    </cfRule>
    <cfRule type="cellIs" dxfId="511" priority="99" operator="equal">
      <formula>"PUR"</formula>
    </cfRule>
    <cfRule type="cellIs" dxfId="510" priority="100" operator="equal">
      <formula>"BRO"</formula>
    </cfRule>
    <cfRule type="cellIs" dxfId="509" priority="101" operator="equal">
      <formula>"YEL"</formula>
    </cfRule>
    <cfRule type="cellIs" dxfId="508" priority="102" operator="equal">
      <formula>"BLU"</formula>
    </cfRule>
    <cfRule type="cellIs" dxfId="507" priority="103" operator="equal">
      <formula>"WHI"</formula>
    </cfRule>
    <cfRule type="cellIs" dxfId="506" priority="104" operator="equal">
      <formula>"GRE"</formula>
    </cfRule>
    <cfRule type="cellIs" dxfId="505" priority="105" operator="equal">
      <formula>"RED"</formula>
    </cfRule>
    <cfRule type="cellIs" dxfId="504" priority="106" operator="equal">
      <formula>"BLA"</formula>
    </cfRule>
  </conditionalFormatting>
  <conditionalFormatting sqref="IC1:IK1">
    <cfRule type="cellIs" dxfId="503" priority="107" operator="equal">
      <formula>"PIN"</formula>
    </cfRule>
    <cfRule type="cellIs" dxfId="502" priority="108" operator="equal">
      <formula>"ORA"</formula>
    </cfRule>
    <cfRule type="cellIs" dxfId="501" priority="109" operator="equal">
      <formula>"GRA"</formula>
    </cfRule>
    <cfRule type="cellIs" dxfId="500" priority="110" operator="equal">
      <formula>"PUR"</formula>
    </cfRule>
    <cfRule type="cellIs" dxfId="499" priority="111" operator="equal">
      <formula>"BRO"</formula>
    </cfRule>
    <cfRule type="cellIs" dxfId="498" priority="112" operator="equal">
      <formula>"YEL"</formula>
    </cfRule>
    <cfRule type="cellIs" dxfId="497" priority="113" operator="equal">
      <formula>"BLU"</formula>
    </cfRule>
    <cfRule type="cellIs" dxfId="496" priority="114" operator="equal">
      <formula>"WHI"</formula>
    </cfRule>
    <cfRule type="cellIs" dxfId="495" priority="115" operator="equal">
      <formula>"GRE"</formula>
    </cfRule>
    <cfRule type="cellIs" dxfId="494" priority="116" operator="equal">
      <formula>"RED"</formula>
    </cfRule>
    <cfRule type="cellIs" dxfId="493" priority="117" operator="equal">
      <formula>"BLA"</formula>
    </cfRule>
  </conditionalFormatting>
  <conditionalFormatting sqref="IO1:IW1">
    <cfRule type="cellIs" dxfId="492" priority="85" operator="equal">
      <formula>"PIN"</formula>
    </cfRule>
    <cfRule type="cellIs" dxfId="491" priority="86" operator="equal">
      <formula>"ORA"</formula>
    </cfRule>
    <cfRule type="cellIs" dxfId="490" priority="87" operator="equal">
      <formula>"GRA"</formula>
    </cfRule>
    <cfRule type="cellIs" dxfId="489" priority="88" operator="equal">
      <formula>"PUR"</formula>
    </cfRule>
    <cfRule type="cellIs" dxfId="488" priority="89" operator="equal">
      <formula>"BRO"</formula>
    </cfRule>
    <cfRule type="cellIs" dxfId="487" priority="90" operator="equal">
      <formula>"YEL"</formula>
    </cfRule>
    <cfRule type="cellIs" dxfId="486" priority="91" operator="equal">
      <formula>"BLU"</formula>
    </cfRule>
    <cfRule type="cellIs" dxfId="485" priority="92" operator="equal">
      <formula>"WHI"</formula>
    </cfRule>
    <cfRule type="cellIs" dxfId="484" priority="93" operator="equal">
      <formula>"GRE"</formula>
    </cfRule>
    <cfRule type="cellIs" dxfId="483" priority="94" operator="equal">
      <formula>"RED"</formula>
    </cfRule>
    <cfRule type="cellIs" dxfId="482" priority="95" operator="equal">
      <formula>"BLA"</formula>
    </cfRule>
  </conditionalFormatting>
  <conditionalFormatting sqref="H2">
    <cfRule type="cellIs" dxfId="481" priority="77" stopIfTrue="1" operator="notEqual">
      <formula>""</formula>
    </cfRule>
  </conditionalFormatting>
  <conditionalFormatting sqref="R2 CU2">
    <cfRule type="cellIs" dxfId="480" priority="79" operator="greaterThan">
      <formula>0</formula>
    </cfRule>
  </conditionalFormatting>
  <conditionalFormatting sqref="T2:AS2 CH2:CS2">
    <cfRule type="cellIs" dxfId="479" priority="74" stopIfTrue="1" operator="equal">
      <formula>"n"</formula>
    </cfRule>
    <cfRule type="cellIs" dxfId="478" priority="75" stopIfTrue="1" operator="equal">
      <formula>"y"</formula>
    </cfRule>
    <cfRule type="cellIs" dxfId="477" priority="76" operator="greaterThan">
      <formula>0</formula>
    </cfRule>
  </conditionalFormatting>
  <conditionalFormatting sqref="AZ2:BB2">
    <cfRule type="expression" dxfId="476" priority="61">
      <formula>$AT2=0</formula>
    </cfRule>
  </conditionalFormatting>
  <conditionalFormatting sqref="AZ2:BU2">
    <cfRule type="cellIs" dxfId="475" priority="62" operator="equal">
      <formula>"PIN"</formula>
    </cfRule>
    <cfRule type="cellIs" dxfId="474" priority="63" operator="equal">
      <formula>"ORA"</formula>
    </cfRule>
    <cfRule type="cellIs" dxfId="473" priority="64" operator="equal">
      <formula>"GRA"</formula>
    </cfRule>
    <cfRule type="cellIs" dxfId="472" priority="65" operator="equal">
      <formula>"PUR"</formula>
    </cfRule>
    <cfRule type="cellIs" dxfId="471" priority="66" operator="equal">
      <formula>"BRO"</formula>
    </cfRule>
    <cfRule type="cellIs" dxfId="470" priority="67" operator="equal">
      <formula>"YEL"</formula>
    </cfRule>
    <cfRule type="cellIs" dxfId="469" priority="68" operator="equal">
      <formula>"BLU"</formula>
    </cfRule>
    <cfRule type="cellIs" dxfId="468" priority="69" operator="equal">
      <formula>"WHI"</formula>
    </cfRule>
    <cfRule type="cellIs" dxfId="467" priority="70" operator="equal">
      <formula>"GRE"</formula>
    </cfRule>
    <cfRule type="cellIs" dxfId="466" priority="71" operator="equal">
      <formula>"RED"</formula>
    </cfRule>
    <cfRule type="cellIs" dxfId="465" priority="72" operator="equal">
      <formula>"BLA"</formula>
    </cfRule>
  </conditionalFormatting>
  <conditionalFormatting sqref="BV2">
    <cfRule type="cellIs" dxfId="464" priority="78" operator="equal">
      <formula>"nc"</formula>
    </cfRule>
  </conditionalFormatting>
  <conditionalFormatting sqref="CD2:CF2 BZ2:CA2">
    <cfRule type="cellIs" dxfId="463" priority="73" operator="greaterThan">
      <formula>0</formula>
    </cfRule>
  </conditionalFormatting>
  <conditionalFormatting sqref="IC2:IK2">
    <cfRule type="expression" dxfId="462" priority="60">
      <formula>$IL2&gt;0</formula>
    </cfRule>
  </conditionalFormatting>
  <conditionalFormatting sqref="BX2:CA2 CD2:CF2">
    <cfRule type="cellIs" dxfId="461" priority="48" operator="equal">
      <formula>"y"</formula>
    </cfRule>
    <cfRule type="cellIs" dxfId="460" priority="49" operator="equal">
      <formula>"PIN"</formula>
    </cfRule>
    <cfRule type="cellIs" dxfId="459" priority="50" operator="equal">
      <formula>"ORA"</formula>
    </cfRule>
    <cfRule type="cellIs" dxfId="458" priority="51" operator="equal">
      <formula>"GRA"</formula>
    </cfRule>
    <cfRule type="cellIs" dxfId="457" priority="52" operator="equal">
      <formula>"PUR"</formula>
    </cfRule>
    <cfRule type="cellIs" dxfId="456" priority="53" operator="equal">
      <formula>"BRO"</formula>
    </cfRule>
    <cfRule type="cellIs" dxfId="455" priority="54" operator="equal">
      <formula>"YEL"</formula>
    </cfRule>
    <cfRule type="cellIs" dxfId="454" priority="55" operator="equal">
      <formula>"BLU"</formula>
    </cfRule>
    <cfRule type="cellIs" dxfId="453" priority="56" operator="equal">
      <formula>"WHI"</formula>
    </cfRule>
    <cfRule type="cellIs" dxfId="452" priority="57" operator="equal">
      <formula>"GRE"</formula>
    </cfRule>
    <cfRule type="cellIs" dxfId="451" priority="58" operator="equal">
      <formula>"RED"</formula>
    </cfRule>
    <cfRule type="cellIs" dxfId="450" priority="59" operator="equal">
      <formula>"BLA"</formula>
    </cfRule>
  </conditionalFormatting>
  <conditionalFormatting sqref="J2">
    <cfRule type="colorScale" priority="80">
      <colorScale>
        <cfvo type="min"/>
        <cfvo type="percentile" val="50"/>
        <cfvo type="max"/>
        <color rgb="FFF8696B"/>
        <color rgb="FFFFEB84"/>
        <color rgb="FF63BE7B"/>
      </colorScale>
    </cfRule>
  </conditionalFormatting>
  <conditionalFormatting sqref="S2">
    <cfRule type="colorScale" priority="81">
      <colorScale>
        <cfvo type="min"/>
        <cfvo type="max"/>
        <color rgb="FFFCFCFF"/>
        <color rgb="FF754BFB"/>
      </colorScale>
    </cfRule>
  </conditionalFormatting>
  <conditionalFormatting sqref="AT2">
    <cfRule type="colorScale" priority="82">
      <colorScale>
        <cfvo type="min"/>
        <cfvo type="max"/>
        <color rgb="FFFCFCFF"/>
        <color theme="8" tint="0.39997558519241921"/>
      </colorScale>
    </cfRule>
  </conditionalFormatting>
  <conditionalFormatting sqref="CG2">
    <cfRule type="colorScale" priority="83">
      <colorScale>
        <cfvo type="min"/>
        <cfvo type="max"/>
        <color rgb="FFFCFCFF"/>
        <color rgb="FF63BE7B"/>
      </colorScale>
    </cfRule>
  </conditionalFormatting>
  <conditionalFormatting sqref="H3">
    <cfRule type="cellIs" dxfId="449" priority="40" stopIfTrue="1" operator="notEqual">
      <formula>""</formula>
    </cfRule>
  </conditionalFormatting>
  <conditionalFormatting sqref="R3 CU3">
    <cfRule type="cellIs" dxfId="448" priority="43" operator="greaterThan">
      <formula>0</formula>
    </cfRule>
  </conditionalFormatting>
  <conditionalFormatting sqref="T3:AS3 CH3:CS3">
    <cfRule type="cellIs" dxfId="447" priority="37" stopIfTrue="1" operator="equal">
      <formula>"n"</formula>
    </cfRule>
    <cfRule type="cellIs" dxfId="446" priority="38" stopIfTrue="1" operator="equal">
      <formula>"y"</formula>
    </cfRule>
    <cfRule type="cellIs" dxfId="445" priority="39" operator="greaterThan">
      <formula>0</formula>
    </cfRule>
  </conditionalFormatting>
  <conditionalFormatting sqref="AZ3:BB3">
    <cfRule type="expression" dxfId="444" priority="24">
      <formula>$AT3=0</formula>
    </cfRule>
  </conditionalFormatting>
  <conditionalFormatting sqref="CD3:CF3 BX3:CA3 AZ3:BU3">
    <cfRule type="cellIs" dxfId="443" priority="25" operator="equal">
      <formula>"PIN"</formula>
    </cfRule>
    <cfRule type="cellIs" dxfId="442" priority="26" operator="equal">
      <formula>"ORA"</formula>
    </cfRule>
    <cfRule type="cellIs" dxfId="441" priority="27" operator="equal">
      <formula>"GRA"</formula>
    </cfRule>
    <cfRule type="cellIs" dxfId="440" priority="28" operator="equal">
      <formula>"PUR"</formula>
    </cfRule>
    <cfRule type="cellIs" dxfId="439" priority="29" operator="equal">
      <formula>"BRO"</formula>
    </cfRule>
    <cfRule type="cellIs" dxfId="438" priority="30" operator="equal">
      <formula>"YEL"</formula>
    </cfRule>
    <cfRule type="cellIs" dxfId="437" priority="31" operator="equal">
      <formula>"BLU"</formula>
    </cfRule>
    <cfRule type="cellIs" dxfId="436" priority="32" operator="equal">
      <formula>"WHI"</formula>
    </cfRule>
    <cfRule type="cellIs" dxfId="435" priority="33" operator="equal">
      <formula>"GRE"</formula>
    </cfRule>
    <cfRule type="cellIs" dxfId="434" priority="34" operator="equal">
      <formula>"RED"</formula>
    </cfRule>
    <cfRule type="cellIs" dxfId="433" priority="35" operator="equal">
      <formula>"BLA"</formula>
    </cfRule>
  </conditionalFormatting>
  <conditionalFormatting sqref="BV3">
    <cfRule type="cellIs" dxfId="432" priority="42" operator="equal">
      <formula>"nc"</formula>
    </cfRule>
  </conditionalFormatting>
  <conditionalFormatting sqref="CD3:CF3 BX3:CA3">
    <cfRule type="cellIs" dxfId="431" priority="41" operator="equal">
      <formula>"y"</formula>
    </cfRule>
  </conditionalFormatting>
  <conditionalFormatting sqref="CD3:CF3 BZ3:CA3">
    <cfRule type="cellIs" dxfId="430" priority="36" operator="greaterThan">
      <formula>0</formula>
    </cfRule>
  </conditionalFormatting>
  <conditionalFormatting sqref="IC3:IK3">
    <cfRule type="expression" dxfId="429" priority="23">
      <formula>$IL3&gt;0</formula>
    </cfRule>
  </conditionalFormatting>
  <conditionalFormatting sqref="IC3">
    <cfRule type="cellIs" dxfId="428" priority="17" stopIfTrue="1" operator="greaterThan">
      <formula>0</formula>
    </cfRule>
  </conditionalFormatting>
  <conditionalFormatting sqref="ID3">
    <cfRule type="cellIs" dxfId="427" priority="15" stopIfTrue="1" operator="greaterThan">
      <formula>0</formula>
    </cfRule>
  </conditionalFormatting>
  <conditionalFormatting sqref="II3 IE3:IF3">
    <cfRule type="cellIs" dxfId="426" priority="22" operator="greaterThan">
      <formula>0</formula>
    </cfRule>
  </conditionalFormatting>
  <conditionalFormatting sqref="II3 IF3">
    <cfRule type="cellIs" dxfId="425" priority="16" stopIfTrue="1" operator="greaterThan">
      <formula>0</formula>
    </cfRule>
  </conditionalFormatting>
  <conditionalFormatting sqref="IG3">
    <cfRule type="cellIs" dxfId="424" priority="21" operator="greaterThan">
      <formula>0</formula>
    </cfRule>
  </conditionalFormatting>
  <conditionalFormatting sqref="IH3:II3">
    <cfRule type="cellIs" dxfId="423" priority="20" operator="greaterThan">
      <formula>0</formula>
    </cfRule>
  </conditionalFormatting>
  <conditionalFormatting sqref="IJ3">
    <cfRule type="cellIs" dxfId="422" priority="19" operator="greaterThan">
      <formula>0</formula>
    </cfRule>
  </conditionalFormatting>
  <conditionalFormatting sqref="IK3">
    <cfRule type="cellIs" dxfId="421" priority="18" operator="greaterThan">
      <formula>0</formula>
    </cfRule>
  </conditionalFormatting>
  <conditionalFormatting sqref="IF3">
    <cfRule type="cellIs" dxfId="420" priority="14" stopIfTrue="1" operator="greaterThan">
      <formula>0</formula>
    </cfRule>
  </conditionalFormatting>
  <conditionalFormatting sqref="IM3">
    <cfRule type="cellIs" dxfId="419" priority="13" operator="equal">
      <formula>0</formula>
    </cfRule>
  </conditionalFormatting>
  <conditionalFormatting sqref="BX3:CA3 CD3:CF3">
    <cfRule type="cellIs" dxfId="418" priority="1" operator="equal">
      <formula>"y"</formula>
    </cfRule>
    <cfRule type="cellIs" dxfId="417" priority="2" operator="equal">
      <formula>"PIN"</formula>
    </cfRule>
    <cfRule type="cellIs" dxfId="416" priority="3" operator="equal">
      <formula>"ORA"</formula>
    </cfRule>
    <cfRule type="cellIs" dxfId="415" priority="4" operator="equal">
      <formula>"GRA"</formula>
    </cfRule>
    <cfRule type="cellIs" dxfId="414" priority="5" operator="equal">
      <formula>"PUR"</formula>
    </cfRule>
    <cfRule type="cellIs" dxfId="413" priority="6" operator="equal">
      <formula>"BRO"</formula>
    </cfRule>
    <cfRule type="cellIs" dxfId="412" priority="7" operator="equal">
      <formula>"YEL"</formula>
    </cfRule>
    <cfRule type="cellIs" dxfId="411" priority="8" operator="equal">
      <formula>"BLU"</formula>
    </cfRule>
    <cfRule type="cellIs" dxfId="410" priority="9" operator="equal">
      <formula>"WHI"</formula>
    </cfRule>
    <cfRule type="cellIs" dxfId="409" priority="10" operator="equal">
      <formula>"GRE"</formula>
    </cfRule>
    <cfRule type="cellIs" dxfId="408" priority="11" operator="equal">
      <formula>"RED"</formula>
    </cfRule>
    <cfRule type="cellIs" dxfId="407" priority="12" operator="equal">
      <formula>"BLA"</formula>
    </cfRule>
  </conditionalFormatting>
  <conditionalFormatting sqref="AT3">
    <cfRule type="colorScale" priority="44">
      <colorScale>
        <cfvo type="min"/>
        <cfvo type="max"/>
        <color rgb="FFFCFCFF"/>
        <color theme="8" tint="0.39997558519241921"/>
      </colorScale>
    </cfRule>
  </conditionalFormatting>
  <conditionalFormatting sqref="S3">
    <cfRule type="colorScale" priority="45">
      <colorScale>
        <cfvo type="min"/>
        <cfvo type="max"/>
        <color rgb="FFFCFCFF"/>
        <color rgb="FF754BFB"/>
      </colorScale>
    </cfRule>
  </conditionalFormatting>
  <conditionalFormatting sqref="J3">
    <cfRule type="colorScale" priority="46">
      <colorScale>
        <cfvo type="min"/>
        <cfvo type="percentile" val="50"/>
        <cfvo type="max"/>
        <color rgb="FFF8696B"/>
        <color rgb="FFFFEB84"/>
        <color rgb="FF63BE7B"/>
      </colorScale>
    </cfRule>
  </conditionalFormatting>
  <conditionalFormatting sqref="CG3">
    <cfRule type="colorScale" priority="47">
      <colorScale>
        <cfvo type="min"/>
        <cfvo type="max"/>
        <color rgb="FFFCFCFF"/>
        <color rgb="FF63BE7B"/>
      </colorScale>
    </cfRule>
  </conditionalFormatting>
  <hyperlinks>
    <hyperlink ref="A2" r:id="rId1" display="https://fbref.com/en/country/TAN/Tanzania-Football" xr:uid="{4F7CAAB6-DB91-4DD4-A6B5-30C94E77075C}"/>
    <hyperlink ref="E2" r:id="rId2" xr:uid="{87EE814C-DDEC-4187-84B9-D0676B288DFA}"/>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41" r:id="rId6"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10242" r:id="rId7"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10243" r:id="rId8"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A0BF03-694D-478C-8C70-5236FF8875BC}">
  <sheetPr codeName="Sheet18"/>
  <dimension ref="A1:IY3"/>
  <sheetViews>
    <sheetView zoomScale="70" zoomScaleNormal="70" workbookViewId="0">
      <pane xSplit="5" ySplit="1" topLeftCell="F2" activePane="bottomRight" state="frozen"/>
      <selection pane="topRight" activeCell="F1" sqref="F1"/>
      <selection pane="bottomLeft" activeCell="A2" sqref="A2"/>
      <selection pane="bottomRight" activeCell="A3" sqref="A3"/>
    </sheetView>
  </sheetViews>
  <sheetFormatPr defaultRowHeight="38.4" customHeight="1" x14ac:dyDescent="0.3"/>
  <cols>
    <col min="1" max="1" width="52.44140625" style="81" bestFit="1" customWidth="1"/>
    <col min="2" max="2" width="10.109375" style="81" customWidth="1"/>
    <col min="3" max="3" width="7.44140625" style="82" customWidth="1"/>
    <col min="4" max="4" width="4.77734375" style="83" customWidth="1"/>
    <col min="5" max="5" width="4.5546875" style="83" customWidth="1"/>
    <col min="6" max="6" width="5.77734375" style="83" customWidth="1"/>
    <col min="7" max="7" width="7.44140625" style="81" customWidth="1"/>
    <col min="8" max="8" width="11.44140625" style="81" customWidth="1"/>
    <col min="9" max="9" width="10" style="81" customWidth="1"/>
    <col min="10" max="10" width="4.21875" style="81" customWidth="1"/>
    <col min="11" max="11" width="5.6640625" style="83" customWidth="1"/>
    <col min="12" max="12" width="2.88671875" style="83" customWidth="1"/>
    <col min="13" max="13" width="6.44140625" style="83" customWidth="1"/>
    <col min="14" max="14" width="4.5546875" style="83" customWidth="1"/>
    <col min="15" max="15" width="10.5546875" style="84" customWidth="1"/>
    <col min="16" max="16" width="6.88671875" style="83" customWidth="1"/>
    <col min="17" max="17" width="4.77734375" style="83" customWidth="1"/>
    <col min="18" max="18" width="13.109375" style="82" customWidth="1"/>
    <col min="19" max="19" width="6.77734375" style="82" customWidth="1"/>
    <col min="20" max="46" width="8.44140625" style="81" customWidth="1"/>
    <col min="47" max="47" width="24.5546875" style="81" customWidth="1"/>
    <col min="48" max="51" width="16.6640625" style="81" customWidth="1"/>
    <col min="52" max="52" width="6.5546875" style="81" customWidth="1"/>
    <col min="53" max="54" width="5.88671875" style="81" customWidth="1"/>
    <col min="55" max="55" width="1.33203125" style="81" customWidth="1"/>
    <col min="56" max="56" width="7.44140625" style="81" customWidth="1"/>
    <col min="57" max="57" width="2.33203125" style="81" customWidth="1"/>
    <col min="58" max="62" width="6.109375" style="81" customWidth="1"/>
    <col min="63" max="63" width="2.33203125" style="81" customWidth="1"/>
    <col min="64" max="64" width="7" style="81" bestFit="1" customWidth="1"/>
    <col min="65" max="65" width="6.44140625" style="81" bestFit="1" customWidth="1"/>
    <col min="66" max="66" width="7.109375" style="81" bestFit="1" customWidth="1"/>
    <col min="67" max="71" width="6.44140625" style="81" bestFit="1" customWidth="1"/>
    <col min="72" max="73" width="6.44140625" style="81" customWidth="1"/>
    <col min="74" max="75" width="13.44140625" style="81" customWidth="1"/>
    <col min="76" max="84" width="14.6640625" style="81" customWidth="1"/>
    <col min="85" max="85" width="6.44140625" style="81" customWidth="1"/>
    <col min="86" max="87" width="11.6640625" style="81" bestFit="1" customWidth="1"/>
    <col min="88" max="88" width="11.6640625" style="81" customWidth="1"/>
    <col min="89" max="89" width="12.77734375" style="81" bestFit="1" customWidth="1"/>
    <col min="90" max="90" width="16.44140625" style="82" bestFit="1" customWidth="1"/>
    <col min="91" max="92" width="14.88671875" style="82" bestFit="1" customWidth="1"/>
    <col min="93" max="93" width="16" style="82" bestFit="1" customWidth="1"/>
    <col min="94" max="97" width="7.77734375" style="81" customWidth="1"/>
    <col min="98" max="98" width="33.21875" style="81" customWidth="1"/>
    <col min="99" max="99" width="18" style="81" customWidth="1"/>
    <col min="100" max="100" width="75.6640625" style="81" customWidth="1"/>
    <col min="101" max="125" width="33" style="81" customWidth="1"/>
    <col min="126" max="126" width="8.88671875" style="81"/>
    <col min="127" max="128" width="9.44140625" style="81" bestFit="1" customWidth="1"/>
    <col min="129" max="129" width="10.77734375" style="81" bestFit="1" customWidth="1"/>
    <col min="130" max="134" width="10.77734375" style="81" customWidth="1"/>
    <col min="135" max="135" width="10.109375" style="81" bestFit="1" customWidth="1"/>
    <col min="136" max="136" width="7.77734375" style="81" bestFit="1" customWidth="1"/>
    <col min="137" max="137" width="7.77734375" style="81" customWidth="1"/>
    <col min="138" max="138" width="9" style="81" bestFit="1" customWidth="1"/>
    <col min="139" max="139" width="11.33203125" style="81" bestFit="1" customWidth="1"/>
    <col min="140" max="140" width="9.109375" style="81" bestFit="1" customWidth="1"/>
    <col min="141" max="141" width="9" style="81" bestFit="1" customWidth="1"/>
    <col min="142" max="142" width="12" style="81" bestFit="1" customWidth="1"/>
    <col min="143" max="166" width="12" style="81" customWidth="1"/>
    <col min="167" max="167" width="17.21875" style="81" customWidth="1"/>
    <col min="168" max="191" width="12" style="81" customWidth="1"/>
    <col min="192" max="192" width="8.5546875" style="81" bestFit="1" customWidth="1"/>
    <col min="193" max="193" width="8.5546875" style="81" customWidth="1"/>
    <col min="194" max="194" width="7.109375" style="81" bestFit="1" customWidth="1"/>
    <col min="195" max="195" width="7.5546875" style="81" bestFit="1" customWidth="1"/>
    <col min="196" max="196" width="8.5546875" style="81" bestFit="1" customWidth="1"/>
    <col min="197" max="200" width="8.5546875" style="81" customWidth="1"/>
    <col min="201" max="201" width="188.88671875" style="81" customWidth="1"/>
    <col min="202" max="202" width="9.5546875" style="81" bestFit="1" customWidth="1"/>
    <col min="203" max="203" width="10.44140625" style="81" bestFit="1" customWidth="1"/>
    <col min="204" max="204" width="11.109375" style="81" bestFit="1" customWidth="1"/>
    <col min="205" max="205" width="10.44140625" style="81" bestFit="1" customWidth="1"/>
    <col min="206" max="210" width="10.44140625" style="81" customWidth="1"/>
    <col min="211" max="211" width="45.44140625" style="81" customWidth="1"/>
    <col min="212" max="212" width="47.5546875" style="81" bestFit="1" customWidth="1"/>
    <col min="213" max="213" width="9.33203125" style="85" customWidth="1"/>
    <col min="214" max="214" width="119.5546875" style="81" customWidth="1"/>
    <col min="215" max="215" width="69.6640625" style="81" customWidth="1"/>
    <col min="216" max="218" width="8.88671875" style="81"/>
    <col min="219" max="219" width="37.109375" style="81" customWidth="1"/>
    <col min="220" max="220" width="16.33203125" style="81" customWidth="1"/>
    <col min="221" max="222" width="8.88671875" style="81"/>
    <col min="223" max="223" width="10.109375" style="81" bestFit="1" customWidth="1"/>
    <col min="224" max="232" width="10.88671875" style="81" customWidth="1"/>
    <col min="233" max="234" width="30.77734375" style="81" customWidth="1"/>
    <col min="235" max="235" width="5.109375" style="81" customWidth="1"/>
    <col min="236" max="236" width="3" style="81" customWidth="1"/>
    <col min="237" max="245" width="6.77734375" style="86" customWidth="1"/>
    <col min="246" max="247" width="8.88671875" style="81"/>
    <col min="248" max="248" width="61.5546875" style="81" customWidth="1"/>
    <col min="249" max="253" width="8.88671875" style="81"/>
    <col min="254" max="254" width="9" style="81" customWidth="1"/>
    <col min="255" max="16384" width="8.88671875" style="8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280</v>
      </c>
      <c r="B2" s="40" t="e" vm="133">
        <v>#VALUE!</v>
      </c>
      <c r="C2" s="41">
        <v>1</v>
      </c>
      <c r="D2" s="42" t="s">
        <v>281</v>
      </c>
      <c r="E2" s="43" t="s">
        <v>282</v>
      </c>
      <c r="F2" s="44" t="s">
        <v>163</v>
      </c>
      <c r="G2" s="45">
        <f>COUNTIF($A$1:$A$8388,A2)</f>
        <v>1</v>
      </c>
      <c r="H2" s="46"/>
      <c r="I2" s="47" t="s">
        <v>283</v>
      </c>
      <c r="J2" s="48" t="str">
        <f>""</f>
        <v/>
      </c>
      <c r="K2" s="49">
        <v>20569737</v>
      </c>
      <c r="L2" s="50">
        <v>1500000</v>
      </c>
      <c r="M2" s="50" t="s">
        <v>292</v>
      </c>
      <c r="N2" s="51" t="s">
        <v>180</v>
      </c>
      <c r="O2" s="52" t="s">
        <v>284</v>
      </c>
      <c r="P2" s="53" t="s">
        <v>285</v>
      </c>
      <c r="Q2" s="54">
        <v>1</v>
      </c>
      <c r="R2" s="55" t="s">
        <v>180</v>
      </c>
      <c r="S2" s="56">
        <v>3</v>
      </c>
      <c r="T2" s="57" t="s">
        <v>164</v>
      </c>
      <c r="U2" s="58" t="s">
        <v>164</v>
      </c>
      <c r="V2" s="58" t="s">
        <v>164</v>
      </c>
      <c r="W2" s="58" t="s">
        <v>167</v>
      </c>
      <c r="X2" s="58" t="s">
        <v>164</v>
      </c>
      <c r="Y2" s="58" t="s">
        <v>167</v>
      </c>
      <c r="Z2" s="58" t="s">
        <v>167</v>
      </c>
      <c r="AA2" s="58" t="s">
        <v>164</v>
      </c>
      <c r="AB2" s="58" t="s">
        <v>164</v>
      </c>
      <c r="AC2" s="58" t="s">
        <v>164</v>
      </c>
      <c r="AD2" s="58" t="s">
        <v>164</v>
      </c>
      <c r="AE2" s="58" t="s">
        <v>164</v>
      </c>
      <c r="AF2" s="59" t="s">
        <v>164</v>
      </c>
      <c r="AG2" s="59" t="s">
        <v>164</v>
      </c>
      <c r="AH2" s="59" t="s">
        <v>164</v>
      </c>
      <c r="AI2" s="59" t="s">
        <v>164</v>
      </c>
      <c r="AJ2" s="59" t="s">
        <v>164</v>
      </c>
      <c r="AK2" s="59" t="s">
        <v>164</v>
      </c>
      <c r="AL2" s="59" t="s">
        <v>164</v>
      </c>
      <c r="AM2" s="59" t="s">
        <v>164</v>
      </c>
      <c r="AN2" s="59" t="s">
        <v>164</v>
      </c>
      <c r="AO2" s="59" t="s">
        <v>164</v>
      </c>
      <c r="AP2" s="59" t="s">
        <v>164</v>
      </c>
      <c r="AQ2" s="59" t="s">
        <v>164</v>
      </c>
      <c r="AR2" s="59" t="s">
        <v>164</v>
      </c>
      <c r="AS2" s="59" t="s">
        <v>164</v>
      </c>
      <c r="AT2" s="60">
        <v>0</v>
      </c>
      <c r="AU2" s="59"/>
      <c r="AV2" s="59" t="str">
        <f>IF(LEFT(A2,1)="[",LEFT(A2,5)&amp;AU2&amp;A2,"")</f>
        <v/>
      </c>
      <c r="AW2" s="59" t="str">
        <f t="shared" ref="AW2:AW3" si="0">C2&amp;H2&amp;A2</f>
        <v>1Zambia</v>
      </c>
      <c r="AX2" s="61" t="str">
        <f>_xlfn.TEXTJOIN(";",TRUE,AU2:AW2)</f>
        <v>1Zambia</v>
      </c>
      <c r="AY2" s="61"/>
      <c r="AZ2" s="62"/>
      <c r="BA2" s="62"/>
      <c r="BB2" s="62"/>
      <c r="BC2" s="63"/>
      <c r="BD2" s="64" t="s">
        <v>153</v>
      </c>
      <c r="BE2" s="47"/>
      <c r="BF2" s="64" t="s">
        <v>154</v>
      </c>
      <c r="BG2" s="64" t="s">
        <v>151</v>
      </c>
      <c r="BH2" s="64" t="s">
        <v>156</v>
      </c>
      <c r="BI2" s="64"/>
      <c r="BJ2" s="64"/>
      <c r="BK2" s="47"/>
      <c r="BL2" s="64" t="s">
        <v>153</v>
      </c>
      <c r="BM2" s="64"/>
      <c r="BN2" s="64" t="s">
        <v>156</v>
      </c>
      <c r="BO2" s="64" t="s">
        <v>151</v>
      </c>
      <c r="BP2" s="64" t="s">
        <v>154</v>
      </c>
      <c r="BQ2" s="64"/>
      <c r="BR2" s="64"/>
      <c r="BS2" s="64"/>
      <c r="BT2" s="64"/>
      <c r="BU2" s="65"/>
      <c r="BV2" s="66" t="s">
        <v>165</v>
      </c>
      <c r="BW2" s="66">
        <v>0</v>
      </c>
      <c r="BX2" s="47"/>
      <c r="BZ2" s="48" t="s">
        <v>167</v>
      </c>
      <c r="CB2" s="6" t="s">
        <v>136</v>
      </c>
      <c r="CC2" s="6"/>
      <c r="CD2" s="67">
        <v>0</v>
      </c>
      <c r="CE2" s="67">
        <v>0</v>
      </c>
      <c r="CF2" s="67" t="e">
        <v>#REF!</v>
      </c>
      <c r="CG2" s="68" cm="1">
        <f t="array" ref="CG2">SUMPRODUCT(--(LEN(TRIM(BL2:BT2))&gt;0))</f>
        <v>4</v>
      </c>
      <c r="CH2" s="59" t="str">
        <f>IF(CG2=2,"y","n")</f>
        <v>n</v>
      </c>
      <c r="CI2" s="59" t="str">
        <f>IF(CG2=3,"y","n")</f>
        <v>n</v>
      </c>
      <c r="CJ2" s="59" t="str">
        <f>IF(CG2=4,"y","n")</f>
        <v>y</v>
      </c>
      <c r="CK2" s="59" t="str">
        <f>IF(CG2&gt;4,"y","n")</f>
        <v>n</v>
      </c>
      <c r="CL2" s="59" t="str">
        <f>IF(S2=0,"y","n")</f>
        <v>n</v>
      </c>
      <c r="CM2" s="59" t="str">
        <f>IF(S2=2,"y","n")</f>
        <v>n</v>
      </c>
      <c r="CN2" s="59" t="str">
        <f>IF(S2=3,"y","n")</f>
        <v>y</v>
      </c>
      <c r="CO2" s="59" t="str">
        <f>IF(S2&gt;=4,"y","n")</f>
        <v>n</v>
      </c>
      <c r="CP2" s="59" t="str">
        <f>IF(AT2=0,"y","n")</f>
        <v>y</v>
      </c>
      <c r="CQ2" s="59" t="str">
        <f>IF(AT2=1,"y","n")</f>
        <v>n</v>
      </c>
      <c r="CR2" s="59" t="str">
        <f>IF(AT2=2,"y","n")</f>
        <v>n</v>
      </c>
      <c r="CS2" s="59" t="str">
        <f>IF(AT2&gt;=3,"y","n")</f>
        <v>n</v>
      </c>
      <c r="CT2" s="69" t="str">
        <f>CHAR(34)&amp;A2&amp;CHAR(34)</f>
        <v>"Zambia"</v>
      </c>
      <c r="CU2" s="70" t="str">
        <f>CHAR(34)&amp;"rgn_"&amp;R2&amp;CHAR(34)</f>
        <v>"rgn_Africa"</v>
      </c>
      <c r="CV2" s="48" t="str">
        <f>CHAR(34)&amp;D2&amp;CHAR(34)</f>
        <v>"https://i.ibb.co/W3WDd74/Zambia-Flag.png"</v>
      </c>
      <c r="CW2" s="48" t="str">
        <f>IF(CH2="y",CHAR(34)&amp;CH$1&amp;CHAR(34)&amp;",","")</f>
        <v/>
      </c>
      <c r="CX2" s="48" t="str">
        <f>IF(CI2="y",CHAR(34)&amp;CI$1&amp;CHAR(34)&amp;",","")</f>
        <v/>
      </c>
      <c r="CY2" s="48" t="str">
        <f>IF(CJ2="y",CHAR(34)&amp;CJ$1&amp;CHAR(34)&amp;",","")</f>
        <v>"4Color",</v>
      </c>
      <c r="CZ2" s="48" t="str">
        <f>IF(CK2="y",CHAR(34)&amp;CK$1&amp;CHAR(34)&amp;",","")</f>
        <v/>
      </c>
      <c r="DA2" s="48" t="str">
        <f>IF(Q2&gt;1,CHAR(34)&amp;"words2"&amp;CHAR(34)&amp;",","")</f>
        <v/>
      </c>
      <c r="DB2" s="48" t="str">
        <f>IF(Q2&gt;2,CHAR(34)&amp;"words3"&amp;CHAR(34)&amp;",","")</f>
        <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"lets06",</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"startZ",</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"with_z",</v>
      </c>
      <c r="DL2" s="48" t="str">
        <f>IF(CG2=2, CHAR(34) &amp; _xlfn.TEXTJOIN("", TRUE, _xlfn._xlws.SORT(HP2:HX2)) &amp; CHAR(34) &amp; ",", "")</f>
        <v/>
      </c>
      <c r="DM2" s="48" t="str" cm="1">
        <f t="array" ref="DM2">IF(CG2=3,CHAR(34) &amp; _xlfn.TEXTJOIN("", TRUE, RIGHT(HP2:HX2, 2)) &amp; CHAR(34) &amp; ",", "")</f>
        <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
      </c>
      <c r="DS2" s="6" t="str">
        <f>IF(W2="y",IF(AND(V2="n",BY2&lt;&gt;"y"),CHAR(34)&amp;"allver"&amp;CHAR(34)&amp;",",""),"")</f>
        <v>"allver",</v>
      </c>
      <c r="DT2" s="6" t="str">
        <f>IF(V2="y",IF(AND(W2="n",BY2&lt;&gt;"y"),CHAR(34)&amp;"allhor"&amp;CHAR(34)&amp;",",""),"")</f>
        <v/>
      </c>
      <c r="DU2" s="6" t="str">
        <f>IF(BY2="y",IF(AND(W2="n",V2="n"),CHAR(34)&amp;"alldia"&amp;CHAR(34)&amp;",",""),"")</f>
        <v/>
      </c>
      <c r="DV2" s="48" t="str">
        <f>IF(IA2&lt;&gt;"",(IF(IA2="y",CHAR(34)&amp;"largec"&amp;CHAR(34)&amp;",",CHAR(34)&amp;"smallc"&amp;CHAR(34)&amp;",")),"")</f>
        <v/>
      </c>
      <c r="DW2" s="48" t="str">
        <f>IF(CL2="y",CHAR(34)&amp;CL$1&amp;CHAR(34)&amp;",","")</f>
        <v/>
      </c>
      <c r="DX2" s="48" t="str">
        <f>IF(CM2="y",CHAR(34)&amp;CM$1&amp;CHAR(34)&amp;",","")</f>
        <v/>
      </c>
      <c r="DY2" s="48" t="str">
        <f>IF(CN2="y",CHAR(34)&amp;CN$1&amp;CHAR(34)&amp;",","")</f>
        <v>"3Bands",</v>
      </c>
      <c r="DZ2" s="48" t="str">
        <f>IF(CO2="y",CHAR(34)&amp;CO$1&amp;CHAR(34)&amp;",","")</f>
        <v/>
      </c>
      <c r="EA2" s="48" t="str">
        <f>IF(T2="y",CHAR(34)&amp;T$1&amp;CHAR(34)&amp;",","")</f>
        <v/>
      </c>
      <c r="EB2" s="48" t="str">
        <f>IF(U2="y",CHAR(34)&amp;U$1&amp;CHAR(34)&amp;",","")</f>
        <v/>
      </c>
      <c r="EC2" s="48" t="str">
        <f>IF(V2="y",CHAR(34)&amp;V$1&amp;CHAR(34)&amp;",","")</f>
        <v/>
      </c>
      <c r="ED2" s="48" t="str">
        <f>IF(W2="y",CHAR(34)&amp;W$1&amp;CHAR(34)&amp;",","")</f>
        <v>"Vertic",</v>
      </c>
      <c r="EE2" s="48" t="str">
        <f>IF(X2="y",CHAR(34)&amp;X$1&amp;CHAR(34)&amp;",","")</f>
        <v/>
      </c>
      <c r="EF2" s="48" t="str">
        <f>IF(AND(Y2&lt;&gt;"n",Y2&lt;&gt;""),CHAR(34)&amp;Y$1&amp;CHAR(34)&amp;",","")</f>
        <v>"Animal",</v>
      </c>
      <c r="EG2" s="48" t="str">
        <f>IF(Z2="y",CHAR(34)&amp;Z$1&amp;CHAR(34)&amp;",","")</f>
        <v>"Bird",</v>
      </c>
      <c r="EH2" s="48" t="str">
        <f>IF(AA2="y",CHAR(34)&amp;AA$1&amp;CHAR(34)&amp;",","")</f>
        <v/>
      </c>
      <c r="EI2" s="48" t="str">
        <f>IF(AB2="y",CHAR(34)&amp;AB$1&amp;CHAR(34)&amp;",","")</f>
        <v/>
      </c>
      <c r="EJ2" s="48" t="str">
        <f>IF(AC2="y",CHAR(34)&amp;AC$1&amp;CHAR(34)&amp;",","")</f>
        <v/>
      </c>
      <c r="EK2" s="48" t="str">
        <f>IF(AD2="y",CHAR(34)&amp;AD$1&amp;CHAR(34)&amp;",","")</f>
        <v/>
      </c>
      <c r="EL2" s="48" t="str">
        <f>IF(AE2="y",CHAR(34)&amp;AE$1&amp;CHAR(34)&amp;",","")</f>
        <v/>
      </c>
      <c r="EM2" s="48" t="str">
        <f>IF(AF2="y",CHAR(34)&amp;AF$1&amp;CHAR(34)&amp;",","")</f>
        <v/>
      </c>
      <c r="EN2" s="48" t="str">
        <f>IF(AG2="y",CHAR(34)&amp;AG$1&amp;CHAR(34)&amp;",","")</f>
        <v/>
      </c>
      <c r="EO2" s="48" t="str">
        <f>IF(AH2="y",CHAR(34)&amp;AH$1&amp;CHAR(34)&amp;",","")</f>
        <v/>
      </c>
      <c r="EP2" s="48" t="str">
        <f>IF(AI2="y",CHAR(34)&amp;AI$1&amp;CHAR(34)&amp;",","")</f>
        <v/>
      </c>
      <c r="EQ2" s="48" t="str">
        <f>IF(AJ2="y",CHAR(34)&amp;AJ$1&amp;CHAR(34)&amp;",","")</f>
        <v/>
      </c>
      <c r="ER2" s="48" t="str">
        <f>IF(AK2="y",CHAR(34)&amp;AK$1&amp;CHAR(34)&amp;",","")</f>
        <v/>
      </c>
      <c r="ES2" s="48" t="str">
        <f>IF(AL2="y",CHAR(34)&amp;AL$1&amp;CHAR(34)&amp;",","")</f>
        <v/>
      </c>
      <c r="ET2" s="48" t="str">
        <f>IF(AM2="y",CHAR(34)&amp;AM$1&amp;CHAR(34)&amp;",","")</f>
        <v/>
      </c>
      <c r="EU2" s="48" t="str">
        <f>IF(AN2="y",CHAR(34)&amp;AN$1&amp;CHAR(34)&amp;",","")</f>
        <v/>
      </c>
      <c r="EV2" s="48" t="str">
        <f>IF(AO2="y",CHAR(34)&amp;AO$1&amp;CHAR(34)&amp;",","")</f>
        <v/>
      </c>
      <c r="EW2" s="48" t="str">
        <f>IF(AP2="y",CHAR(34)&amp;AP$1&amp;CHAR(34)&amp;",","")</f>
        <v/>
      </c>
      <c r="EX2" s="48" t="str">
        <f>IF(AQ2="y",CHAR(34)&amp;AQ$1&amp;CHAR(34)&amp;",","")</f>
        <v/>
      </c>
      <c r="EY2" s="48" t="str">
        <f>IF(AR2="y",CHAR(34)&amp;AR$1&amp;CHAR(34)&amp;",","")</f>
        <v/>
      </c>
      <c r="EZ2" s="48" t="str">
        <f>IF(AS2="y",CHAR(34)&amp;AS$1&amp;CHAR(34)&amp;",","")</f>
        <v/>
      </c>
      <c r="FA2" s="48" t="str">
        <f>IF(AT2&gt;0,CHAR(34)&amp;"sta"&amp;AZ2&amp;CHAR(34)&amp;",","")</f>
        <v/>
      </c>
      <c r="FB2" s="48" t="str">
        <f>IF(AND(AT2&gt;0,BA2&lt;&gt;""),CHAR(34)&amp;"sta"&amp;BA2&amp;CHAR(34)&amp;",","")</f>
        <v/>
      </c>
      <c r="FC2" s="48" t="str">
        <f>IF(AND(AT2&gt;0,BB2&lt;&gt;""),CHAR(34)&amp;"sta"&amp;BB2&amp;CHAR(34)&amp;",","")</f>
        <v/>
      </c>
      <c r="FD2" s="48" t="str">
        <f>IF(BV2="n",CHAR(34)&amp;"tcWHYE"&amp;CHAR(34)&amp;",",IF(BV2="y",CHAR(34)&amp;FD$1&amp;CHAR(34)&amp;",",""))</f>
        <v/>
      </c>
      <c r="FE2" s="48" t="str">
        <f>IF(COUNTIF(BL2:BT2,"BLU")=0,CHAR(34)&amp;"NO_BLU"&amp;CHAR(34)&amp;",", "")</f>
        <v>"NO_BLU",</v>
      </c>
      <c r="FF2" s="48" t="str">
        <f>IF(COUNTIF(BL2:BT2,"WHI")=0,CHAR(34)&amp;"NO_WHI"&amp;CHAR(34)&amp;",", "")</f>
        <v>"NO_WHI",</v>
      </c>
      <c r="FG2" s="48" t="str">
        <f>IF(COUNTIF(BL2:BT2,"RED")=0,CHAR(34)&amp;"NO_RED"&amp;CHAR(34)&amp;",", "")</f>
        <v/>
      </c>
      <c r="FH2" s="48" t="str">
        <f>IF(COUNTIF(BL2:BS2,"GRE")=0,CHAR(34)&amp;"NO_GRE"&amp;CHAR(34)&amp;",", "")</f>
        <v/>
      </c>
      <c r="FI2" s="48" t="str">
        <f>IF(COUNTIF(BL2:BT2,"YEL")=0,CHAR(34)&amp;"NO_YEL"&amp;CHAR(34)&amp;",", "")</f>
        <v>"NO_YEL",</v>
      </c>
      <c r="FJ2" s="48" t="str">
        <f>IF(COUNTIF(BL2:BT2,"BLA")=0,CHAR(34)&amp;"NO_BLA"&amp;CHAR(34)&amp;",", "")</f>
        <v/>
      </c>
      <c r="FK2" s="48" t="str">
        <f>IF(AND(FH2&lt;&gt;"",FF2&lt;&gt;""),CHAR(34)&amp;"WHGRNO"&amp;CHAR(34)&amp;",","")</f>
        <v/>
      </c>
      <c r="FL2" s="48" t="str">
        <f>IF(AND(FI2&lt;&gt;"",FF2&lt;&gt;""),CHAR(34)&amp;"WHYENO"&amp;CHAR(34)&amp;",","")</f>
        <v>"WHYENO",</v>
      </c>
      <c r="FM2" s="48" t="str">
        <f>IF(AND(FJ2&lt;&gt;"",FF2&lt;&gt;""),CHAR(34)&amp;"BAWHNO"&amp;CHAR(34)&amp;",","")</f>
        <v/>
      </c>
      <c r="FN2" s="48" t="str">
        <f>IF(AND(FE2&lt;&gt;"",FF2&lt;&gt;""),CHAR(34)&amp;"BLWHNO"&amp;CHAR(34)&amp;",","")</f>
        <v>"BLWHNO",</v>
      </c>
      <c r="FO2" s="48" t="str">
        <f>IF(AND(FE2&lt;&gt;"",FG2&lt;&gt;""),CHAR(34)&amp;"BLRENO"&amp;CHAR(34)&amp;",","")</f>
        <v/>
      </c>
      <c r="FP2" s="48" t="str">
        <f>IF(AND(FF2&lt;&gt;"",FF2&lt;&gt;""),CHAR(34)&amp;"WHRENO"&amp;CHAR(34)&amp;",","")</f>
        <v>"WHRENO",</v>
      </c>
      <c r="FQ2" s="48" t="str">
        <f>IF(LEN(BF2)=3,CHAR(34)&amp;"001"&amp;BF2&amp;CHAR(34)&amp;",","")</f>
        <v>"001RED",</v>
      </c>
      <c r="FR2" s="48" t="str">
        <f>IF(LEN(BG2)=3,CHAR(34)&amp;"002"&amp;BG2&amp;CHAR(34)&amp;",","")</f>
        <v>"002BLA",</v>
      </c>
      <c r="FS2" s="48" t="str">
        <f>IF(LEN(BH2)=3,CHAR(34)&amp;"003"&amp;BH2&amp;CHAR(34)&amp;",","")</f>
        <v>"003ORA",</v>
      </c>
      <c r="FT2" s="48" t="str">
        <f>CHAR(34)&amp;"myr"&amp;BD2&amp;CHAR(34)&amp;","</f>
        <v>"myrGRE",</v>
      </c>
      <c r="FU2" s="48" t="str">
        <f>IF(AY2="y",CHAR(34)&amp;"island"&amp;CHAR(34)&amp;",","")</f>
        <v/>
      </c>
      <c r="FV2" s="48" t="str">
        <f>IF(BZ2="y",CHAR(34)&amp;"landlo"&amp;CHAR(34)&amp;",","")</f>
        <v>"landlo",</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"englis",</v>
      </c>
      <c r="GA2" s="48" t="str">
        <f>IFERROR(IF(SEARCH("French",CB2)&gt;0,CHAR(34)&amp;"french"&amp;CHAR(34)&amp;",",""),"")</f>
        <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"NoStar",</v>
      </c>
      <c r="GK2" s="48" t="str">
        <f>IF(GJ2="",CHAR(34)&amp;"HasSta"&amp;CHAR(34)&amp;",","")</f>
        <v/>
      </c>
      <c r="GL2" s="48" t="str">
        <f>IF(CQ2="y",CHAR(34)&amp;CQ$1&amp;CHAR(34)&amp;",","")</f>
        <v/>
      </c>
      <c r="GM2" s="48" t="str">
        <f>IF(CR2="y",CHAR(34)&amp;CR$1&amp;CHAR(34)&amp;",","")</f>
        <v/>
      </c>
      <c r="GN2" s="48" t="str">
        <f>IF(CS2="y",CHAR(34)&amp;CS$1&amp;CHAR(34)&amp;",","")</f>
        <v/>
      </c>
      <c r="GP2" s="48" t="str">
        <f>CHAR(34)&amp;AU2&amp;CHAR(34)</f>
        <v>""</v>
      </c>
      <c r="GS2" s="48" t="str">
        <f>SUBSTITUTE("["&amp;_xlfn.CONCAT(CW2:GN2)&amp;"]",",]","]")</f>
        <v>["4Color","lets06","startZ","with_z","year19","allver","3Bands","Vertic","Animal","Bird","NO_BLU","NO_WHI","NO_YEL","WHYENO","BLWHNO","WHRENO","001RED","002BLA","003ORA","myrGRE","landlo","englis","NoStar"]</v>
      </c>
      <c r="GT2" s="48" t="str">
        <f>IF(BL2&lt;&gt;"",CHAR(34)&amp;"cl_"&amp;BL2&amp;CHAR(34)&amp;",","")</f>
        <v>"cl_GRE",</v>
      </c>
      <c r="GU2" s="48" t="str">
        <f>IF(BM2&lt;&gt;"",CHAR(34)&amp;"cl_"&amp;BM2&amp;CHAR(34)&amp;",","")</f>
        <v/>
      </c>
      <c r="GV2" s="48" t="str">
        <f>IF(BN2&lt;&gt;"",CHAR(34)&amp;"cl_"&amp;BN2&amp;CHAR(34)&amp;",","")</f>
        <v>"cl_ORA",</v>
      </c>
      <c r="GW2" s="48" t="str">
        <f>IF(BO2&lt;&gt;"",CHAR(34)&amp;"cl_"&amp;BO2&amp;CHAR(34)&amp;",","")</f>
        <v>"cl_BLA",</v>
      </c>
      <c r="GX2" s="48" t="str">
        <f>IF(BP2&lt;&gt;"",CHAR(34)&amp;"cl_"&amp;BP2&amp;CHAR(34)&amp;",","")</f>
        <v>"cl_RED",</v>
      </c>
      <c r="GY2" s="48" t="str">
        <f>IF(BQ2&lt;&gt;"",CHAR(34)&amp;"cl_"&amp;BQ2&amp;CHAR(34)&amp;",","")</f>
        <v/>
      </c>
      <c r="GZ2" s="48" t="str">
        <f>IF(BR2&lt;&gt;"",CHAR(34)&amp;"cl_"&amp;BR2&amp;CHAR(34)&amp;",","")</f>
        <v/>
      </c>
      <c r="HA2" s="48" t="str">
        <f>IF(BS2&lt;&gt;"",CHAR(34)&amp;"cl_"&amp;BS2&amp;CHAR(34)&amp;",","")</f>
        <v/>
      </c>
      <c r="HB2" s="48" t="str">
        <f>IF(BT2&lt;&gt;"",CHAR(34)&amp;"cl_"&amp;BT2&amp;CHAR(34)&amp;",","")</f>
        <v/>
      </c>
      <c r="HC2" s="48" t="str">
        <f>SUBSTITUTE("["&amp;_xlfn.CONCAT(GT2:HB2)&amp;"]",",]","]")</f>
        <v>["cl_GRE","cl_ORA","cl_BLA","cl_RED"]</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{couname:"Zambia",year:"1964, 1996 ",region:"rgn_Africa",Colors:["cl_GRE","cl_ORA","cl_BLA","cl_RED"],Items:["4Color","lets06","startZ","with_z","year19","allver","3Bands","Vertic","Animal","Bird","NO_BLU","NO_WHI","NO_YEL","WHYENO","BLWHNO","WHRENO","001RED","002BLA","003ORA","myrGRE","landlo","englis","NoStar"],Flag:"https://i.ibb.co/W3WDd74/Zambia-Flag.png",HDFlag:"https://upload.wikimedia.org/wikipedia/commons/thumb/0/06/Flag_of_Zambia.svg/2560px-Flag_of_Zambia.svg.png",type:"", describe: "\nIt is green with an orange-coloured African fish eagle in flight over a rectangular block of three vertical stripes, coloured, from left to right: red, black and orange. The placement of the eagle and block of stripes at the flag's fly is notable as most emblems and devices on flags are placed at centre or at the hoist. Green stands for the nation's agriculture and lush flora, red for the nation's struggle for freedom, black for the Zambian people and all black Africans, and orange for the land's copper, natural resources in general, and mineral wealth. Additionally, the eagle flying above the coloured stripes is intended to represent freedom and the people's ability to rise above the nation's problems.", isnew:".", links: "https://en.wikipedia.org/wiki/Flag_of_Zambia"},</v>
      </c>
      <c r="HG2" s="73" t="str">
        <f>"{couname:"&amp;CT2&amp;(IF(HK2&lt;&gt;"",",subtype:"&amp;CHAR(34)&amp;HK2&amp;CHAR(34),""))&amp;",year:"&amp;HJ2&amp;",region:"&amp;CU2&amp;",Colors:"&amp;HC2&amp;",Items:"&amp;GS2&amp;",Flag:"&amp;CV2&amp;",HDFlag:"&amp;CHAR(34)&amp;E2&amp;CHAR(34)&amp;",type:"&amp;GP2&amp;", describe: "&amp;HI2&amp;", links: "&amp;HL2&amp;"},"</f>
        <v>{couname:"Zambia",year:"1964, 1996 ",region:"rgn_Africa",Colors:["cl_GRE","cl_ORA","cl_BLA","cl_RED"],Items:["4Color","lets06","startZ","with_z","year19","allver","3Bands","Vertic","Animal","Bird","NO_BLU","NO_WHI","NO_YEL","WHYENO","BLWHNO","WHRENO","001RED","002BLA","003ORA","myrGRE","landlo","englis","NoStar"],Flag:"https://i.ibb.co/W3WDd74/Zambia-Flag.png",HDFlag:"https://upload.wikimedia.org/wikipedia/commons/thumb/0/06/Flag_of_Zambia.svg/2560px-Flag_of_Zambia.svg.png",type:"", describe: "\nIt is green with an orange-coloured African fish eagle in flight over a rectangular block of three vertical stripes, coloured, from left to right: red, black and orange. The placement of the eagle and block of stripes at the flag's fly is notable as most emblems and devices on flags are placed at centre or at the hoist. Green stands for the nation's agriculture and lush flora, red for the nation's struggle for freedom, black for the Zambian people and all black Africans, and orange for the land's copper, natural resources in general, and mineral wealth. Additionally, the eagle flying above the coloured stripes is intended to represent freedom and the people's ability to rise above the nation's problems.", links: "https://en.wikipedia.org/wiki/Flag_of_Zambia"},</v>
      </c>
      <c r="HH2" s="48" t="str">
        <f>IF(P2&lt;&gt;"",CHAR(34)&amp;"\n"&amp;P2&amp;CHAR(34),CHAR(34)&amp;CHAR(34))</f>
        <v>"\nIt is green with an orange-coloured African fish eagle in flight over a rectangular block of three vertical stripes, coloured, from left to right: red, black and orange. The placement of the eagle and block of stripes at the flag's fly is notable as most emblems and devices on flags are placed at centre or at the hoist. Green stands for the nation's agriculture and lush flora, red for the nation's struggle for freedom, black for the Zambian people and all black Africans, and orange for the land's copper, natural resources in general, and mineral wealth. Additionally, the eagle flying above the coloured stripes is intended to represent freedom and the people's ability to rise above the nation's problems."</v>
      </c>
      <c r="HI2" s="48" t="str">
        <f>IF(J2=0,CHAR(34)&amp;CHAR(34),HH2)</f>
        <v>"\nIt is green with an orange-coloured African fish eagle in flight over a rectangular block of three vertical stripes, coloured, from left to right: red, black and orange. The placement of the eagle and block of stripes at the flag's fly is notable as most emblems and devices on flags are placed at centre or at the hoist. Green stands for the nation's agriculture and lush flora, red for the nation's struggle for freedom, black for the Zambian people and all black Africans, and orange for the land's copper, natural resources in general, and mineral wealth. Additionally, the eagle flying above the coloured stripes is intended to represent freedom and the people's ability to rise above the nation's problems."</v>
      </c>
      <c r="HJ2" s="48" t="str">
        <f>CHAR(34)&amp;O2&amp;CHAR(34)</f>
        <v>"1964, 1996 "</v>
      </c>
      <c r="HL2" s="48" t="str">
        <f>CHAR(34)&amp;I2&amp;CHAR(34)</f>
        <v>"https://en.wikipedia.org/wiki/Flag_of_Zambia"</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{"couname":"Zambia","year":"1964, 1996 ","region":"rgn_Africa","Colors":["cl_GRE","cl_ORA","cl_BLA","cl_RED"],"Items":["4Color","lets06","startZ","with_z","year19","allver","3Bands","Vertic","Animal","Bird","NO_BLU","NO_WHI","NO_YEL","WHYENO","BLWHNO","WHRENO","001RED","002BLA","003ORA","myrGRE","landlo","englis","NoStar"],"Flag":"https://i.ibb.co/W3WDd74/Zambia-Flag.png","HDFlag":"https://upload.wikimedia.org/wikipedia/commons/thumb/0/06/Flag_of_Zambia.svg/2560px-Flag_of_Zambia.svg.png","type":"", "describe": "\nIt is green with an orange-coloured African fish eagle in flight over a rectangular block of three vertical stripes, coloured, from left to right: red, black and orange. The placement of the eagle and block of stripes at the flag's fly is notable as most emblems and devices on flags are placed at centre or at the hoist. Green stands for the nation's agriculture and lush flora, red for the nation's struggle for freedom, black for the Zambian people and all black Africans, and orange for the land's copper, natural resources in general, and mineral wealth. Additionally, the eagle flying above the coloured stripes is intended to represent freedom and the people's ability to rise above the nation's problems.", "isnew": ".", "links": "https://en.wikipedia.org/wiki/Flag_of_Zambia"},</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{"couname":"Zambia","year":"1964, 1996 ","region":"rgn_Africa","Colors":["cl_GRE","cl_ORA","cl_BLA","cl_RED"],"Items":["4Color","lets06","startZ","with_z","year19","allver","3Bands","Vertic","Animal","Bird","NO_BLU","NO_WHI","NO_YEL","WHYENO","BLWHNO","WHRENO","001RED","002BLA","003ORA","myrGRE","landlo","englis","NoStar"],"Flag":"https://i.ibb.co/W3WDd74/Zambia-Flag.png","HDFlag":"https://upload.wikimedia.org/wikipedia/commons/thumb/0/06/Flag_of_Zambia.svg/2560px-Flag_of_Zambia.svg.png","type":"", "describe": "\nIt is green with an orange-coloured African fish eagle in flight over a rectangular block of three vertical stripes, coloured, from left to right: red, black and orange. The placement of the eagle and block of stripes at the flag's fly is notable as most emblems and devices on flags are placed at centre or at the hoist. Green stands for the nation's agriculture and lush flora, red for the nation's struggle for freedom, black for the Zambian people and all black Africans, and orange for the land's copper, natural resources in general, and mineral wealth. Additionally, the eagle flying above the coloured stripes is intended to represent freedom and the people's ability to rise above the nation's problems.", "isnew": ".", "links": "https://en.wikipedia.org/wiki/Flag_of_Zambia"},</v>
      </c>
      <c r="HO2" s="75"/>
      <c r="HP2" s="48" t="str" cm="1">
        <f t="array" ref="HP2">IF(_xlfn.TEXTJOIN(", ", TRUE, IF(ISNUMBER(SEARCH("BLA", BL2:BT2)), COLUMN(BL2:BT2) - COLUMN(BL2) + 1, ""))&lt;&gt;"","BLA","")</f>
        <v>BLA</v>
      </c>
      <c r="HQ2" s="48" t="str" cm="1">
        <f t="array" ref="HQ2">IF(_xlfn.TEXTJOIN(", ", TRUE, IF(ISNUMBER(SEARCH("BLU", BL2:BT2)), COLUMN(BL2:BT2) - COLUMN(BL2) + 1, ""))&lt;&gt;"","BLU","")</f>
        <v/>
      </c>
      <c r="HR2" s="48" t="str" cm="1">
        <f t="array" ref="HR2">IF(_xlfn.TEXTJOIN(", ", TRUE, IF(ISNUMBER(SEARCH("GRE", BL2:BT2)), COLUMN(BL2:BT2) - COLUMN(BL2) + 1, ""))&lt;&gt;"","GRE","")</f>
        <v>GRE</v>
      </c>
      <c r="HS2" s="48" t="str" cm="1">
        <f t="array" ref="HS2">IF(_xlfn.TEXTJOIN(", ", TRUE, IF(ISNUMBER(SEARCH("RED", BL2:BT2)), COLUMN(BL2:BT2) - COLUMN(BL2) + 1, ""))&lt;&gt;"","RED","")</f>
        <v>RED</v>
      </c>
      <c r="HT2" s="48" t="str" cm="1">
        <f t="array" ref="HT2">IF(_xlfn.TEXTJOIN(", ", TRUE, IF(ISNUMBER(SEARCH("YEL", BL2:BT2)), COLUMN(BL2:BT2) - COLUMN(BL2) + 1, ""))&lt;&gt;"","YEL","")</f>
        <v/>
      </c>
      <c r="HU2" s="48" t="str" cm="1">
        <f t="array" ref="HU2">IF(_xlfn.TEXTJOIN(", ", TRUE, IF(ISNUMBER(SEARCH("ORA", BL2:BT2)), COLUMN(BL2:BT2) - COLUMN(BL2) + 1, ""))&lt;&gt;"","ORA","")</f>
        <v>ORA</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
      </c>
      <c r="HY2" s="76"/>
      <c r="HZ2" s="76"/>
      <c r="IA2" s="6"/>
      <c r="IB2" s="6"/>
      <c r="IC2" s="77"/>
      <c r="ID2" s="77"/>
      <c r="IE2" s="77"/>
      <c r="IF2" s="77"/>
      <c r="IG2" s="77"/>
      <c r="IH2" s="77"/>
      <c r="II2" s="77"/>
      <c r="IJ2" s="77"/>
      <c r="IK2" s="77"/>
      <c r="IL2" s="48">
        <f>SUM(IC2:IK2)</f>
        <v>0</v>
      </c>
      <c r="IM2" s="45">
        <f>COUNTIF(IC2:IK2,"&gt;0")-CG2</f>
        <v>-4</v>
      </c>
      <c r="IN2" s="78" t="str">
        <f>"http://mkweb.bcgsc.ca/color-summarizer/?url="&amp;D2&amp;"&amp;precision=low&amp;num_clusters="&amp;CG2&amp;"&amp;text=1"</f>
        <v>http://mkweb.bcgsc.ca/color-summarizer/?url=https://i.ibb.co/W3WDd74/Zambia-Flag.png&amp;precision=low&amp;num_clusters=4&amp;text=1</v>
      </c>
      <c r="IO2" s="48" t="str">
        <f>IF(HP2&lt;&gt;"",CHAR(34)&amp;"black"&amp;CHAR(34),"")</f>
        <v>"black"</v>
      </c>
      <c r="IP2" s="48" t="str">
        <f>IF(HQ2&lt;&gt;"",CHAR(34)&amp;"blue"&amp;CHAR(34),"")</f>
        <v/>
      </c>
      <c r="IQ2" s="48" t="str">
        <f>IF(HR2&lt;&gt;"",CHAR(34)&amp;"green"&amp;CHAR(34),"")</f>
        <v>"green"</v>
      </c>
      <c r="IR2" s="48" t="str">
        <f>IF(HS2&lt;&gt;"",CHAR(34)&amp;"red"&amp;CHAR(34),"")</f>
        <v>"red"</v>
      </c>
      <c r="IS2" s="48" t="str">
        <f>IF(HT2&lt;&gt;"",CHAR(34)&amp;"yellow"&amp;CHAR(34),"")</f>
        <v/>
      </c>
      <c r="IT2" s="48" t="str">
        <f>IF(HU2&lt;&gt;"",CHAR(34)&amp;"orange"&amp;CHAR(34),"")</f>
        <v>"orange"</v>
      </c>
      <c r="IU2" s="48" t="str">
        <f>IF(HV2&lt;&gt;"",CHAR(34)&amp;"brown"&amp;CHAR(34),"")</f>
        <v/>
      </c>
      <c r="IV2" s="48" t="str">
        <f>IF(HW2&lt;&gt;"",CHAR(34)&amp;"purple"&amp;CHAR(34),"")</f>
        <v/>
      </c>
      <c r="IW2" s="48" t="str">
        <f>IF(HX2&lt;&gt;"",CHAR(34)&amp;"white"&amp;CHAR(34),"")</f>
        <v/>
      </c>
      <c r="IX2" s="48" t="str">
        <f>"{"&amp;CHAR(34)&amp;"url"&amp;CHAR(34)&amp;":"&amp;CHAR(34)&amp;IN2&amp;CHAR(34)&amp;","&amp;CHAR(34)&amp;"name"&amp;CHAR(34)&amp;":"&amp;CHAR(34)&amp;A2&amp;CHAR(34)&amp;"},"</f>
        <v>{"url":"http://mkweb.bcgsc.ca/color-summarizer/?url=https://i.ibb.co/W3WDd74/Zambia-Flag.png&amp;precision=low&amp;num_clusters=4&amp;text=1","name":"Zambia"},</v>
      </c>
      <c r="IY2" s="48">
        <v>242</v>
      </c>
    </row>
    <row r="3" spans="1:259" s="48" customFormat="1" ht="38.4" customHeight="1" thickBot="1" x14ac:dyDescent="0.35">
      <c r="A3" s="80" t="s">
        <v>286</v>
      </c>
      <c r="B3" s="40" t="e" vm="134">
        <v>#VALUE!</v>
      </c>
      <c r="C3" s="41" t="s">
        <v>173</v>
      </c>
      <c r="D3" s="42" t="s">
        <v>287</v>
      </c>
      <c r="E3" s="43" t="s">
        <v>288</v>
      </c>
      <c r="F3" s="44" t="s">
        <v>163</v>
      </c>
      <c r="G3" s="45">
        <f>COUNTIF($A$1:$A$8407,A3)</f>
        <v>1</v>
      </c>
      <c r="H3" s="46" t="s">
        <v>291</v>
      </c>
      <c r="I3" s="47" t="s">
        <v>289</v>
      </c>
      <c r="J3" s="48" t="str">
        <f>""</f>
        <v/>
      </c>
      <c r="K3" s="49"/>
      <c r="L3" s="50"/>
      <c r="M3" s="50"/>
      <c r="N3" s="51" t="s">
        <v>180</v>
      </c>
      <c r="O3" s="52">
        <v>1924</v>
      </c>
      <c r="P3" s="53" t="s">
        <v>290</v>
      </c>
      <c r="Q3" s="54">
        <v>4</v>
      </c>
      <c r="R3" s="55" t="s">
        <v>180</v>
      </c>
      <c r="S3" s="56">
        <v>0</v>
      </c>
      <c r="T3" s="57" t="s">
        <v>167</v>
      </c>
      <c r="U3" s="58" t="s">
        <v>167</v>
      </c>
      <c r="V3" s="58" t="s">
        <v>164</v>
      </c>
      <c r="W3" s="58" t="s">
        <v>164</v>
      </c>
      <c r="X3" s="58" t="s">
        <v>164</v>
      </c>
      <c r="Y3" s="58" t="s">
        <v>167</v>
      </c>
      <c r="Z3" s="58" t="s">
        <v>164</v>
      </c>
      <c r="AA3" s="58" t="s">
        <v>164</v>
      </c>
      <c r="AB3" s="58" t="s">
        <v>164</v>
      </c>
      <c r="AC3" s="58" t="s">
        <v>164</v>
      </c>
      <c r="AD3" s="58" t="s">
        <v>164</v>
      </c>
      <c r="AE3" s="58" t="s">
        <v>164</v>
      </c>
      <c r="AF3" s="59" t="s">
        <v>164</v>
      </c>
      <c r="AG3" s="59" t="s">
        <v>167</v>
      </c>
      <c r="AH3" s="59" t="s">
        <v>164</v>
      </c>
      <c r="AI3" s="59" t="s">
        <v>167</v>
      </c>
      <c r="AJ3" s="59" t="s">
        <v>164</v>
      </c>
      <c r="AK3" s="59" t="s">
        <v>164</v>
      </c>
      <c r="AL3" s="59" t="s">
        <v>164</v>
      </c>
      <c r="AM3" s="59" t="s">
        <v>164</v>
      </c>
      <c r="AN3" s="59" t="s">
        <v>164</v>
      </c>
      <c r="AO3" s="59" t="s">
        <v>164</v>
      </c>
      <c r="AP3" s="59" t="s">
        <v>164</v>
      </c>
      <c r="AQ3" s="59" t="s">
        <v>164</v>
      </c>
      <c r="AR3" s="59" t="s">
        <v>164</v>
      </c>
      <c r="AS3" s="59" t="s">
        <v>164</v>
      </c>
      <c r="AT3" s="60">
        <v>0</v>
      </c>
      <c r="AU3" s="59" t="s">
        <v>174</v>
      </c>
      <c r="AV3" s="59" t="str">
        <f>IF(LEFT(A3,1)="[",LEFT(A3,5)&amp;AU3&amp;A3,"")</f>
        <v>[ZMB]Historical[ZMB] Northern Rhodesia (1924-1964)</v>
      </c>
      <c r="AW3" s="59" t="str">
        <f t="shared" si="0"/>
        <v>3b[ZMB] Other[ZMB] Northern Rhodesia (1924-1964)</v>
      </c>
      <c r="AX3" s="61"/>
      <c r="AY3" s="61"/>
      <c r="AZ3" s="62" t="s">
        <v>172</v>
      </c>
      <c r="BA3" s="62" t="s">
        <v>172</v>
      </c>
      <c r="BB3" s="62"/>
      <c r="BC3" s="63"/>
      <c r="BD3" s="64" t="s">
        <v>152</v>
      </c>
      <c r="BE3" s="47"/>
      <c r="BF3" s="64" t="s">
        <v>172</v>
      </c>
      <c r="BG3" s="64" t="s">
        <v>172</v>
      </c>
      <c r="BH3" s="64" t="s">
        <v>172</v>
      </c>
      <c r="BI3" s="64"/>
      <c r="BJ3" s="64"/>
      <c r="BK3" s="47"/>
      <c r="BL3" s="64" t="s">
        <v>151</v>
      </c>
      <c r="BM3" s="64" t="s">
        <v>152</v>
      </c>
      <c r="BN3" s="64" t="s">
        <v>172</v>
      </c>
      <c r="BO3" s="64" t="s">
        <v>154</v>
      </c>
      <c r="BP3" s="64" t="s">
        <v>155</v>
      </c>
      <c r="BQ3" s="64" t="s">
        <v>172</v>
      </c>
      <c r="BR3" s="64" t="s">
        <v>172</v>
      </c>
      <c r="BS3" s="64" t="s">
        <v>172</v>
      </c>
      <c r="BT3" s="64" t="s">
        <v>159</v>
      </c>
      <c r="BU3" s="65" t="s">
        <v>167</v>
      </c>
      <c r="BV3" s="66"/>
      <c r="BW3" s="66">
        <v>0</v>
      </c>
      <c r="BX3" s="47"/>
      <c r="BY3" s="48" t="s">
        <v>164</v>
      </c>
      <c r="CB3" s="6"/>
      <c r="CC3" s="6"/>
      <c r="CD3" s="67">
        <v>0</v>
      </c>
      <c r="CE3" s="67">
        <v>0</v>
      </c>
      <c r="CF3" s="67" t="e">
        <v>#REF!</v>
      </c>
      <c r="CG3" s="68" cm="1">
        <f t="array" ref="CG3">SUMPRODUCT(--(LEN(TRIM(BL3:BT3))&gt;0))</f>
        <v>5</v>
      </c>
      <c r="CH3" s="59" t="str">
        <f>IF(CG3=2,"y","n")</f>
        <v>n</v>
      </c>
      <c r="CI3" s="59" t="str">
        <f>IF(CG3=3,"y","n")</f>
        <v>n</v>
      </c>
      <c r="CJ3" s="59" t="str">
        <f>IF(CG3=4,"y","n")</f>
        <v>n</v>
      </c>
      <c r="CK3" s="59" t="str">
        <f>IF(CG3&gt;4,"y","n")</f>
        <v>y</v>
      </c>
      <c r="CL3" s="59" t="str">
        <f>IF(S3=0,"y","n")</f>
        <v>y</v>
      </c>
      <c r="CM3" s="59" t="str">
        <f>IF(S3=2,"y","n")</f>
        <v>n</v>
      </c>
      <c r="CN3" s="59" t="str">
        <f>IF(S3=3,"y","n")</f>
        <v>n</v>
      </c>
      <c r="CO3" s="59" t="str">
        <f>IF(S3&gt;=4,"y","n")</f>
        <v>n</v>
      </c>
      <c r="CP3" s="59" t="str">
        <f>IF(AT3=0,"y","n")</f>
        <v>y</v>
      </c>
      <c r="CQ3" s="59" t="str">
        <f>IF(AT3=1,"y","n")</f>
        <v>n</v>
      </c>
      <c r="CR3" s="59" t="str">
        <f>IF(AT3=2,"y","n")</f>
        <v>n</v>
      </c>
      <c r="CS3" s="59" t="str">
        <f>IF(AT3&gt;=3,"y","n")</f>
        <v>n</v>
      </c>
      <c r="CT3" s="69" t="str">
        <f>CHAR(34)&amp;A3&amp;CHAR(34)</f>
        <v>"[ZMB] Northern Rhodesia (1924-1964)"</v>
      </c>
      <c r="CU3" s="70" t="str">
        <f>CHAR(34)&amp;"rgn_"&amp;R3&amp;CHAR(34)</f>
        <v>"rgn_Africa"</v>
      </c>
      <c r="CV3" s="48" t="str">
        <f>CHAR(34)&amp;D3&amp;CHAR(34)</f>
        <v>"https://upload.wikimedia.org/wikipedia/commons/thumb/5/56/Flag_of_Northern_Rhodesia_%281939%E2%80%931964%29.svg/640px-Flag_of_Northern_Rhodesia_%281939%E2%80%931964%29.svg.png"</v>
      </c>
      <c r="CW3" s="48" t="str">
        <f>IF(CH3="y",CHAR(34)&amp;CH$1&amp;CHAR(34)&amp;",","")</f>
        <v/>
      </c>
      <c r="CX3" s="48" t="str">
        <f>IF(CI3="y",CHAR(34)&amp;CI$1&amp;CHAR(34)&amp;",","")</f>
        <v/>
      </c>
      <c r="CY3" s="48" t="str">
        <f>IF(CJ3="y",CHAR(34)&amp;CJ$1&amp;CHAR(34)&amp;",","")</f>
        <v/>
      </c>
      <c r="CZ3" s="48" t="str">
        <f>IF(CK3="y",CHAR(34)&amp;CK$1&amp;CHAR(34)&amp;",","")</f>
        <v>"5+Colo",</v>
      </c>
      <c r="DA3" s="48" t="str">
        <f>IF(Q3&gt;1,CHAR(34)&amp;"words2"&amp;CHAR(34)&amp;",","")</f>
        <v>"words2",</v>
      </c>
      <c r="DB3" s="48" t="str">
        <f>IF(Q3&gt;2,CHAR(34)&amp;"words3"&amp;CHAR(34)&amp;",","")</f>
        <v>"words3",</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"lets26",</v>
      </c>
      <c r="DE3" s="48" t="str">
        <f>CHAR(34)&amp;"start"&amp;IFERROR(LEFT(SUBSTITUTE(A3,"["&amp;MID(A3,FIND("[",A3)+1,FIND("]",A3)-FIND("[",A3)-1)&amp;"] ",""),1),LEFT(A3,1))&amp;CHAR(34)&amp;","</f>
        <v>"startN",</v>
      </c>
      <c r="DF3" s="48" t="str">
        <f>IFERROR(IF(SEARCH("tan",A3)&gt;0,CHAR(34)&amp;"withtn"&amp;CHAR(34)&amp;",",""),"")</f>
        <v/>
      </c>
      <c r="DG3" s="48" t="str">
        <f>IFERROR(IF(SEARCH("q",A3)&gt;0,CHAR(34)&amp;"with_q"&amp;CHAR(34)&amp;",",""),"")</f>
        <v/>
      </c>
      <c r="DH3" s="48" t="str">
        <f>IFERROR(IF(SEARCH("v",A3)&gt;0,CHAR(34)&amp;"with_v"&amp;CHAR(34)&amp;",",""),"")</f>
        <v/>
      </c>
      <c r="DI3" s="48" t="str">
        <f>IFERROR(IF(SEARCH("w",A3)&gt;0,CHAR(34)&amp;"with_w"&amp;CHAR(34)&amp;",",""),"")</f>
        <v/>
      </c>
      <c r="DJ3" s="48" t="str">
        <f>IFERROR(IF(SEARCH("y",A3)&gt;0,CHAR(34)&amp;"with_y"&amp;CHAR(34)&amp;",",""),"")</f>
        <v/>
      </c>
      <c r="DK3" s="48" t="str">
        <f>IFERROR(IF(SEARCH("z",A3)&gt;0,CHAR(34)&amp;"with_z"&amp;CHAR(34)&amp;",",""),"")</f>
        <v>"with_z",</v>
      </c>
      <c r="DL3" s="48" t="str">
        <f>IF(CG3=2, CHAR(34) &amp; _xlfn.TEXTJOIN("", TRUE, _xlfn._xlws.SORT(HP3:HX3)) &amp; CHAR(34) &amp; ",", "")</f>
        <v/>
      </c>
      <c r="DM3" s="48" t="str" cm="1">
        <f t="array" ref="DM3">IF(CG3=3,CHAR(34) &amp; _xlfn.TEXTJOIN("", TRUE, RIGHT(HP3:HX3, 2)) &amp; CHAR(34) &amp; ",", "")</f>
        <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"year19",</v>
      </c>
      <c r="DP3" s="6" t="str">
        <f>IF(AND(ISNUMBER(SEARCH("20", O3)), ISERROR(SEARCH("1920", O3))), CHAR(34)&amp;"year00"&amp;CHAR(34)&amp;",", "")</f>
        <v/>
      </c>
      <c r="DQ3" s="6" t="str">
        <f>IF(CC3="y",CHAR(34)&amp;"soviet"&amp;CHAR(34)&amp;",","")</f>
        <v/>
      </c>
      <c r="DR3" s="6" t="str">
        <f>IF(BY3="y",CHAR(34)&amp;"dgband"&amp;CHAR(34)&amp;",","")</f>
        <v/>
      </c>
      <c r="DS3" s="6" t="str">
        <f>IF(W3="y",IF(AND(V3="n",BY3&lt;&gt;"y"),CHAR(34)&amp;"allver"&amp;CHAR(34)&amp;",",""),"")</f>
        <v/>
      </c>
      <c r="DT3" s="6" t="str">
        <f>IF(V3="y",IF(AND(W3="n",BY3&lt;&gt;"y"),CHAR(34)&amp;"allhor"&amp;CHAR(34)&amp;",",""),"")</f>
        <v/>
      </c>
      <c r="DU3" s="6" t="str">
        <f>IF(BY3="y",IF(AND(W3="n",V3="n"),CHAR(34)&amp;"alldia"&amp;CHAR(34)&amp;",",""),"")</f>
        <v/>
      </c>
      <c r="DW3" s="48" t="str">
        <f>IF(CL3="y",CHAR(34)&amp;CL$1&amp;CHAR(34)&amp;",","")</f>
        <v>"NoBand",</v>
      </c>
      <c r="DX3" s="48" t="str">
        <f>IF(CM3="y",CHAR(34)&amp;CM$1&amp;CHAR(34)&amp;",","")</f>
        <v/>
      </c>
      <c r="DY3" s="48" t="str">
        <f>IF(CN3="y",CHAR(34)&amp;CN$1&amp;CHAR(34)&amp;",","")</f>
        <v/>
      </c>
      <c r="DZ3" s="48" t="str">
        <f>IF(CO3="y",CHAR(34)&amp;CO$1&amp;CHAR(34)&amp;",","")</f>
        <v/>
      </c>
      <c r="EA3" s="48" t="str">
        <f>IF(T3="y",CHAR(34)&amp;T$1&amp;CHAR(34)&amp;",","")</f>
        <v>"Diagon",</v>
      </c>
      <c r="EB3" s="48" t="str">
        <f>IF(U3="y",CHAR(34)&amp;U$1&amp;CHAR(34)&amp;",","")</f>
        <v>"Crosse",</v>
      </c>
      <c r="EC3" s="48" t="str">
        <f>IF(V3="y",CHAR(34)&amp;V$1&amp;CHAR(34)&amp;",","")</f>
        <v/>
      </c>
      <c r="ED3" s="48" t="str">
        <f>IF(W3="y",CHAR(34)&amp;W$1&amp;CHAR(34)&amp;",","")</f>
        <v/>
      </c>
      <c r="EE3" s="48" t="str">
        <f>IF(X3="y",CHAR(34)&amp;X$1&amp;CHAR(34)&amp;",","")</f>
        <v/>
      </c>
      <c r="EF3" s="48" t="str">
        <f>IF(AND(Y3&lt;&gt;"n",Y3&lt;&gt;""),CHAR(34)&amp;Y$1&amp;CHAR(34)&amp;",","")</f>
        <v>"Animal",</v>
      </c>
      <c r="EG3" s="48" t="str">
        <f>IF(Z3="y",CHAR(34)&amp;Z$1&amp;CHAR(34)&amp;",","")</f>
        <v/>
      </c>
      <c r="EH3" s="48" t="str">
        <f>IF(AA3="y",CHAR(34)&amp;AA$1&amp;CHAR(34)&amp;",","")</f>
        <v/>
      </c>
      <c r="EI3" s="48" t="str">
        <f>IF(AB3="y",CHAR(34)&amp;AB$1&amp;CHAR(34)&amp;",","")</f>
        <v/>
      </c>
      <c r="EJ3" s="48" t="str">
        <f>IF(AC3="y",CHAR(34)&amp;AC$1&amp;CHAR(34)&amp;",","")</f>
        <v/>
      </c>
      <c r="EK3" s="48" t="str">
        <f>IF(AD3="y",CHAR(34)&amp;AD$1&amp;CHAR(34)&amp;",","")</f>
        <v/>
      </c>
      <c r="EL3" s="48" t="str">
        <f>IF(AE3="y",CHAR(34)&amp;AE$1&amp;CHAR(34)&amp;",","")</f>
        <v/>
      </c>
      <c r="EM3" s="48" t="str">
        <f>IF(AF3="y",CHAR(34)&amp;AF$1&amp;CHAR(34)&amp;",","")</f>
        <v/>
      </c>
      <c r="EN3" s="48" t="str">
        <f>IF(AG3="y",CHAR(34)&amp;AG$1&amp;CHAR(34)&amp;",","")</f>
        <v>"Unequa",</v>
      </c>
      <c r="EO3" s="48" t="str">
        <f>IF(AH3="y",CHAR(34)&amp;AH$1&amp;CHAR(34)&amp;",","")</f>
        <v/>
      </c>
      <c r="EP3" s="48" t="str">
        <f>IF(AI3="y",CHAR(34)&amp;AI$1&amp;CHAR(34)&amp;",","")</f>
        <v>"Canton",</v>
      </c>
      <c r="EQ3" s="48" t="str">
        <f>IF(AJ3="y",CHAR(34)&amp;AJ$1&amp;CHAR(34)&amp;",","")</f>
        <v/>
      </c>
      <c r="ER3" s="48" t="str">
        <f>IF(AK3="y",CHAR(34)&amp;AK$1&amp;CHAR(34)&amp;",","")</f>
        <v/>
      </c>
      <c r="ES3" s="48" t="str">
        <f>IF(AL3="y",CHAR(34)&amp;AL$1&amp;CHAR(34)&amp;",","")</f>
        <v/>
      </c>
      <c r="ET3" s="48" t="str">
        <f>IF(AM3="y",CHAR(34)&amp;AM$1&amp;CHAR(34)&amp;",","")</f>
        <v/>
      </c>
      <c r="EU3" s="48" t="str">
        <f>IF(AN3="y",CHAR(34)&amp;AN$1&amp;CHAR(34)&amp;",","")</f>
        <v/>
      </c>
      <c r="EV3" s="48" t="str">
        <f>IF(AO3="y",CHAR(34)&amp;AO$1&amp;CHAR(34)&amp;",","")</f>
        <v/>
      </c>
      <c r="EW3" s="48" t="str">
        <f>IF(AP3="y",CHAR(34)&amp;AP$1&amp;CHAR(34)&amp;",","")</f>
        <v/>
      </c>
      <c r="EX3" s="48" t="str">
        <f>IF(AQ3="y",CHAR(34)&amp;AQ$1&amp;CHAR(34)&amp;",","")</f>
        <v/>
      </c>
      <c r="EY3" s="48" t="str">
        <f>IF(AR3="y",CHAR(34)&amp;AR$1&amp;CHAR(34)&amp;",","")</f>
        <v/>
      </c>
      <c r="EZ3" s="48" t="str">
        <f>IF(AS3="y",CHAR(34)&amp;AS$1&amp;CHAR(34)&amp;",","")</f>
        <v/>
      </c>
      <c r="FA3" s="48" t="str">
        <f>IF(AT3&gt;0,CHAR(34)&amp;"sta"&amp;AZ3&amp;CHAR(34)&amp;",","")</f>
        <v/>
      </c>
      <c r="FB3" s="48" t="str">
        <f>IF(AND(AT3&gt;0,BA3&lt;&gt;""),CHAR(34)&amp;"sta"&amp;BA3&amp;CHAR(34)&amp;",","")</f>
        <v/>
      </c>
      <c r="FD3" s="48" t="str">
        <f>IF(BV3="n",CHAR(34)&amp;"tcWHYE"&amp;CHAR(34)&amp;",",IF(BV3="y",CHAR(34)&amp;FD$1&amp;CHAR(34)&amp;",",""))</f>
        <v/>
      </c>
      <c r="FE3" s="48" t="str">
        <f>IF(COUNTIF(BL3:BT3,"BLU")=0,CHAR(34)&amp;"NO_BLU"&amp;CHAR(34)&amp;",", "")</f>
        <v/>
      </c>
      <c r="FF3" s="48" t="str">
        <f>IF(COUNTIF(BL3:BT3,"WHI")=0,CHAR(34)&amp;"NO_WHI"&amp;CHAR(34)&amp;",", "")</f>
        <v/>
      </c>
      <c r="FG3" s="48" t="str">
        <f>IF(COUNTIF(BL3:BT3,"RED")=0,CHAR(34)&amp;"NO_RED"&amp;CHAR(34)&amp;",", "")</f>
        <v/>
      </c>
      <c r="FH3" s="48" t="str">
        <f>IF(COUNTIF(BL3:BS3,"GRE")=0,CHAR(34)&amp;"NO_GRE"&amp;CHAR(34)&amp;",", "")</f>
        <v>"NO_GRE",</v>
      </c>
      <c r="FI3" s="48" t="str">
        <f>IF(COUNTIF(BL3:BT3,"YEL")=0,CHAR(34)&amp;"NO_YEL"&amp;CHAR(34)&amp;",", "")</f>
        <v/>
      </c>
      <c r="FJ3" s="48" t="str">
        <f>IF(COUNTIF(BL3:BT3,"BLA")=0,CHAR(34)&amp;"NO_BLA"&amp;CHAR(34)&amp;",", "")</f>
        <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
      </c>
      <c r="FQ3" s="48" t="str">
        <f>IF(LEN(BF3)=3,CHAR(34)&amp;"001"&amp;BF3&amp;CHAR(34)&amp;",","")</f>
        <v/>
      </c>
      <c r="FR3" s="48" t="str">
        <f>IF(LEN(BG3)=3,CHAR(34)&amp;"002"&amp;BG3&amp;CHAR(34)&amp;",","")</f>
        <v/>
      </c>
      <c r="FS3" s="48" t="str">
        <f>IF(LEN(BH3)=3,CHAR(34)&amp;"003"&amp;BH3&amp;CHAR(34)&amp;",","")</f>
        <v/>
      </c>
      <c r="FT3" s="48" t="str">
        <f>CHAR(34)&amp;"myr"&amp;BD3&amp;CHAR(34)&amp;","</f>
        <v>"myrBLU",</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"histor",</v>
      </c>
      <c r="GG3" s="48" t="str">
        <f>IF(BU3="y",CHAR(34)&amp;"unjack"&amp;CHAR(34)&amp;",","")</f>
        <v>"unjack",</v>
      </c>
      <c r="GH3" s="48" t="str">
        <f>IF(CD3=1,CHAR(34)&amp;"southc"&amp;CHAR(34)&amp;",","")</f>
        <v/>
      </c>
      <c r="GI3" s="48" t="str">
        <f>IF(CE3=1,CHAR(34)&amp;"hasmap"&amp;CHAR(34)&amp;",","")</f>
        <v/>
      </c>
      <c r="GJ3" s="48" t="str">
        <f>IF(CP3="y",CHAR(34)&amp;CP$1&amp;CHAR(34)&amp;",","")</f>
        <v>"NoStar",</v>
      </c>
      <c r="GK3" s="48" t="str">
        <f>IF(GJ3="",CHAR(34)&amp;"HasSta"&amp;CHAR(34)&amp;",","")</f>
        <v/>
      </c>
      <c r="GL3" s="48" t="str">
        <f>IF(CQ3="y",CHAR(34)&amp;CQ$1&amp;CHAR(34)&amp;",","")</f>
        <v/>
      </c>
      <c r="GM3" s="48" t="str">
        <f>IF(CR3="y",CHAR(34)&amp;CR$1&amp;CHAR(34)&amp;",","")</f>
        <v/>
      </c>
      <c r="GN3" s="48" t="str">
        <f>IF(CS3="y",CHAR(34)&amp;CS$1&amp;CHAR(34)&amp;",","")</f>
        <v/>
      </c>
      <c r="GP3" s="48" t="str">
        <f>CHAR(34)&amp;AU3&amp;CHAR(34)</f>
        <v>"Historical"</v>
      </c>
      <c r="GS3" s="48" t="str">
        <f>SUBSTITUTE("["&amp;_xlfn.CONCAT(CW3:GN3)&amp;"]",",]","]")</f>
        <v>["5+Colo","words2","words3","lets26","startN","with_z","year19","NoBand","Diagon","Crosse","Animal","Unequa","Canton","NO_GRE","myrBLU","histor","unjack","NoStar"]</v>
      </c>
      <c r="GT3" s="48" t="str">
        <f>IF(BL3&lt;&gt;"",CHAR(34)&amp;"cl_"&amp;BL3&amp;CHAR(34)&amp;",","")</f>
        <v>"cl_BLA",</v>
      </c>
      <c r="GU3" s="48" t="str">
        <f>IF(BM3&lt;&gt;"",CHAR(34)&amp;"cl_"&amp;BM3&amp;CHAR(34)&amp;",","")</f>
        <v>"cl_BLU",</v>
      </c>
      <c r="GV3" s="48" t="str">
        <f>IF(BN3&lt;&gt;"",CHAR(34)&amp;"cl_"&amp;BN3&amp;CHAR(34)&amp;",","")</f>
        <v/>
      </c>
      <c r="GW3" s="48" t="str">
        <f>IF(BO3&lt;&gt;"",CHAR(34)&amp;"cl_"&amp;BO3&amp;CHAR(34)&amp;",","")</f>
        <v>"cl_RED",</v>
      </c>
      <c r="GX3" s="48" t="str">
        <f>IF(BP3&lt;&gt;"",CHAR(34)&amp;"cl_"&amp;BP3&amp;CHAR(34)&amp;",","")</f>
        <v>"cl_YEL",</v>
      </c>
      <c r="GY3" s="48" t="str">
        <f>IF(BQ3&lt;&gt;"",CHAR(34)&amp;"cl_"&amp;BQ3&amp;CHAR(34)&amp;",","")</f>
        <v/>
      </c>
      <c r="GZ3" s="48" t="str">
        <f>IF(BR3&lt;&gt;"",CHAR(34)&amp;"cl_"&amp;BR3&amp;CHAR(34)&amp;",","")</f>
        <v/>
      </c>
      <c r="HA3" s="48" t="str">
        <f>IF(BS3&lt;&gt;"",CHAR(34)&amp;"cl_"&amp;BS3&amp;CHAR(34)&amp;",","")</f>
        <v/>
      </c>
      <c r="HB3" s="48" t="str">
        <f>IF(BT3&lt;&gt;"",CHAR(34)&amp;"cl_"&amp;BT3&amp;CHAR(34)&amp;",","")</f>
        <v>"cl_WHI",</v>
      </c>
      <c r="HC3" s="48" t="str">
        <f>SUBSTITUTE("["&amp;_xlfn.CONCAT(GT3:HB3)&amp;"]",",]","]")</f>
        <v>["cl_BLA","cl_BLU","cl_RED","cl_YEL","cl_WHI"]</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{couname:"[ZMB] Northern Rhodesia (1924-1964)",year:"1924",region:"rgn_Africa",Colors:["cl_BLA","cl_BLU","cl_RED","cl_YEL","cl_WHI"],Items:["5+Colo","words2","words3","lets26","startN","with_z","year19","NoBand","Diagon","Crosse","Animal","Unequa","Canton","NO_GRE","myrBLU","histor","unjack","NoStar"],Flag:"https://upload.wikimedia.org/wikipedia/commons/thumb/5/56/Flag_of_Northern_Rhodesia_%281939%E2%80%931964%29.svg/640px-Flag_of_Northern_Rhodesia_%281939%E2%80%931964%29.svg.png",HDFlag:"https://upload.wikimedia.org/wikipedia/commons/thumb/5/56/Flag_of_Northern_Rhodesia_%281939%E2%80%931964%29.svg/1280px-Flag_of_Northern_Rhodesia_%281939%E2%80%931964%29.svg.png",type:"Historical", describe: "\nA canton of the British Union Jack with a blue field containing a badge of an African Fish Eagle over wavy black and white lines.", isnew:".", links: "https://en.m.wikipedia.org/wiki/Northern_Rhodesia"},</v>
      </c>
      <c r="HG3" s="73" t="str">
        <f>"{couname:"&amp;CT3&amp;(IF(HK3&lt;&gt;"",",subtype:"&amp;CHAR(34)&amp;HK3&amp;CHAR(34),""))&amp;",year:"&amp;HJ3&amp;",region:"&amp;CU3&amp;",Colors:"&amp;HC3&amp;",Items:"&amp;GS3&amp;",Flag:"&amp;CV3&amp;",HDFlag:"&amp;CHAR(34)&amp;E3&amp;CHAR(34)&amp;",type:"&amp;GP3&amp;", describe: "&amp;HI3&amp;", links: "&amp;HL3&amp;"},"</f>
        <v>{couname:"[ZMB] Northern Rhodesia (1924-1964)",year:"1924",region:"rgn_Africa",Colors:["cl_BLA","cl_BLU","cl_RED","cl_YEL","cl_WHI"],Items:["5+Colo","words2","words3","lets26","startN","with_z","year19","NoBand","Diagon","Crosse","Animal","Unequa","Canton","NO_GRE","myrBLU","histor","unjack","NoStar"],Flag:"https://upload.wikimedia.org/wikipedia/commons/thumb/5/56/Flag_of_Northern_Rhodesia_%281939%E2%80%931964%29.svg/640px-Flag_of_Northern_Rhodesia_%281939%E2%80%931964%29.svg.png",HDFlag:"https://upload.wikimedia.org/wikipedia/commons/thumb/5/56/Flag_of_Northern_Rhodesia_%281939%E2%80%931964%29.svg/1280px-Flag_of_Northern_Rhodesia_%281939%E2%80%931964%29.svg.png",type:"Historical", describe: "\nA canton of the British Union Jack with a blue field containing a badge of an African Fish Eagle over wavy black and white lines.", links: "https://en.m.wikipedia.org/wiki/Northern_Rhodesia"},</v>
      </c>
      <c r="HH3" s="48" t="str">
        <f>IF(P3&lt;&gt;"",CHAR(34)&amp;"\n"&amp;P3&amp;CHAR(34),CHAR(34)&amp;CHAR(34))</f>
        <v>"\nA canton of the British Union Jack with a blue field containing a badge of an African Fish Eagle over wavy black and white lines."</v>
      </c>
      <c r="HI3" s="48" t="str">
        <f>IF(J3=0,CHAR(34)&amp;CHAR(34),HH3)</f>
        <v>"\nA canton of the British Union Jack with a blue field containing a badge of an African Fish Eagle over wavy black and white lines."</v>
      </c>
      <c r="HJ3" s="48" t="str">
        <f>CHAR(34)&amp;O3&amp;CHAR(34)</f>
        <v>"1924"</v>
      </c>
      <c r="HL3" s="48" t="str">
        <f>CHAR(34)&amp;I3&amp;CHAR(34)</f>
        <v>"https://en.m.wikipedia.org/wiki/Northern_Rhodesia"</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{"couname":"[ZMB] Northern Rhodesia (1924-1964)","subtype":"[ZMB] Other","year":"1924","region":"rgn_Africa","Colors":["cl_BLA","cl_BLU","cl_RED","cl_YEL","cl_WHI"],"Items":["5+Colo","words2","words3","lets26","startN","with_z","year19","NoBand","Diagon","Crosse","Animal","Unequa","Canton","NO_GRE","myrBLU","histor","unjack","NoStar"],"Flag":"https://upload.wikimedia.org/wikipedia/commons/thumb/5/56/Flag_of_Northern_Rhodesia_%281939%E2%80%931964%29.svg/640px-Flag_of_Northern_Rhodesia_%281939%E2%80%931964%29.svg.png","HDFlag":"https://upload.wikimedia.org/wikipedia/commons/thumb/5/56/Flag_of_Northern_Rhodesia_%281939%E2%80%931964%29.svg/1280px-Flag_of_Northern_Rhodesia_%281939%E2%80%931964%29.svg.png","type":"Historical", "describe": "\nA canton of the British Union Jack with a blue field containing a badge of an African Fish Eagle over wavy black and white lines.", "isnew": ".", "links": "https://en.m.wikipedia.org/wiki/Northern_Rhodesia"},</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{"couname":"[ZMB] Northern Rhodesia (1924-1964)","subtype":"[ZMB] Other","year":"1924","region":"rgn_Africa","Colors":["cl_BLA","cl_BLU","cl_RED","cl_YEL","cl_WHI"],"Items":["5+Colo","words2","words3","lets26","startN","with_z","year19","NoBand","Diagon","Crosse","Animal","Unequa","Canton","NO_GRE","myrBLU","histor","unjack","NoStar"],"Flag":"https://upload.wikimedia.org/wikipedia/commons/thumb/5/56/Flag_of_Northern_Rhodesia_%281939%E2%80%931964%29.svg/640px-Flag_of_Northern_Rhodesia_%281939%E2%80%931964%29.svg.png","HDFlag":"https://upload.wikimedia.org/wikipedia/commons/thumb/5/56/Flag_of_Northern_Rhodesia_%281939%E2%80%931964%29.svg/1280px-Flag_of_Northern_Rhodesia_%281939%E2%80%931964%29.svg.png","type":"Historical", "describe": "\nA canton of the British Union Jack with a blue field containing a badge of an African Fish Eagle over wavy black and white lines.", "isnew": ".", "links": "https://en.m.wikipedia.org/wiki/Northern_Rhodesia"},</v>
      </c>
      <c r="HO3" s="75">
        <v>45610</v>
      </c>
      <c r="HP3" s="48" t="str" cm="1">
        <f t="array" ref="HP3">IF(_xlfn.TEXTJOIN(", ", TRUE, IF(ISNUMBER(SEARCH("BLA", BL3:BT3)), COLUMN(BL3:BT3) - COLUMN(BL3) + 1, ""))&lt;&gt;"","BLA","")</f>
        <v>BLA</v>
      </c>
      <c r="HQ3" s="48" t="str" cm="1">
        <f t="array" ref="HQ3">IF(_xlfn.TEXTJOIN(", ", TRUE, IF(ISNUMBER(SEARCH("BLU", BL3:BT3)), COLUMN(BL3:BT3) - COLUMN(BL3) + 1, ""))&lt;&gt;"","BLU","")</f>
        <v>BLU</v>
      </c>
      <c r="HR3" s="48" t="str" cm="1">
        <f t="array" ref="HR3">IF(_xlfn.TEXTJOIN(", ", TRUE, IF(ISNUMBER(SEARCH("GRE", BL3:BT3)), COLUMN(BL3:BT3) - COLUMN(BL3) + 1, ""))&lt;&gt;"","GRE","")</f>
        <v/>
      </c>
      <c r="HS3" s="48" t="str" cm="1">
        <f t="array" ref="HS3">IF(_xlfn.TEXTJOIN(", ", TRUE, IF(ISNUMBER(SEARCH("RED", BL3:BT3)), COLUMN(BL3:BT3) - COLUMN(BL3) + 1, ""))&lt;&gt;"","RED","")</f>
        <v>RED</v>
      </c>
      <c r="HT3" s="48" t="str" cm="1">
        <f t="array" ref="HT3">IF(_xlfn.TEXTJOIN(", ", TRUE, IF(ISNUMBER(SEARCH("YEL", BL3:BT3)), COLUMN(BL3:BT3) - COLUMN(BL3) + 1, ""))&lt;&gt;"","YEL","")</f>
        <v>YEL</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M3" s="45">
        <f>COUNTIF(IC3:IK3,"&gt;0")-CG3</f>
        <v>-5</v>
      </c>
      <c r="IN3" s="78" t="str">
        <f>"http://mkweb.bcgsc.ca/color-summarizer/?url="&amp;D3&amp;"&amp;precision=low&amp;num_clusters="&amp;CG3&amp;"&amp;text=1"</f>
        <v>http://mkweb.bcgsc.ca/color-summarizer/?url=https://upload.wikimedia.org/wikipedia/commons/thumb/5/56/Flag_of_Northern_Rhodesia_%281939%E2%80%931964%29.svg/640px-Flag_of_Northern_Rhodesia_%281939%E2%80%931964%29.svg.png&amp;precision=low&amp;num_clusters=5&amp;text=1</v>
      </c>
      <c r="IO3" s="48" t="str">
        <f>IF(HP3&lt;&gt;"",CHAR(34)&amp;"black"&amp;CHAR(34),"")</f>
        <v>"black"</v>
      </c>
      <c r="IP3" s="48" t="str">
        <f>IF(HQ3&lt;&gt;"",CHAR(34)&amp;"blue"&amp;CHAR(34),"")</f>
        <v>"blue"</v>
      </c>
      <c r="IQ3" s="48" t="str">
        <f>IF(HR3&lt;&gt;"",CHAR(34)&amp;"green"&amp;CHAR(34),"")</f>
        <v/>
      </c>
      <c r="IR3" s="48" t="str">
        <f>IF(HS3&lt;&gt;"",CHAR(34)&amp;"red"&amp;CHAR(34),"")</f>
        <v>"red"</v>
      </c>
      <c r="IS3" s="48" t="str">
        <f>IF(HT3&lt;&gt;"",CHAR(34)&amp;"yellow"&amp;CHAR(34),"")</f>
        <v>"yellow"</v>
      </c>
      <c r="IT3" s="48" t="str">
        <f>IF(HU3&lt;&gt;"",CHAR(34)&amp;"orange"&amp;CHAR(34),"")</f>
        <v/>
      </c>
      <c r="IU3" s="48" t="str">
        <f>IF(HV3&lt;&gt;"",CHAR(34)&amp;"brown"&amp;CHAR(34),"")</f>
        <v/>
      </c>
      <c r="IV3" s="48" t="str">
        <f>IF(HW3&lt;&gt;"",CHAR(34)&amp;"purple"&amp;CHAR(34),"")</f>
        <v/>
      </c>
      <c r="IW3" s="48" t="str">
        <f>IF(HX3&lt;&gt;"",CHAR(34)&amp;"white"&amp;CHAR(34),"")</f>
        <v>"white"</v>
      </c>
      <c r="IX3" s="48" t="str">
        <f>"{"&amp;CHAR(34)&amp;"url"&amp;CHAR(34)&amp;":"&amp;CHAR(34)&amp;IN3&amp;CHAR(34)&amp;","&amp;CHAR(34)&amp;"name"&amp;CHAR(34)&amp;":"&amp;CHAR(34)&amp;A3&amp;CHAR(34)&amp;"},"</f>
        <v>{"url":"http://mkweb.bcgsc.ca/color-summarizer/?url=https://upload.wikimedia.org/wikipedia/commons/thumb/5/56/Flag_of_Northern_Rhodesia_%281939%E2%80%931964%29.svg/640px-Flag_of_Northern_Rhodesia_%281939%E2%80%931964%29.svg.png&amp;precision=low&amp;num_clusters=5&amp;text=1","name":"[ZMB] Northern Rhodesia (1924-1964)"},</v>
      </c>
      <c r="IY3" s="48">
        <v>1503</v>
      </c>
    </row>
  </sheetData>
  <autoFilter ref="A1:IY1" xr:uid="{A1051193-A95B-4CFB-A73C-F0184620C81F}">
    <sortState xmlns:xlrd2="http://schemas.microsoft.com/office/spreadsheetml/2017/richdata2" ref="A2:IY5">
      <sortCondition ref="AW1"/>
    </sortState>
  </autoFilter>
  <conditionalFormatting sqref="H1 CW1:GS1 IA1:IB1">
    <cfRule type="cellIs" dxfId="406" priority="201" operator="greaterThan">
      <formula>0</formula>
    </cfRule>
  </conditionalFormatting>
  <conditionalFormatting sqref="H1 H4:H1048576">
    <cfRule type="cellIs" dxfId="405" priority="167" stopIfTrue="1" operator="notEqual">
      <formula>""</formula>
    </cfRule>
  </conditionalFormatting>
  <conditionalFormatting sqref="T1:BK1">
    <cfRule type="cellIs" dxfId="404" priority="204" operator="greaterThan">
      <formula>0</formula>
    </cfRule>
  </conditionalFormatting>
  <conditionalFormatting sqref="BV1:BW1 BV4:BW1048576">
    <cfRule type="cellIs" dxfId="403" priority="203" operator="equal">
      <formula>"nc"</formula>
    </cfRule>
  </conditionalFormatting>
  <conditionalFormatting sqref="HF1:HG1">
    <cfRule type="cellIs" dxfId="402" priority="205" operator="greaterThan">
      <formula>0</formula>
    </cfRule>
  </conditionalFormatting>
  <conditionalFormatting sqref="HK1">
    <cfRule type="cellIs" dxfId="401" priority="202" operator="greaterThan">
      <formula>0</formula>
    </cfRule>
  </conditionalFormatting>
  <conditionalFormatting sqref="HP1:HX1">
    <cfRule type="cellIs" dxfId="400" priority="179" operator="equal">
      <formula>"PIN"</formula>
    </cfRule>
    <cfRule type="cellIs" dxfId="399" priority="180" operator="equal">
      <formula>"ORA"</formula>
    </cfRule>
    <cfRule type="cellIs" dxfId="398" priority="181" operator="equal">
      <formula>"GRA"</formula>
    </cfRule>
    <cfRule type="cellIs" dxfId="397" priority="182" operator="equal">
      <formula>"PUR"</formula>
    </cfRule>
    <cfRule type="cellIs" dxfId="396" priority="183" operator="equal">
      <formula>"BRO"</formula>
    </cfRule>
    <cfRule type="cellIs" dxfId="395" priority="184" operator="equal">
      <formula>"YEL"</formula>
    </cfRule>
    <cfRule type="cellIs" dxfId="394" priority="185" operator="equal">
      <formula>"BLU"</formula>
    </cfRule>
    <cfRule type="cellIs" dxfId="393" priority="186" operator="equal">
      <formula>"WHI"</formula>
    </cfRule>
    <cfRule type="cellIs" dxfId="392" priority="187" operator="equal">
      <formula>"GRE"</formula>
    </cfRule>
    <cfRule type="cellIs" dxfId="391" priority="188" operator="equal">
      <formula>"RED"</formula>
    </cfRule>
    <cfRule type="cellIs" dxfId="390" priority="189" operator="equal">
      <formula>"BLA"</formula>
    </cfRule>
  </conditionalFormatting>
  <conditionalFormatting sqref="IC1:IK1">
    <cfRule type="cellIs" dxfId="389" priority="190" operator="equal">
      <formula>"PIN"</formula>
    </cfRule>
    <cfRule type="cellIs" dxfId="388" priority="191" operator="equal">
      <formula>"ORA"</formula>
    </cfRule>
    <cfRule type="cellIs" dxfId="387" priority="192" operator="equal">
      <formula>"GRA"</formula>
    </cfRule>
    <cfRule type="cellIs" dxfId="386" priority="193" operator="equal">
      <formula>"PUR"</formula>
    </cfRule>
    <cfRule type="cellIs" dxfId="385" priority="194" operator="equal">
      <formula>"BRO"</formula>
    </cfRule>
    <cfRule type="cellIs" dxfId="384" priority="195" operator="equal">
      <formula>"YEL"</formula>
    </cfRule>
    <cfRule type="cellIs" dxfId="383" priority="196" operator="equal">
      <formula>"BLU"</formula>
    </cfRule>
    <cfRule type="cellIs" dxfId="382" priority="197" operator="equal">
      <formula>"WHI"</formula>
    </cfRule>
    <cfRule type="cellIs" dxfId="381" priority="198" operator="equal">
      <formula>"GRE"</formula>
    </cfRule>
    <cfRule type="cellIs" dxfId="380" priority="199" operator="equal">
      <formula>"RED"</formula>
    </cfRule>
    <cfRule type="cellIs" dxfId="379" priority="200" operator="equal">
      <formula>"BLA"</formula>
    </cfRule>
  </conditionalFormatting>
  <conditionalFormatting sqref="IO1:IW1">
    <cfRule type="cellIs" dxfId="378" priority="168" operator="equal">
      <formula>"PIN"</formula>
    </cfRule>
    <cfRule type="cellIs" dxfId="377" priority="169" operator="equal">
      <formula>"ORA"</formula>
    </cfRule>
    <cfRule type="cellIs" dxfId="376" priority="170" operator="equal">
      <formula>"GRA"</formula>
    </cfRule>
    <cfRule type="cellIs" dxfId="375" priority="171" operator="equal">
      <formula>"PUR"</formula>
    </cfRule>
    <cfRule type="cellIs" dxfId="374" priority="172" operator="equal">
      <formula>"BRO"</formula>
    </cfRule>
    <cfRule type="cellIs" dxfId="373" priority="173" operator="equal">
      <formula>"YEL"</formula>
    </cfRule>
    <cfRule type="cellIs" dxfId="372" priority="174" operator="equal">
      <formula>"BLU"</formula>
    </cfRule>
    <cfRule type="cellIs" dxfId="371" priority="175" operator="equal">
      <formula>"WHI"</formula>
    </cfRule>
    <cfRule type="cellIs" dxfId="370" priority="176" operator="equal">
      <formula>"GRE"</formula>
    </cfRule>
    <cfRule type="cellIs" dxfId="369" priority="177" operator="equal">
      <formula>"RED"</formula>
    </cfRule>
    <cfRule type="cellIs" dxfId="368" priority="178" operator="equal">
      <formula>"BLA"</formula>
    </cfRule>
  </conditionalFormatting>
  <conditionalFormatting sqref="H2">
    <cfRule type="cellIs" dxfId="367" priority="77" stopIfTrue="1" operator="notEqual">
      <formula>""</formula>
    </cfRule>
  </conditionalFormatting>
  <conditionalFormatting sqref="R2 CU2">
    <cfRule type="cellIs" dxfId="366" priority="79" operator="greaterThan">
      <formula>0</formula>
    </cfRule>
  </conditionalFormatting>
  <conditionalFormatting sqref="T2:AS2 CH2:CS2">
    <cfRule type="cellIs" dxfId="365" priority="74" stopIfTrue="1" operator="equal">
      <formula>"n"</formula>
    </cfRule>
    <cfRule type="cellIs" dxfId="364" priority="75" stopIfTrue="1" operator="equal">
      <formula>"y"</formula>
    </cfRule>
    <cfRule type="cellIs" dxfId="363" priority="76" operator="greaterThan">
      <formula>0</formula>
    </cfRule>
  </conditionalFormatting>
  <conditionalFormatting sqref="AZ2:BB2">
    <cfRule type="expression" dxfId="362" priority="61">
      <formula>$AT2=0</formula>
    </cfRule>
  </conditionalFormatting>
  <conditionalFormatting sqref="AZ2:BU2">
    <cfRule type="cellIs" dxfId="361" priority="62" operator="equal">
      <formula>"PIN"</formula>
    </cfRule>
    <cfRule type="cellIs" dxfId="360" priority="63" operator="equal">
      <formula>"ORA"</formula>
    </cfRule>
    <cfRule type="cellIs" dxfId="359" priority="64" operator="equal">
      <formula>"GRA"</formula>
    </cfRule>
    <cfRule type="cellIs" dxfId="358" priority="65" operator="equal">
      <formula>"PUR"</formula>
    </cfRule>
    <cfRule type="cellIs" dxfId="357" priority="66" operator="equal">
      <formula>"BRO"</formula>
    </cfRule>
    <cfRule type="cellIs" dxfId="356" priority="67" operator="equal">
      <formula>"YEL"</formula>
    </cfRule>
    <cfRule type="cellIs" dxfId="355" priority="68" operator="equal">
      <formula>"BLU"</formula>
    </cfRule>
    <cfRule type="cellIs" dxfId="354" priority="69" operator="equal">
      <formula>"WHI"</formula>
    </cfRule>
    <cfRule type="cellIs" dxfId="353" priority="70" operator="equal">
      <formula>"GRE"</formula>
    </cfRule>
    <cfRule type="cellIs" dxfId="352" priority="71" operator="equal">
      <formula>"RED"</formula>
    </cfRule>
    <cfRule type="cellIs" dxfId="351" priority="72" operator="equal">
      <formula>"BLA"</formula>
    </cfRule>
  </conditionalFormatting>
  <conditionalFormatting sqref="BV2">
    <cfRule type="cellIs" dxfId="350" priority="78" operator="equal">
      <formula>"nc"</formula>
    </cfRule>
  </conditionalFormatting>
  <conditionalFormatting sqref="CD2:CF2 BZ2:CA2">
    <cfRule type="cellIs" dxfId="349" priority="73" operator="greaterThan">
      <formula>0</formula>
    </cfRule>
  </conditionalFormatting>
  <conditionalFormatting sqref="IC2:IK2">
    <cfRule type="expression" dxfId="348" priority="60">
      <formula>$IL2&gt;0</formula>
    </cfRule>
  </conditionalFormatting>
  <conditionalFormatting sqref="BX2:CA2 CD2:CF2">
    <cfRule type="cellIs" dxfId="347" priority="48" operator="equal">
      <formula>"y"</formula>
    </cfRule>
    <cfRule type="cellIs" dxfId="346" priority="49" operator="equal">
      <formula>"PIN"</formula>
    </cfRule>
    <cfRule type="cellIs" dxfId="345" priority="50" operator="equal">
      <formula>"ORA"</formula>
    </cfRule>
    <cfRule type="cellIs" dxfId="344" priority="51" operator="equal">
      <formula>"GRA"</formula>
    </cfRule>
    <cfRule type="cellIs" dxfId="343" priority="52" operator="equal">
      <formula>"PUR"</formula>
    </cfRule>
    <cfRule type="cellIs" dxfId="342" priority="53" operator="equal">
      <formula>"BRO"</formula>
    </cfRule>
    <cfRule type="cellIs" dxfId="341" priority="54" operator="equal">
      <formula>"YEL"</formula>
    </cfRule>
    <cfRule type="cellIs" dxfId="340" priority="55" operator="equal">
      <formula>"BLU"</formula>
    </cfRule>
    <cfRule type="cellIs" dxfId="339" priority="56" operator="equal">
      <formula>"WHI"</formula>
    </cfRule>
    <cfRule type="cellIs" dxfId="338" priority="57" operator="equal">
      <formula>"GRE"</formula>
    </cfRule>
    <cfRule type="cellIs" dxfId="337" priority="58" operator="equal">
      <formula>"RED"</formula>
    </cfRule>
    <cfRule type="cellIs" dxfId="336" priority="59" operator="equal">
      <formula>"BLA"</formula>
    </cfRule>
  </conditionalFormatting>
  <conditionalFormatting sqref="J2">
    <cfRule type="colorScale" priority="80">
      <colorScale>
        <cfvo type="min"/>
        <cfvo type="percentile" val="50"/>
        <cfvo type="max"/>
        <color rgb="FFF8696B"/>
        <color rgb="FFFFEB84"/>
        <color rgb="FF63BE7B"/>
      </colorScale>
    </cfRule>
  </conditionalFormatting>
  <conditionalFormatting sqref="S2">
    <cfRule type="colorScale" priority="81">
      <colorScale>
        <cfvo type="min"/>
        <cfvo type="max"/>
        <color rgb="FFFCFCFF"/>
        <color rgb="FF754BFB"/>
      </colorScale>
    </cfRule>
  </conditionalFormatting>
  <conditionalFormatting sqref="AT2">
    <cfRule type="colorScale" priority="82">
      <colorScale>
        <cfvo type="min"/>
        <cfvo type="max"/>
        <color rgb="FFFCFCFF"/>
        <color theme="8" tint="0.39997558519241921"/>
      </colorScale>
    </cfRule>
  </conditionalFormatting>
  <conditionalFormatting sqref="CG2">
    <cfRule type="colorScale" priority="83">
      <colorScale>
        <cfvo type="min"/>
        <cfvo type="max"/>
        <color rgb="FFFCFCFF"/>
        <color rgb="FF63BE7B"/>
      </colorScale>
    </cfRule>
  </conditionalFormatting>
  <conditionalFormatting sqref="H3">
    <cfRule type="cellIs" dxfId="335" priority="40" stopIfTrue="1" operator="notEqual">
      <formula>""</formula>
    </cfRule>
  </conditionalFormatting>
  <conditionalFormatting sqref="R3 CU3">
    <cfRule type="cellIs" dxfId="334" priority="43" operator="greaterThan">
      <formula>0</formula>
    </cfRule>
  </conditionalFormatting>
  <conditionalFormatting sqref="T3:AS3 CH3:CS3">
    <cfRule type="cellIs" dxfId="333" priority="37" stopIfTrue="1" operator="equal">
      <formula>"n"</formula>
    </cfRule>
    <cfRule type="cellIs" dxfId="332" priority="38" stopIfTrue="1" operator="equal">
      <formula>"y"</formula>
    </cfRule>
    <cfRule type="cellIs" dxfId="331" priority="39" operator="greaterThan">
      <formula>0</formula>
    </cfRule>
  </conditionalFormatting>
  <conditionalFormatting sqref="AZ3:BB3">
    <cfRule type="expression" dxfId="330" priority="24">
      <formula>$AT3=0</formula>
    </cfRule>
  </conditionalFormatting>
  <conditionalFormatting sqref="CD3:CF3 BX3:CA3 AZ3:BU3">
    <cfRule type="cellIs" dxfId="329" priority="25" operator="equal">
      <formula>"PIN"</formula>
    </cfRule>
    <cfRule type="cellIs" dxfId="328" priority="26" operator="equal">
      <formula>"ORA"</formula>
    </cfRule>
    <cfRule type="cellIs" dxfId="327" priority="27" operator="equal">
      <formula>"GRA"</formula>
    </cfRule>
    <cfRule type="cellIs" dxfId="326" priority="28" operator="equal">
      <formula>"PUR"</formula>
    </cfRule>
    <cfRule type="cellIs" dxfId="325" priority="29" operator="equal">
      <formula>"BRO"</formula>
    </cfRule>
    <cfRule type="cellIs" dxfId="324" priority="30" operator="equal">
      <formula>"YEL"</formula>
    </cfRule>
    <cfRule type="cellIs" dxfId="323" priority="31" operator="equal">
      <formula>"BLU"</formula>
    </cfRule>
    <cfRule type="cellIs" dxfId="322" priority="32" operator="equal">
      <formula>"WHI"</formula>
    </cfRule>
    <cfRule type="cellIs" dxfId="321" priority="33" operator="equal">
      <formula>"GRE"</formula>
    </cfRule>
    <cfRule type="cellIs" dxfId="320" priority="34" operator="equal">
      <formula>"RED"</formula>
    </cfRule>
    <cfRule type="cellIs" dxfId="319" priority="35" operator="equal">
      <formula>"BLA"</formula>
    </cfRule>
  </conditionalFormatting>
  <conditionalFormatting sqref="BV3">
    <cfRule type="cellIs" dxfId="318" priority="42" operator="equal">
      <formula>"nc"</formula>
    </cfRule>
  </conditionalFormatting>
  <conditionalFormatting sqref="CD3:CF3 BX3:CA3">
    <cfRule type="cellIs" dxfId="317" priority="41" operator="equal">
      <formula>"y"</formula>
    </cfRule>
  </conditionalFormatting>
  <conditionalFormatting sqref="CD3:CF3 BZ3:CA3">
    <cfRule type="cellIs" dxfId="316" priority="36" operator="greaterThan">
      <formula>0</formula>
    </cfRule>
  </conditionalFormatting>
  <conditionalFormatting sqref="IC3:IK3">
    <cfRule type="expression" dxfId="315" priority="23">
      <formula>$IL3&gt;0</formula>
    </cfRule>
  </conditionalFormatting>
  <conditionalFormatting sqref="IC3">
    <cfRule type="cellIs" dxfId="314" priority="17" stopIfTrue="1" operator="greaterThan">
      <formula>0</formula>
    </cfRule>
  </conditionalFormatting>
  <conditionalFormatting sqref="ID3">
    <cfRule type="cellIs" dxfId="313" priority="15" stopIfTrue="1" operator="greaterThan">
      <formula>0</formula>
    </cfRule>
  </conditionalFormatting>
  <conditionalFormatting sqref="II3 IE3:IF3">
    <cfRule type="cellIs" dxfId="312" priority="22" operator="greaterThan">
      <formula>0</formula>
    </cfRule>
  </conditionalFormatting>
  <conditionalFormatting sqref="II3 IF3">
    <cfRule type="cellIs" dxfId="311" priority="16" stopIfTrue="1" operator="greaterThan">
      <formula>0</formula>
    </cfRule>
  </conditionalFormatting>
  <conditionalFormatting sqref="IG3">
    <cfRule type="cellIs" dxfId="310" priority="21" operator="greaterThan">
      <formula>0</formula>
    </cfRule>
  </conditionalFormatting>
  <conditionalFormatting sqref="IH3:II3">
    <cfRule type="cellIs" dxfId="309" priority="20" operator="greaterThan">
      <formula>0</formula>
    </cfRule>
  </conditionalFormatting>
  <conditionalFormatting sqref="IJ3">
    <cfRule type="cellIs" dxfId="308" priority="19" operator="greaterThan">
      <formula>0</formula>
    </cfRule>
  </conditionalFormatting>
  <conditionalFormatting sqref="IK3">
    <cfRule type="cellIs" dxfId="307" priority="18" operator="greaterThan">
      <formula>0</formula>
    </cfRule>
  </conditionalFormatting>
  <conditionalFormatting sqref="IF3">
    <cfRule type="cellIs" dxfId="306" priority="14" stopIfTrue="1" operator="greaterThan">
      <formula>0</formula>
    </cfRule>
  </conditionalFormatting>
  <conditionalFormatting sqref="IM3">
    <cfRule type="cellIs" dxfId="305" priority="13" operator="equal">
      <formula>0</formula>
    </cfRule>
  </conditionalFormatting>
  <conditionalFormatting sqref="BX3:CA3 CD3:CF3">
    <cfRule type="cellIs" dxfId="304" priority="1" operator="equal">
      <formula>"y"</formula>
    </cfRule>
    <cfRule type="cellIs" dxfId="303" priority="2" operator="equal">
      <formula>"PIN"</formula>
    </cfRule>
    <cfRule type="cellIs" dxfId="302" priority="3" operator="equal">
      <formula>"ORA"</formula>
    </cfRule>
    <cfRule type="cellIs" dxfId="301" priority="4" operator="equal">
      <formula>"GRA"</formula>
    </cfRule>
    <cfRule type="cellIs" dxfId="300" priority="5" operator="equal">
      <formula>"PUR"</formula>
    </cfRule>
    <cfRule type="cellIs" dxfId="299" priority="6" operator="equal">
      <formula>"BRO"</formula>
    </cfRule>
    <cfRule type="cellIs" dxfId="298" priority="7" operator="equal">
      <formula>"YEL"</formula>
    </cfRule>
    <cfRule type="cellIs" dxfId="297" priority="8" operator="equal">
      <formula>"BLU"</formula>
    </cfRule>
    <cfRule type="cellIs" dxfId="296" priority="9" operator="equal">
      <formula>"WHI"</formula>
    </cfRule>
    <cfRule type="cellIs" dxfId="295" priority="10" operator="equal">
      <formula>"GRE"</formula>
    </cfRule>
    <cfRule type="cellIs" dxfId="294" priority="11" operator="equal">
      <formula>"RED"</formula>
    </cfRule>
    <cfRule type="cellIs" dxfId="293" priority="12" operator="equal">
      <formula>"BLA"</formula>
    </cfRule>
  </conditionalFormatting>
  <conditionalFormatting sqref="AT3">
    <cfRule type="colorScale" priority="44">
      <colorScale>
        <cfvo type="min"/>
        <cfvo type="max"/>
        <color rgb="FFFCFCFF"/>
        <color theme="8" tint="0.39997558519241921"/>
      </colorScale>
    </cfRule>
  </conditionalFormatting>
  <conditionalFormatting sqref="S3">
    <cfRule type="colorScale" priority="45">
      <colorScale>
        <cfvo type="min"/>
        <cfvo type="max"/>
        <color rgb="FFFCFCFF"/>
        <color rgb="FF754BFB"/>
      </colorScale>
    </cfRule>
  </conditionalFormatting>
  <conditionalFormatting sqref="J3">
    <cfRule type="colorScale" priority="46">
      <colorScale>
        <cfvo type="min"/>
        <cfvo type="percentile" val="50"/>
        <cfvo type="max"/>
        <color rgb="FFF8696B"/>
        <color rgb="FFFFEB84"/>
        <color rgb="FF63BE7B"/>
      </colorScale>
    </cfRule>
  </conditionalFormatting>
  <conditionalFormatting sqref="CG3">
    <cfRule type="colorScale" priority="47">
      <colorScale>
        <cfvo type="min"/>
        <cfvo type="max"/>
        <color rgb="FFFCFCFF"/>
        <color rgb="FF63BE7B"/>
      </colorScale>
    </cfRule>
  </conditionalFormatting>
  <hyperlinks>
    <hyperlink ref="A2" r:id="rId1" display="https://fbref.com/en/country/ZAM/Zambia-Football" xr:uid="{06892AB4-571E-4DB6-A383-E748F8623B62}"/>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5122" r:id="rId6"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5123" r:id="rId7"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451D36-B036-4A41-9720-812C426A46BF}">
  <sheetPr codeName="Sheet16"/>
  <dimension ref="A1:IY7"/>
  <sheetViews>
    <sheetView zoomScale="70" zoomScaleNormal="70" workbookViewId="0">
      <pane xSplit="5" ySplit="1" topLeftCell="F2" activePane="bottomRight" state="frozen"/>
      <selection pane="topRight" activeCell="F1" sqref="F1"/>
      <selection pane="bottomLeft" activeCell="A2" sqref="A2"/>
      <selection pane="bottomRight" activeCell="M3" sqref="M3"/>
    </sheetView>
  </sheetViews>
  <sheetFormatPr defaultRowHeight="38.4" customHeight="1" x14ac:dyDescent="0.3"/>
  <cols>
    <col min="1" max="1" width="52.44140625" style="81" bestFit="1" customWidth="1"/>
    <col min="2" max="2" width="10.109375" style="81" customWidth="1"/>
    <col min="3" max="3" width="7.44140625" style="82" customWidth="1"/>
    <col min="4" max="4" width="4.77734375" style="83" customWidth="1"/>
    <col min="5" max="5" width="4.5546875" style="83" customWidth="1"/>
    <col min="6" max="6" width="5.77734375" style="83" customWidth="1"/>
    <col min="7" max="7" width="7.44140625" style="81" customWidth="1"/>
    <col min="8" max="8" width="11.44140625" style="81" customWidth="1"/>
    <col min="9" max="9" width="10" style="81" customWidth="1"/>
    <col min="10" max="10" width="4.21875" style="81" customWidth="1"/>
    <col min="11" max="11" width="5.6640625" style="83" customWidth="1"/>
    <col min="12" max="12" width="2.88671875" style="83" customWidth="1"/>
    <col min="13" max="13" width="6.44140625" style="83" customWidth="1"/>
    <col min="14" max="14" width="4.5546875" style="83" customWidth="1"/>
    <col min="15" max="15" width="10.5546875" style="84" customWidth="1"/>
    <col min="16" max="16" width="6.88671875" style="83" customWidth="1"/>
    <col min="17" max="17" width="4.77734375" style="83" customWidth="1"/>
    <col min="18" max="18" width="13.109375" style="82" customWidth="1"/>
    <col min="19" max="19" width="6.77734375" style="82" customWidth="1"/>
    <col min="20" max="46" width="8.44140625" style="81" customWidth="1"/>
    <col min="47" max="47" width="24.5546875" style="81" customWidth="1"/>
    <col min="48" max="51" width="16.6640625" style="81" customWidth="1"/>
    <col min="52" max="52" width="6.5546875" style="81" customWidth="1"/>
    <col min="53" max="54" width="5.88671875" style="81" customWidth="1"/>
    <col min="55" max="55" width="1.33203125" style="81" customWidth="1"/>
    <col min="56" max="56" width="7.44140625" style="81" customWidth="1"/>
    <col min="57" max="57" width="2.33203125" style="81" customWidth="1"/>
    <col min="58" max="62" width="6.109375" style="81" customWidth="1"/>
    <col min="63" max="63" width="2.33203125" style="81" customWidth="1"/>
    <col min="64" max="64" width="7" style="81" bestFit="1" customWidth="1"/>
    <col min="65" max="65" width="6.44140625" style="81" bestFit="1" customWidth="1"/>
    <col min="66" max="66" width="7.109375" style="81" bestFit="1" customWidth="1"/>
    <col min="67" max="71" width="6.44140625" style="81" bestFit="1" customWidth="1"/>
    <col min="72" max="73" width="6.44140625" style="81" customWidth="1"/>
    <col min="74" max="75" width="13.44140625" style="81" customWidth="1"/>
    <col min="76" max="84" width="14.6640625" style="81" customWidth="1"/>
    <col min="85" max="85" width="6.44140625" style="81" customWidth="1"/>
    <col min="86" max="87" width="11.6640625" style="81" bestFit="1" customWidth="1"/>
    <col min="88" max="88" width="11.6640625" style="81" customWidth="1"/>
    <col min="89" max="89" width="12.77734375" style="81" bestFit="1" customWidth="1"/>
    <col min="90" max="90" width="16.44140625" style="82" bestFit="1" customWidth="1"/>
    <col min="91" max="92" width="14.88671875" style="82" bestFit="1" customWidth="1"/>
    <col min="93" max="93" width="16" style="82" bestFit="1" customWidth="1"/>
    <col min="94" max="97" width="7.77734375" style="81" customWidth="1"/>
    <col min="98" max="98" width="33.21875" style="81" customWidth="1"/>
    <col min="99" max="99" width="18" style="81" customWidth="1"/>
    <col min="100" max="100" width="75.6640625" style="81" customWidth="1"/>
    <col min="101" max="125" width="33" style="81" customWidth="1"/>
    <col min="126" max="126" width="8.88671875" style="81"/>
    <col min="127" max="128" width="9.44140625" style="81" bestFit="1" customWidth="1"/>
    <col min="129" max="129" width="10.77734375" style="81" bestFit="1" customWidth="1"/>
    <col min="130" max="134" width="10.77734375" style="81" customWidth="1"/>
    <col min="135" max="135" width="10.109375" style="81" bestFit="1" customWidth="1"/>
    <col min="136" max="136" width="7.77734375" style="81" bestFit="1" customWidth="1"/>
    <col min="137" max="137" width="7.77734375" style="81" customWidth="1"/>
    <col min="138" max="138" width="9" style="81" bestFit="1" customWidth="1"/>
    <col min="139" max="139" width="11.33203125" style="81" bestFit="1" customWidth="1"/>
    <col min="140" max="140" width="9.109375" style="81" bestFit="1" customWidth="1"/>
    <col min="141" max="141" width="9" style="81" bestFit="1" customWidth="1"/>
    <col min="142" max="142" width="12" style="81" bestFit="1" customWidth="1"/>
    <col min="143" max="166" width="12" style="81" customWidth="1"/>
    <col min="167" max="167" width="17.21875" style="81" customWidth="1"/>
    <col min="168" max="191" width="12" style="81" customWidth="1"/>
    <col min="192" max="192" width="8.5546875" style="81" bestFit="1" customWidth="1"/>
    <col min="193" max="193" width="8.5546875" style="81" customWidth="1"/>
    <col min="194" max="194" width="7.109375" style="81" bestFit="1" customWidth="1"/>
    <col min="195" max="195" width="7.5546875" style="81" bestFit="1" customWidth="1"/>
    <col min="196" max="196" width="8.5546875" style="81" bestFit="1" customWidth="1"/>
    <col min="197" max="200" width="8.5546875" style="81" customWidth="1"/>
    <col min="201" max="201" width="188.88671875" style="81" customWidth="1"/>
    <col min="202" max="202" width="9.5546875" style="81" bestFit="1" customWidth="1"/>
    <col min="203" max="203" width="10.44140625" style="81" bestFit="1" customWidth="1"/>
    <col min="204" max="204" width="11.109375" style="81" bestFit="1" customWidth="1"/>
    <col min="205" max="205" width="10.44140625" style="81" bestFit="1" customWidth="1"/>
    <col min="206" max="210" width="10.44140625" style="81" customWidth="1"/>
    <col min="211" max="211" width="45.44140625" style="81" customWidth="1"/>
    <col min="212" max="212" width="47.5546875" style="81" bestFit="1" customWidth="1"/>
    <col min="213" max="213" width="9.33203125" style="85" customWidth="1"/>
    <col min="214" max="214" width="119.5546875" style="81" customWidth="1"/>
    <col min="215" max="215" width="69.6640625" style="81" customWidth="1"/>
    <col min="216" max="218" width="8.88671875" style="81"/>
    <col min="219" max="219" width="37.109375" style="81" customWidth="1"/>
    <col min="220" max="220" width="16.33203125" style="81" customWidth="1"/>
    <col min="221" max="222" width="8.88671875" style="81"/>
    <col min="223" max="223" width="10.109375" style="81" bestFit="1" customWidth="1"/>
    <col min="224" max="232" width="10.88671875" style="81" customWidth="1"/>
    <col min="233" max="234" width="30.77734375" style="81" customWidth="1"/>
    <col min="235" max="235" width="5.109375" style="81" customWidth="1"/>
    <col min="236" max="236" width="3" style="81" customWidth="1"/>
    <col min="237" max="245" width="6.77734375" style="86" customWidth="1"/>
    <col min="246" max="247" width="8.88671875" style="81"/>
    <col min="248" max="248" width="61.5546875" style="81" customWidth="1"/>
    <col min="249" max="253" width="8.88671875" style="81"/>
    <col min="254" max="254" width="9" style="81" customWidth="1"/>
    <col min="255" max="16384" width="8.88671875" style="8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182</v>
      </c>
      <c r="B2" s="40" t="e" vm="135">
        <v>#VALUE!</v>
      </c>
      <c r="C2" s="41">
        <v>1</v>
      </c>
      <c r="D2" s="42" t="s">
        <v>183</v>
      </c>
      <c r="E2" s="43" t="s">
        <v>184</v>
      </c>
      <c r="F2" s="44" t="s">
        <v>163</v>
      </c>
      <c r="G2" s="45">
        <f>COUNTIF($A$1:$A$8390,A2)</f>
        <v>1</v>
      </c>
      <c r="H2" s="46"/>
      <c r="I2" s="47" t="s">
        <v>185</v>
      </c>
      <c r="J2" s="48" t="str">
        <f>""</f>
        <v/>
      </c>
      <c r="K2" s="49">
        <v>48582000</v>
      </c>
      <c r="L2" s="50">
        <v>1200000</v>
      </c>
      <c r="M2" s="50" t="s">
        <v>1119</v>
      </c>
      <c r="N2" s="51" t="s">
        <v>180</v>
      </c>
      <c r="O2" s="52" t="s">
        <v>186</v>
      </c>
      <c r="P2" s="53" t="s">
        <v>187</v>
      </c>
      <c r="Q2" s="54">
        <v>1</v>
      </c>
      <c r="R2" s="55" t="s">
        <v>180</v>
      </c>
      <c r="S2" s="56">
        <v>6</v>
      </c>
      <c r="T2" s="57" t="s">
        <v>164</v>
      </c>
      <c r="U2" s="58" t="s">
        <v>164</v>
      </c>
      <c r="V2" s="58" t="s">
        <v>167</v>
      </c>
      <c r="W2" s="58" t="s">
        <v>164</v>
      </c>
      <c r="X2" s="58" t="s">
        <v>167</v>
      </c>
      <c r="Y2" s="58" t="s">
        <v>167</v>
      </c>
      <c r="Z2" s="58" t="s">
        <v>167</v>
      </c>
      <c r="AA2" s="58" t="s">
        <v>164</v>
      </c>
      <c r="AB2" s="58" t="s">
        <v>164</v>
      </c>
      <c r="AC2" s="58" t="s">
        <v>164</v>
      </c>
      <c r="AD2" s="58" t="s">
        <v>164</v>
      </c>
      <c r="AE2" s="58" t="s">
        <v>164</v>
      </c>
      <c r="AF2" s="59" t="s">
        <v>164</v>
      </c>
      <c r="AG2" s="59" t="s">
        <v>164</v>
      </c>
      <c r="AH2" s="59" t="s">
        <v>167</v>
      </c>
      <c r="AI2" s="59" t="s">
        <v>164</v>
      </c>
      <c r="AJ2" s="59" t="s">
        <v>164</v>
      </c>
      <c r="AK2" s="59" t="s">
        <v>164</v>
      </c>
      <c r="AL2" s="59" t="s">
        <v>164</v>
      </c>
      <c r="AM2" s="59" t="s">
        <v>164</v>
      </c>
      <c r="AN2" s="59" t="s">
        <v>164</v>
      </c>
      <c r="AO2" s="59" t="s">
        <v>164</v>
      </c>
      <c r="AP2" s="59" t="s">
        <v>164</v>
      </c>
      <c r="AQ2" s="59" t="s">
        <v>164</v>
      </c>
      <c r="AR2" s="59" t="s">
        <v>164</v>
      </c>
      <c r="AS2" s="59" t="s">
        <v>164</v>
      </c>
      <c r="AT2" s="60">
        <v>0</v>
      </c>
      <c r="AU2" s="59"/>
      <c r="AV2" s="59" t="str">
        <f>IF(LEFT(A2,1)="[",LEFT(A2,5)&amp;AU2&amp;A2,"")</f>
        <v/>
      </c>
      <c r="AW2" s="59" t="str">
        <f t="shared" ref="AW2:AW3" si="0">C2&amp;H2&amp;A2</f>
        <v>1Uganda</v>
      </c>
      <c r="AX2" s="61" t="str">
        <f>_xlfn.TEXTJOIN(";",TRUE,AU2:AW2)</f>
        <v>1Uganda</v>
      </c>
      <c r="AY2" s="61"/>
      <c r="AZ2" s="62"/>
      <c r="BA2" s="62"/>
      <c r="BB2" s="62"/>
      <c r="BC2" s="63"/>
      <c r="BD2" s="64" t="s">
        <v>155</v>
      </c>
      <c r="BE2" s="47"/>
      <c r="BF2" s="64" t="s">
        <v>151</v>
      </c>
      <c r="BG2" s="64"/>
      <c r="BH2" s="64" t="s">
        <v>154</v>
      </c>
      <c r="BI2" s="64" t="s">
        <v>155</v>
      </c>
      <c r="BJ2" s="64"/>
      <c r="BK2" s="47"/>
      <c r="BL2" s="64" t="s">
        <v>155</v>
      </c>
      <c r="BM2" s="64" t="s">
        <v>154</v>
      </c>
      <c r="BN2" s="64" t="s">
        <v>151</v>
      </c>
      <c r="BO2" s="64" t="s">
        <v>159</v>
      </c>
      <c r="BP2" s="64"/>
      <c r="BQ2" s="64"/>
      <c r="BR2" s="64"/>
      <c r="BS2" s="64"/>
      <c r="BT2" s="64"/>
      <c r="BU2" s="65"/>
      <c r="BV2" s="66" t="s">
        <v>167</v>
      </c>
      <c r="BW2" s="66" t="s">
        <v>166</v>
      </c>
      <c r="BX2" s="47"/>
      <c r="BZ2" s="48" t="s">
        <v>167</v>
      </c>
      <c r="CB2" s="6" t="s">
        <v>188</v>
      </c>
      <c r="CC2" s="6"/>
      <c r="CD2" s="67">
        <v>0</v>
      </c>
      <c r="CE2" s="67">
        <v>0</v>
      </c>
      <c r="CF2" s="67" t="e">
        <v>#REF!</v>
      </c>
      <c r="CG2" s="68" cm="1">
        <f t="array" ref="CG2">SUMPRODUCT(--(LEN(TRIM(BL2:BT2))&gt;0))</f>
        <v>4</v>
      </c>
      <c r="CH2" s="59" t="str">
        <f>IF(CG2=2,"y","n")</f>
        <v>n</v>
      </c>
      <c r="CI2" s="59" t="str">
        <f>IF(CG2=3,"y","n")</f>
        <v>n</v>
      </c>
      <c r="CJ2" s="59" t="str">
        <f>IF(CG2=4,"y","n")</f>
        <v>y</v>
      </c>
      <c r="CK2" s="59" t="str">
        <f>IF(CG2&gt;4,"y","n")</f>
        <v>n</v>
      </c>
      <c r="CL2" s="59" t="str">
        <f>IF(S2=0,"y","n")</f>
        <v>n</v>
      </c>
      <c r="CM2" s="59" t="str">
        <f>IF(S2=2,"y","n")</f>
        <v>n</v>
      </c>
      <c r="CN2" s="59" t="str">
        <f>IF(S2=3,"y","n")</f>
        <v>n</v>
      </c>
      <c r="CO2" s="59" t="str">
        <f>IF(S2&gt;=4,"y","n")</f>
        <v>y</v>
      </c>
      <c r="CP2" s="59" t="str">
        <f>IF(AT2=0,"y","n")</f>
        <v>y</v>
      </c>
      <c r="CQ2" s="59" t="str">
        <f>IF(AT2=1,"y","n")</f>
        <v>n</v>
      </c>
      <c r="CR2" s="59" t="str">
        <f>IF(AT2=2,"y","n")</f>
        <v>n</v>
      </c>
      <c r="CS2" s="59" t="str">
        <f>IF(AT2&gt;=3,"y","n")</f>
        <v>n</v>
      </c>
      <c r="CT2" s="69" t="str">
        <f>CHAR(34)&amp;A2&amp;CHAR(34)</f>
        <v>"Uganda"</v>
      </c>
      <c r="CU2" s="70" t="str">
        <f>CHAR(34)&amp;"rgn_"&amp;R2&amp;CHAR(34)</f>
        <v>"rgn_Africa"</v>
      </c>
      <c r="CV2" s="48" t="str">
        <f>CHAR(34)&amp;D2&amp;CHAR(34)</f>
        <v>"https://i.ibb.co/L5QVYHq/Uganda-Flag.png"</v>
      </c>
      <c r="CW2" s="48" t="str">
        <f>IF(CH2="y",CHAR(34)&amp;CH$1&amp;CHAR(34)&amp;",","")</f>
        <v/>
      </c>
      <c r="CX2" s="48" t="str">
        <f>IF(CI2="y",CHAR(34)&amp;CI$1&amp;CHAR(34)&amp;",","")</f>
        <v/>
      </c>
      <c r="CY2" s="48" t="str">
        <f>IF(CJ2="y",CHAR(34)&amp;CJ$1&amp;CHAR(34)&amp;",","")</f>
        <v>"4Color",</v>
      </c>
      <c r="CZ2" s="48" t="str">
        <f>IF(CK2="y",CHAR(34)&amp;CK$1&amp;CHAR(34)&amp;",","")</f>
        <v/>
      </c>
      <c r="DA2" s="48" t="str">
        <f>IF(Q2&gt;1,CHAR(34)&amp;"words2"&amp;CHAR(34)&amp;",","")</f>
        <v/>
      </c>
      <c r="DB2" s="48" t="str">
        <f>IF(Q2&gt;2,CHAR(34)&amp;"words3"&amp;CHAR(34)&amp;",","")</f>
        <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"lets06",</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"startU",</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
      </c>
      <c r="DS2" s="6" t="str">
        <f>IF(W2="y",IF(AND(V2="n",BY2&lt;&gt;"y"),CHAR(34)&amp;"allver"&amp;CHAR(34)&amp;",",""),"")</f>
        <v/>
      </c>
      <c r="DT2" s="6" t="str">
        <f>IF(V2="y",IF(AND(W2="n",BY2&lt;&gt;"y"),CHAR(34)&amp;"allhor"&amp;CHAR(34)&amp;",",""),"")</f>
        <v>"allhor",</v>
      </c>
      <c r="DU2" s="6" t="str">
        <f>IF(BY2="y",IF(AND(W2="n",V2="n"),CHAR(34)&amp;"alldia"&amp;CHAR(34)&amp;",",""),"")</f>
        <v/>
      </c>
      <c r="DV2" s="48" t="str">
        <f>IF(IA2&lt;&gt;"",(IF(IA2="y",CHAR(34)&amp;"largec"&amp;CHAR(34)&amp;",",CHAR(34)&amp;"smallc"&amp;CHAR(34)&amp;",")),"")</f>
        <v/>
      </c>
      <c r="DW2" s="48" t="str">
        <f>IF(CL2="y",CHAR(34)&amp;CL$1&amp;CHAR(34)&amp;",","")</f>
        <v/>
      </c>
      <c r="DX2" s="48" t="str">
        <f>IF(CM2="y",CHAR(34)&amp;CM$1&amp;CHAR(34)&amp;",","")</f>
        <v/>
      </c>
      <c r="DY2" s="48" t="str">
        <f>IF(CN2="y",CHAR(34)&amp;CN$1&amp;CHAR(34)&amp;",","")</f>
        <v/>
      </c>
      <c r="DZ2" s="48" t="str">
        <f>IF(CO2="y",CHAR(34)&amp;CO$1&amp;CHAR(34)&amp;",","")</f>
        <v>"4+Band",</v>
      </c>
      <c r="EA2" s="48" t="str">
        <f>IF(T2="y",CHAR(34)&amp;T$1&amp;CHAR(34)&amp;",","")</f>
        <v/>
      </c>
      <c r="EB2" s="48" t="str">
        <f>IF(U2="y",CHAR(34)&amp;U$1&amp;CHAR(34)&amp;",","")</f>
        <v/>
      </c>
      <c r="EC2" s="48" t="str">
        <f>IF(V2="y",CHAR(34)&amp;V$1&amp;CHAR(34)&amp;",","")</f>
        <v>"Horizo",</v>
      </c>
      <c r="ED2" s="48" t="str">
        <f>IF(W2="y",CHAR(34)&amp;W$1&amp;CHAR(34)&amp;",","")</f>
        <v/>
      </c>
      <c r="EE2" s="48" t="str">
        <f>IF(X2="y",CHAR(34)&amp;X$1&amp;CHAR(34)&amp;",","")</f>
        <v>"Circle",</v>
      </c>
      <c r="EF2" s="48" t="str">
        <f>IF(AND(Y2&lt;&gt;"n",Y2&lt;&gt;""),CHAR(34)&amp;Y$1&amp;CHAR(34)&amp;",","")</f>
        <v>"Animal",</v>
      </c>
      <c r="EG2" s="48" t="str">
        <f>IF(Z2="y",CHAR(34)&amp;Z$1&amp;CHAR(34)&amp;",","")</f>
        <v>"Bird",</v>
      </c>
      <c r="EH2" s="48" t="str">
        <f>IF(AA2="y",CHAR(34)&amp;AA$1&amp;CHAR(34)&amp;",","")</f>
        <v/>
      </c>
      <c r="EI2" s="48" t="str">
        <f>IF(AB2="y",CHAR(34)&amp;AB$1&amp;CHAR(34)&amp;",","")</f>
        <v/>
      </c>
      <c r="EJ2" s="48" t="str">
        <f>IF(AC2="y",CHAR(34)&amp;AC$1&amp;CHAR(34)&amp;",","")</f>
        <v/>
      </c>
      <c r="EK2" s="48" t="str">
        <f>IF(AD2="y",CHAR(34)&amp;AD$1&amp;CHAR(34)&amp;",","")</f>
        <v/>
      </c>
      <c r="EL2" s="48" t="str">
        <f>IF(AE2="y",CHAR(34)&amp;AE$1&amp;CHAR(34)&amp;",","")</f>
        <v/>
      </c>
      <c r="EM2" s="48" t="str">
        <f>IF(AF2="y",CHAR(34)&amp;AF$1&amp;CHAR(34)&amp;",","")</f>
        <v/>
      </c>
      <c r="EN2" s="48" t="str">
        <f>IF(AG2="y",CHAR(34)&amp;AG$1&amp;CHAR(34)&amp;",","")</f>
        <v/>
      </c>
      <c r="EO2" s="48" t="str">
        <f>IF(AH2="y",CHAR(34)&amp;AH$1&amp;CHAR(34)&amp;",","")</f>
        <v>"Center",</v>
      </c>
      <c r="EP2" s="48" t="str">
        <f>IF(AI2="y",CHAR(34)&amp;AI$1&amp;CHAR(34)&amp;",","")</f>
        <v/>
      </c>
      <c r="EQ2" s="48" t="str">
        <f>IF(AJ2="y",CHAR(34)&amp;AJ$1&amp;CHAR(34)&amp;",","")</f>
        <v/>
      </c>
      <c r="ER2" s="48" t="str">
        <f>IF(AK2="y",CHAR(34)&amp;AK$1&amp;CHAR(34)&amp;",","")</f>
        <v/>
      </c>
      <c r="ES2" s="48" t="str">
        <f>IF(AL2="y",CHAR(34)&amp;AL$1&amp;CHAR(34)&amp;",","")</f>
        <v/>
      </c>
      <c r="ET2" s="48" t="str">
        <f>IF(AM2="y",CHAR(34)&amp;AM$1&amp;CHAR(34)&amp;",","")</f>
        <v/>
      </c>
      <c r="EU2" s="48" t="str">
        <f>IF(AN2="y",CHAR(34)&amp;AN$1&amp;CHAR(34)&amp;",","")</f>
        <v/>
      </c>
      <c r="EV2" s="48" t="str">
        <f>IF(AO2="y",CHAR(34)&amp;AO$1&amp;CHAR(34)&amp;",","")</f>
        <v/>
      </c>
      <c r="EW2" s="48" t="str">
        <f>IF(AP2="y",CHAR(34)&amp;AP$1&amp;CHAR(34)&amp;",","")</f>
        <v/>
      </c>
      <c r="EX2" s="48" t="str">
        <f>IF(AQ2="y",CHAR(34)&amp;AQ$1&amp;CHAR(34)&amp;",","")</f>
        <v/>
      </c>
      <c r="EY2" s="48" t="str">
        <f>IF(AR2="y",CHAR(34)&amp;AR$1&amp;CHAR(34)&amp;",","")</f>
        <v/>
      </c>
      <c r="EZ2" s="48" t="str">
        <f>IF(AS2="y",CHAR(34)&amp;AS$1&amp;CHAR(34)&amp;",","")</f>
        <v/>
      </c>
      <c r="FA2" s="48" t="str">
        <f>IF(AT2&gt;0,CHAR(34)&amp;"sta"&amp;AZ2&amp;CHAR(34)&amp;",","")</f>
        <v/>
      </c>
      <c r="FB2" s="48" t="str">
        <f>IF(AND(AT2&gt;0,BA2&lt;&gt;""),CHAR(34)&amp;"sta"&amp;BA2&amp;CHAR(34)&amp;",","")</f>
        <v/>
      </c>
      <c r="FC2" s="48" t="str">
        <f>IF(AND(AT2&gt;0,BB2&lt;&gt;""),CHAR(34)&amp;"sta"&amp;BB2&amp;CHAR(34)&amp;",","")</f>
        <v/>
      </c>
      <c r="FD2" s="48" t="str">
        <f>IF(BV2="n",CHAR(34)&amp;"tcWHYE"&amp;CHAR(34)&amp;",",IF(BV2="y",CHAR(34)&amp;FD$1&amp;CHAR(34)&amp;",",""))</f>
        <v>"ntWHYE",</v>
      </c>
      <c r="FE2" s="48" t="str">
        <f>IF(COUNTIF(BL2:BT2,"BLU")=0,CHAR(34)&amp;"NO_BLU"&amp;CHAR(34)&amp;",", "")</f>
        <v>"NO_BLU",</v>
      </c>
      <c r="FF2" s="48" t="str">
        <f>IF(COUNTIF(BL2:BT2,"WHI")=0,CHAR(34)&amp;"NO_WHI"&amp;CHAR(34)&amp;",", "")</f>
        <v/>
      </c>
      <c r="FG2" s="48" t="str">
        <f>IF(COUNTIF(BL2:BT2,"RED")=0,CHAR(34)&amp;"NO_RED"&amp;CHAR(34)&amp;",", "")</f>
        <v/>
      </c>
      <c r="FH2" s="48" t="str">
        <f>IF(COUNTIF(BL2:BS2,"GRE")=0,CHAR(34)&amp;"NO_GRE"&amp;CHAR(34)&amp;",", "")</f>
        <v>"NO_GRE",</v>
      </c>
      <c r="FI2" s="48" t="str">
        <f>IF(COUNTIF(BL2:BT2,"YEL")=0,CHAR(34)&amp;"NO_YEL"&amp;CHAR(34)&amp;",", "")</f>
        <v/>
      </c>
      <c r="FJ2" s="48" t="str">
        <f>IF(COUNTIF(BL2:BT2,"BLA")=0,CHAR(34)&amp;"NO_BLA"&amp;CHAR(34)&amp;",", "")</f>
        <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
      </c>
      <c r="FP2" s="48" t="str">
        <f>IF(AND(FF2&lt;&gt;"",FF2&lt;&gt;""),CHAR(34)&amp;"WHRENO"&amp;CHAR(34)&amp;",","")</f>
        <v/>
      </c>
      <c r="FQ2" s="48" t="str">
        <f>IF(LEN(BF2)=3,CHAR(34)&amp;"001"&amp;BF2&amp;CHAR(34)&amp;",","")</f>
        <v>"001BLA",</v>
      </c>
      <c r="FR2" s="48" t="str">
        <f>IF(LEN(BG2)=3,CHAR(34)&amp;"002"&amp;BG2&amp;CHAR(34)&amp;",","")</f>
        <v/>
      </c>
      <c r="FS2" s="48" t="str">
        <f>IF(LEN(BH2)=3,CHAR(34)&amp;"003"&amp;BH2&amp;CHAR(34)&amp;",","")</f>
        <v>"003RED",</v>
      </c>
      <c r="FT2" s="48" t="str">
        <f>CHAR(34)&amp;"myr"&amp;BD2&amp;CHAR(34)&amp;","</f>
        <v>"myrYEL",</v>
      </c>
      <c r="FU2" s="48" t="str">
        <f>IF(AY2="y",CHAR(34)&amp;"island"&amp;CHAR(34)&amp;",","")</f>
        <v/>
      </c>
      <c r="FV2" s="48" t="str">
        <f>IF(BZ2="y",CHAR(34)&amp;"landlo"&amp;CHAR(34)&amp;",","")</f>
        <v>"landlo",</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"englis",</v>
      </c>
      <c r="GA2" s="48" t="str">
        <f>IFERROR(IF(SEARCH("French",CB2)&gt;0,CHAR(34)&amp;"french"&amp;CHAR(34)&amp;",",""),"")</f>
        <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"NoStar",</v>
      </c>
      <c r="GK2" s="48" t="str">
        <f>IF(GJ2="",CHAR(34)&amp;"HasSta"&amp;CHAR(34)&amp;",","")</f>
        <v/>
      </c>
      <c r="GL2" s="48" t="str">
        <f>IF(CQ2="y",CHAR(34)&amp;CQ$1&amp;CHAR(34)&amp;",","")</f>
        <v/>
      </c>
      <c r="GM2" s="48" t="str">
        <f>IF(CR2="y",CHAR(34)&amp;CR$1&amp;CHAR(34)&amp;",","")</f>
        <v/>
      </c>
      <c r="GN2" s="48" t="str">
        <f>IF(CS2="y",CHAR(34)&amp;CS$1&amp;CHAR(34)&amp;",","")</f>
        <v/>
      </c>
      <c r="GP2" s="48" t="str">
        <f>CHAR(34)&amp;AU2&amp;CHAR(34)</f>
        <v>""</v>
      </c>
      <c r="GS2" s="48" t="str">
        <f>SUBSTITUTE("["&amp;_xlfn.CONCAT(CW2:GN2)&amp;"]",",]","]")</f>
        <v>["4Color","lets06","startU","year19","allhor","4+Band","Horizo","Circle","Animal","Bird","Center","ntWHYE","NO_BLU","NO_GRE","001BLA","003RED","myrYEL","landlo","englis","NoStar"]</v>
      </c>
      <c r="GT2" s="48" t="str">
        <f>IF(BL2&lt;&gt;"",CHAR(34)&amp;"cl_"&amp;BL2&amp;CHAR(34)&amp;",","")</f>
        <v>"cl_YEL",</v>
      </c>
      <c r="GU2" s="48" t="str">
        <f>IF(BM2&lt;&gt;"",CHAR(34)&amp;"cl_"&amp;BM2&amp;CHAR(34)&amp;",","")</f>
        <v>"cl_RED",</v>
      </c>
      <c r="GV2" s="48" t="str">
        <f>IF(BN2&lt;&gt;"",CHAR(34)&amp;"cl_"&amp;BN2&amp;CHAR(34)&amp;",","")</f>
        <v>"cl_BLA",</v>
      </c>
      <c r="GW2" s="48" t="str">
        <f>IF(BO2&lt;&gt;"",CHAR(34)&amp;"cl_"&amp;BO2&amp;CHAR(34)&amp;",","")</f>
        <v>"cl_WHI",</v>
      </c>
      <c r="GX2" s="48" t="str">
        <f>IF(BP2&lt;&gt;"",CHAR(34)&amp;"cl_"&amp;BP2&amp;CHAR(34)&amp;",","")</f>
        <v/>
      </c>
      <c r="GY2" s="48" t="str">
        <f>IF(BQ2&lt;&gt;"",CHAR(34)&amp;"cl_"&amp;BQ2&amp;CHAR(34)&amp;",","")</f>
        <v/>
      </c>
      <c r="GZ2" s="48" t="str">
        <f>IF(BR2&lt;&gt;"",CHAR(34)&amp;"cl_"&amp;BR2&amp;CHAR(34)&amp;",","")</f>
        <v/>
      </c>
      <c r="HA2" s="48" t="str">
        <f>IF(BS2&lt;&gt;"",CHAR(34)&amp;"cl_"&amp;BS2&amp;CHAR(34)&amp;",","")</f>
        <v/>
      </c>
      <c r="HB2" s="48" t="str">
        <f>IF(BT2&lt;&gt;"",CHAR(34)&amp;"cl_"&amp;BT2&amp;CHAR(34)&amp;",","")</f>
        <v/>
      </c>
      <c r="HC2" s="48" t="str">
        <f>SUBSTITUTE("["&amp;_xlfn.CONCAT(GT2:HB2)&amp;"]",",]","]")</f>
        <v>["cl_YEL","cl_RED","cl_BLA","cl_WHI"]</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{couname:"Uganda",year:"1962 ",region:"rgn_Africa",Colors:["cl_YEL","cl_RED","cl_BLA","cl_WHI"],Items:["4Color","lets06","startU","year19","allhor","4+Band","Horizo","Circle","Animal","Bird","Center","ntWHYE","NO_BLU","NO_GRE","001BLA","003RED","myrYEL","landlo","englis","NoStar"],Flag:"https://i.ibb.co/L5QVYHq/Uganda-Flag.png",HDFlag:"https://upload.wikimedia.org/wikipedia/commons/thumb/4/4e/Flag_of_Uganda.svg/2560px-Flag_of_Uganda.svg.png",type:"", describe: "\nThe three colours are representative of native ethnic groups of Africa (black), Africa's sunshine (yellow), and African brotherhood (red being the colour of blood, through which all Africans are connected). The grey crowned crane is fabled for its gentle nature and was also the military badge of Ugandan soldiers during British rule. The raised leg of the crane symbolises the forward movement of the country.", isnew:".", links: "https://en.wikipedia.org/wiki/Flag_of_Uganda"},</v>
      </c>
      <c r="HG2" s="73" t="str">
        <f>"{couname:"&amp;CT2&amp;(IF(HK2&lt;&gt;"",",subtype:"&amp;CHAR(34)&amp;HK2&amp;CHAR(34),""))&amp;",year:"&amp;HJ2&amp;",region:"&amp;CU2&amp;",Colors:"&amp;HC2&amp;",Items:"&amp;GS2&amp;",Flag:"&amp;CV2&amp;",HDFlag:"&amp;CHAR(34)&amp;E2&amp;CHAR(34)&amp;",type:"&amp;GP2&amp;", describe: "&amp;HI2&amp;", links: "&amp;HL2&amp;"},"</f>
        <v>{couname:"Uganda",year:"1962 ",region:"rgn_Africa",Colors:["cl_YEL","cl_RED","cl_BLA","cl_WHI"],Items:["4Color","lets06","startU","year19","allhor","4+Band","Horizo","Circle","Animal","Bird","Center","ntWHYE","NO_BLU","NO_GRE","001BLA","003RED","myrYEL","landlo","englis","NoStar"],Flag:"https://i.ibb.co/L5QVYHq/Uganda-Flag.png",HDFlag:"https://upload.wikimedia.org/wikipedia/commons/thumb/4/4e/Flag_of_Uganda.svg/2560px-Flag_of_Uganda.svg.png",type:"", describe: "\nThe three colours are representative of native ethnic groups of Africa (black), Africa's sunshine (yellow), and African brotherhood (red being the colour of blood, through which all Africans are connected). The grey crowned crane is fabled for its gentle nature and was also the military badge of Ugandan soldiers during British rule. The raised leg of the crane symbolises the forward movement of the country.", links: "https://en.wikipedia.org/wiki/Flag_of_Uganda"},</v>
      </c>
      <c r="HH2" s="48" t="str">
        <f>IF(P2&lt;&gt;"",CHAR(34)&amp;"\n"&amp;P2&amp;CHAR(34),CHAR(34)&amp;CHAR(34))</f>
        <v>"\nThe three colours are representative of native ethnic groups of Africa (black), Africa's sunshine (yellow), and African brotherhood (red being the colour of blood, through which all Africans are connected). The grey crowned crane is fabled for its gentle nature and was also the military badge of Ugandan soldiers during British rule. The raised leg of the crane symbolises the forward movement of the country."</v>
      </c>
      <c r="HI2" s="48" t="str">
        <f>IF(J2=0,CHAR(34)&amp;CHAR(34),HH2)</f>
        <v>"\nThe three colours are representative of native ethnic groups of Africa (black), Africa's sunshine (yellow), and African brotherhood (red being the colour of blood, through which all Africans are connected). The grey crowned crane is fabled for its gentle nature and was also the military badge of Ugandan soldiers during British rule. The raised leg of the crane symbolises the forward movement of the country."</v>
      </c>
      <c r="HJ2" s="48" t="str">
        <f>CHAR(34)&amp;O2&amp;CHAR(34)</f>
        <v>"1962 "</v>
      </c>
      <c r="HL2" s="48" t="str">
        <f>CHAR(34)&amp;I2&amp;CHAR(34)</f>
        <v>"https://en.wikipedia.org/wiki/Flag_of_Uganda"</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{"couname":"Uganda","year":"1962 ","region":"rgn_Africa","Colors":["cl_YEL","cl_RED","cl_BLA","cl_WHI"],"Items":["4Color","lets06","startU","year19","allhor","4+Band","Horizo","Circle","Animal","Bird","Center","ntWHYE","NO_BLU","NO_GRE","001BLA","003RED","myrYEL","landlo","englis","NoStar"],"Flag":"https://i.ibb.co/L5QVYHq/Uganda-Flag.png","HDFlag":"https://upload.wikimedia.org/wikipedia/commons/thumb/4/4e/Flag_of_Uganda.svg/2560px-Flag_of_Uganda.svg.png","type":"", "describe": "\nThe three colours are representative of native ethnic groups of Africa (black), Africa's sunshine (yellow), and African brotherhood (red being the colour of blood, through which all Africans are connected). The grey crowned crane is fabled for its gentle nature and was also the military badge of Ugandan soldiers during British rule. The raised leg of the crane symbolises the forward movement of the country.", "isnew": ".", "links": "https://en.wikipedia.org/wiki/Flag_of_Uganda"},</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{"couname":"Uganda","year":"1962 ","region":"rgn_Africa","Colors":["cl_YEL","cl_RED","cl_BLA","cl_WHI"],"Items":["4Color","lets06","startU","year19","allhor","4+Band","Horizo","Circle","Animal","Bird","Center","ntWHYE","NO_BLU","NO_GRE","001BLA","003RED","myrYEL","landlo","englis","NoStar"],"Flag":"https://i.ibb.co/L5QVYHq/Uganda-Flag.png","HDFlag":"https://upload.wikimedia.org/wikipedia/commons/thumb/4/4e/Flag_of_Uganda.svg/2560px-Flag_of_Uganda.svg.png","type":"", "describe": "\nThe three colours are representative of native ethnic groups of Africa (black), Africa's sunshine (yellow), and African brotherhood (red being the colour of blood, through which all Africans are connected). The grey crowned crane is fabled for its gentle nature and was also the military badge of Ugandan soldiers during British rule. The raised leg of the crane symbolises the forward movement of the country.", "isnew": ".", "links": "https://en.wikipedia.org/wiki/Flag_of_Uganda"},</v>
      </c>
      <c r="HO2" s="75"/>
      <c r="HP2" s="48" t="str" cm="1">
        <f t="array" ref="HP2">IF(_xlfn.TEXTJOIN(", ", TRUE, IF(ISNUMBER(SEARCH("BLA", BL2:BT2)), COLUMN(BL2:BT2) - COLUMN(BL2) + 1, ""))&lt;&gt;"","BLA","")</f>
        <v>BLA</v>
      </c>
      <c r="HQ2" s="48" t="str" cm="1">
        <f t="array" ref="HQ2">IF(_xlfn.TEXTJOIN(", ", TRUE, IF(ISNUMBER(SEARCH("BLU", BL2:BT2)), COLUMN(BL2:BT2) - COLUMN(BL2) + 1, ""))&lt;&gt;"","BLU","")</f>
        <v/>
      </c>
      <c r="HR2" s="48" t="str" cm="1">
        <f t="array" ref="HR2">IF(_xlfn.TEXTJOIN(", ", TRUE, IF(ISNUMBER(SEARCH("GRE", BL2:BT2)), COLUMN(BL2:BT2) - COLUMN(BL2) + 1, ""))&lt;&gt;"","GRE","")</f>
        <v/>
      </c>
      <c r="HS2" s="48" t="str" cm="1">
        <f t="array" ref="HS2">IF(_xlfn.TEXTJOIN(", ", TRUE, IF(ISNUMBER(SEARCH("RED", BL2:BT2)), COLUMN(BL2:BT2) - COLUMN(BL2) + 1, ""))&lt;&gt;"","RED","")</f>
        <v>RED</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c r="IB2" s="6"/>
      <c r="IC2" s="77"/>
      <c r="ID2" s="77"/>
      <c r="IE2" s="77"/>
      <c r="IF2" s="77"/>
      <c r="IG2" s="77"/>
      <c r="IH2" s="77"/>
      <c r="II2" s="77"/>
      <c r="IJ2" s="77"/>
      <c r="IK2" s="77"/>
      <c r="IL2" s="48">
        <f>SUM(IC2:IK2)</f>
        <v>0</v>
      </c>
      <c r="IM2" s="45">
        <f>COUNTIF(IC2:IK2,"&gt;0")-CG2</f>
        <v>-4</v>
      </c>
      <c r="IN2" s="78" t="str">
        <f>"http://mkweb.bcgsc.ca/color-summarizer/?url="&amp;D2&amp;"&amp;precision=low&amp;num_clusters="&amp;CG2&amp;"&amp;text=1"</f>
        <v>http://mkweb.bcgsc.ca/color-summarizer/?url=https://i.ibb.co/L5QVYHq/Uganda-Flag.png&amp;precision=low&amp;num_clusters=4&amp;text=1</v>
      </c>
      <c r="IO2" s="48" t="str">
        <f>IF(HP2&lt;&gt;"",CHAR(34)&amp;"black"&amp;CHAR(34),"")</f>
        <v>"black"</v>
      </c>
      <c r="IP2" s="48" t="str">
        <f>IF(HQ2&lt;&gt;"",CHAR(34)&amp;"blue"&amp;CHAR(34),"")</f>
        <v/>
      </c>
      <c r="IQ2" s="48" t="str">
        <f>IF(HR2&lt;&gt;"",CHAR(34)&amp;"green"&amp;CHAR(34),"")</f>
        <v/>
      </c>
      <c r="IR2" s="48" t="str">
        <f>IF(HS2&lt;&gt;"",CHAR(34)&amp;"red"&amp;CHAR(34),"")</f>
        <v>"red"</v>
      </c>
      <c r="IS2" s="48" t="str">
        <f>IF(HT2&lt;&gt;"",CHAR(34)&amp;"yellow"&amp;CHAR(34),"")</f>
        <v>"yellow"</v>
      </c>
      <c r="IT2" s="48" t="str">
        <f>IF(HU2&lt;&gt;"",CHAR(34)&amp;"orange"&amp;CHAR(34),"")</f>
        <v/>
      </c>
      <c r="IU2" s="48" t="str">
        <f>IF(HV2&lt;&gt;"",CHAR(34)&amp;"brown"&amp;CHAR(34),"")</f>
        <v/>
      </c>
      <c r="IV2" s="48" t="str">
        <f>IF(HW2&lt;&gt;"",CHAR(34)&amp;"purple"&amp;CHAR(34),"")</f>
        <v/>
      </c>
      <c r="IW2" s="48" t="str">
        <f>IF(HX2&lt;&gt;"",CHAR(34)&amp;"white"&amp;CHAR(34),"")</f>
        <v>"white"</v>
      </c>
      <c r="IX2" s="48" t="str">
        <f>"{"&amp;CHAR(34)&amp;"url"&amp;CHAR(34)&amp;":"&amp;CHAR(34)&amp;IN2&amp;CHAR(34)&amp;","&amp;CHAR(34)&amp;"name"&amp;CHAR(34)&amp;":"&amp;CHAR(34)&amp;A2&amp;CHAR(34)&amp;"},"</f>
        <v>{"url":"http://mkweb.bcgsc.ca/color-summarizer/?url=https://i.ibb.co/L5QVYHq/Uganda-Flag.png&amp;precision=low&amp;num_clusters=4&amp;text=1","name":"Uganda"},</v>
      </c>
      <c r="IY2" s="48">
        <v>227</v>
      </c>
    </row>
    <row r="3" spans="1:259" s="48" customFormat="1" ht="38.4" customHeight="1" thickBot="1" x14ac:dyDescent="0.35">
      <c r="A3" s="79" t="s">
        <v>175</v>
      </c>
      <c r="B3" s="40" t="e" vm="136">
        <v>#VALUE!</v>
      </c>
      <c r="C3" s="41">
        <v>2</v>
      </c>
      <c r="D3" s="42" t="s">
        <v>176</v>
      </c>
      <c r="E3" s="43" t="s">
        <v>177</v>
      </c>
      <c r="F3" s="44" t="s">
        <v>163</v>
      </c>
      <c r="G3" s="45">
        <f>COUNTIF($A$1:$A$8410,A3)</f>
        <v>1</v>
      </c>
      <c r="H3" s="46"/>
      <c r="I3" s="47" t="s">
        <v>178</v>
      </c>
      <c r="J3" s="48" t="str">
        <f>""</f>
        <v/>
      </c>
      <c r="K3" s="49"/>
      <c r="L3" s="50"/>
      <c r="M3" s="50"/>
      <c r="N3" s="51" t="s">
        <v>180</v>
      </c>
      <c r="O3" s="52" t="s">
        <v>170</v>
      </c>
      <c r="P3" s="53" t="s">
        <v>179</v>
      </c>
      <c r="Q3" s="54">
        <v>1</v>
      </c>
      <c r="R3" s="55" t="s">
        <v>180</v>
      </c>
      <c r="S3" s="56">
        <v>3</v>
      </c>
      <c r="T3" s="57" t="s">
        <v>164</v>
      </c>
      <c r="U3" s="58" t="s">
        <v>164</v>
      </c>
      <c r="V3" s="58" t="s">
        <v>164</v>
      </c>
      <c r="W3" s="58" t="s">
        <v>167</v>
      </c>
      <c r="X3" s="58" t="s">
        <v>164</v>
      </c>
      <c r="Y3" s="58" t="s">
        <v>167</v>
      </c>
      <c r="Z3" s="58" t="s">
        <v>164</v>
      </c>
      <c r="AA3" s="58" t="s">
        <v>164</v>
      </c>
      <c r="AB3" s="58" t="s">
        <v>164</v>
      </c>
      <c r="AC3" s="58" t="s">
        <v>167</v>
      </c>
      <c r="AD3" s="58" t="s">
        <v>164</v>
      </c>
      <c r="AE3" s="58" t="s">
        <v>164</v>
      </c>
      <c r="AF3" s="59" t="s">
        <v>164</v>
      </c>
      <c r="AG3" s="59" t="s">
        <v>164</v>
      </c>
      <c r="AH3" s="59" t="s">
        <v>167</v>
      </c>
      <c r="AI3" s="59" t="s">
        <v>164</v>
      </c>
      <c r="AJ3" s="59" t="s">
        <v>164</v>
      </c>
      <c r="AK3" s="59" t="s">
        <v>164</v>
      </c>
      <c r="AL3" s="59" t="s">
        <v>164</v>
      </c>
      <c r="AM3" s="59" t="s">
        <v>164</v>
      </c>
      <c r="AN3" s="59" t="s">
        <v>164</v>
      </c>
      <c r="AO3" s="59" t="s">
        <v>164</v>
      </c>
      <c r="AP3" s="59" t="s">
        <v>164</v>
      </c>
      <c r="AQ3" s="59" t="s">
        <v>164</v>
      </c>
      <c r="AR3" s="59" t="s">
        <v>164</v>
      </c>
      <c r="AS3" s="59" t="s">
        <v>164</v>
      </c>
      <c r="AT3" s="60">
        <v>0</v>
      </c>
      <c r="AU3" s="59" t="s">
        <v>181</v>
      </c>
      <c r="AV3" s="59" t="str">
        <f>IF(LEFT(A3,1)="[",LEFT(A3,5)&amp;AU3&amp;A3,"")</f>
        <v>[UGA]Kingdom[UGA] Buganda</v>
      </c>
      <c r="AW3" s="59" t="str">
        <f t="shared" si="0"/>
        <v>2[UGA] Buganda</v>
      </c>
      <c r="AX3" s="61"/>
      <c r="AY3" s="61"/>
      <c r="AZ3" s="62"/>
      <c r="BA3" s="62"/>
      <c r="BB3" s="62"/>
      <c r="BC3" s="63"/>
      <c r="BD3" s="64" t="s">
        <v>152</v>
      </c>
      <c r="BE3" s="47"/>
      <c r="BF3" s="64" t="s">
        <v>152</v>
      </c>
      <c r="BG3" s="64" t="s">
        <v>159</v>
      </c>
      <c r="BH3" s="64" t="s">
        <v>152</v>
      </c>
      <c r="BI3" s="64"/>
      <c r="BJ3" s="64"/>
      <c r="BK3" s="47"/>
      <c r="BL3" s="64" t="s">
        <v>152</v>
      </c>
      <c r="BM3" s="64" t="s">
        <v>159</v>
      </c>
      <c r="BN3" s="64" t="s">
        <v>155</v>
      </c>
      <c r="BO3" s="64" t="s">
        <v>158</v>
      </c>
      <c r="BP3" s="64" t="s">
        <v>151</v>
      </c>
      <c r="BQ3" s="64"/>
      <c r="BR3" s="64"/>
      <c r="BS3" s="64"/>
      <c r="BT3" s="64"/>
      <c r="BU3" s="65"/>
      <c r="BV3" s="66"/>
      <c r="BW3" s="66">
        <v>0</v>
      </c>
      <c r="BX3" s="47"/>
      <c r="CB3" s="6"/>
      <c r="CC3" s="6"/>
      <c r="CD3" s="67">
        <v>0</v>
      </c>
      <c r="CE3" s="67">
        <v>0</v>
      </c>
      <c r="CF3" s="67" t="e">
        <v>#REF!</v>
      </c>
      <c r="CG3" s="68" cm="1">
        <f t="array" ref="CG3">SUMPRODUCT(--(LEN(TRIM(BL3:BT3))&gt;0))</f>
        <v>5</v>
      </c>
      <c r="CH3" s="59" t="str">
        <f>IF(CG3=2,"y","n")</f>
        <v>n</v>
      </c>
      <c r="CI3" s="59" t="str">
        <f>IF(CG3=3,"y","n")</f>
        <v>n</v>
      </c>
      <c r="CJ3" s="59" t="str">
        <f>IF(CG3=4,"y","n")</f>
        <v>n</v>
      </c>
      <c r="CK3" s="59" t="str">
        <f>IF(CG3&gt;4,"y","n")</f>
        <v>y</v>
      </c>
      <c r="CL3" s="59" t="str">
        <f>IF(S3=0,"y","n")</f>
        <v>n</v>
      </c>
      <c r="CM3" s="59" t="str">
        <f>IF(S3=2,"y","n")</f>
        <v>n</v>
      </c>
      <c r="CN3" s="59" t="str">
        <f>IF(S3=3,"y","n")</f>
        <v>y</v>
      </c>
      <c r="CO3" s="59" t="str">
        <f>IF(S3&gt;=4,"y","n")</f>
        <v>n</v>
      </c>
      <c r="CP3" s="59" t="str">
        <f>IF(AT3=0,"y","n")</f>
        <v>y</v>
      </c>
      <c r="CQ3" s="59" t="str">
        <f>IF(AT3=1,"y","n")</f>
        <v>n</v>
      </c>
      <c r="CR3" s="59" t="str">
        <f>IF(AT3=2,"y","n")</f>
        <v>n</v>
      </c>
      <c r="CS3" s="59" t="str">
        <f>IF(AT3&gt;=3,"y","n")</f>
        <v>n</v>
      </c>
      <c r="CT3" s="69" t="str">
        <f>CHAR(34)&amp;A3&amp;CHAR(34)</f>
        <v>"[UGA] Buganda"</v>
      </c>
      <c r="CU3" s="70" t="str">
        <f>CHAR(34)&amp;"rgn_"&amp;R3&amp;CHAR(34)</f>
        <v>"rgn_Africa"</v>
      </c>
      <c r="CV3" s="48" t="str">
        <f>CHAR(34)&amp;D3&amp;CHAR(34)</f>
        <v>"https://upload.wikimedia.org/wikipedia/commons/thumb/a/a0/Flag_of_Buganda.svg/640px-Flag_of_Buganda.svg.png"</v>
      </c>
      <c r="CW3" s="48" t="str">
        <f>IF(CH3="y",CHAR(34)&amp;CH$1&amp;CHAR(34)&amp;",","")</f>
        <v/>
      </c>
      <c r="CX3" s="48" t="str">
        <f>IF(CI3="y",CHAR(34)&amp;CI$1&amp;CHAR(34)&amp;",","")</f>
        <v/>
      </c>
      <c r="CY3" s="48" t="str">
        <f>IF(CJ3="y",CHAR(34)&amp;CJ$1&amp;CHAR(34)&amp;",","")</f>
        <v/>
      </c>
      <c r="CZ3" s="48" t="str">
        <f>IF(CK3="y",CHAR(34)&amp;CK$1&amp;CHAR(34)&amp;",","")</f>
        <v>"5+Colo",</v>
      </c>
      <c r="DA3" s="48" t="str">
        <f>IF(Q3&gt;1,CHAR(34)&amp;"words2"&amp;CHAR(34)&amp;",","")</f>
        <v/>
      </c>
      <c r="DB3" s="48" t="str">
        <f>IF(Q3&gt;2,CHAR(34)&amp;"words3"&amp;CHAR(34)&amp;",","")</f>
        <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"lets07",</v>
      </c>
      <c r="DE3" s="48" t="str">
        <f>CHAR(34)&amp;"start"&amp;IFERROR(LEFT(SUBSTITUTE(A3,"["&amp;MID(A3,FIND("[",A3)+1,FIND("]",A3)-FIND("[",A3)-1)&amp;"] ",""),1),LEFT(A3,1))&amp;CHAR(34)&amp;","</f>
        <v>"startB",</v>
      </c>
      <c r="DF3" s="48" t="str">
        <f>IFERROR(IF(SEARCH("tan",A3)&gt;0,CHAR(34)&amp;"withtn"&amp;CHAR(34)&amp;",",""),"")</f>
        <v/>
      </c>
      <c r="DG3" s="48" t="str">
        <f>IFERROR(IF(SEARCH("q",A3)&gt;0,CHAR(34)&amp;"with_q"&amp;CHAR(34)&amp;",",""),"")</f>
        <v/>
      </c>
      <c r="DH3" s="48" t="str">
        <f>IFERROR(IF(SEARCH("v",A3)&gt;0,CHAR(34)&amp;"with_v"&amp;CHAR(34)&amp;",",""),"")</f>
        <v/>
      </c>
      <c r="DI3" s="48" t="str">
        <f>IFERROR(IF(SEARCH("w",A3)&gt;0,CHAR(34)&amp;"with_w"&amp;CHAR(34)&amp;",",""),"")</f>
        <v/>
      </c>
      <c r="DJ3" s="48" t="str">
        <f>IFERROR(IF(SEARCH("y",A3)&gt;0,CHAR(34)&amp;"with_y"&amp;CHAR(34)&amp;",",""),"")</f>
        <v/>
      </c>
      <c r="DK3" s="48" t="str">
        <f>IFERROR(IF(SEARCH("z",A3)&gt;0,CHAR(34)&amp;"with_z"&amp;CHAR(34)&amp;",",""),"")</f>
        <v/>
      </c>
      <c r="DL3" s="48" t="str">
        <f>IF(CG3=2, CHAR(34) &amp; _xlfn.TEXTJOIN("", TRUE, _xlfn._xlws.SORT(HP3:HX3)) &amp; CHAR(34) &amp; ",", "")</f>
        <v/>
      </c>
      <c r="DM3" s="48" t="str" cm="1">
        <f t="array" ref="DM3">IF(CG3=3,CHAR(34) &amp; _xlfn.TEXTJOIN("", TRUE, RIGHT(HP3:HX3, 2)) &amp; CHAR(34) &amp; ",", "")</f>
        <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
      </c>
      <c r="DP3" s="6" t="str">
        <f>IF(AND(ISNUMBER(SEARCH("20", O3)), ISERROR(SEARCH("1920", O3))), CHAR(34)&amp;"year00"&amp;CHAR(34)&amp;",", "")</f>
        <v/>
      </c>
      <c r="DQ3" s="6" t="str">
        <f>IF(CC3="y",CHAR(34)&amp;"soviet"&amp;CHAR(34)&amp;",","")</f>
        <v/>
      </c>
      <c r="DR3" s="6" t="str">
        <f>IF(BY3="y",CHAR(34)&amp;"dgband"&amp;CHAR(34)&amp;",","")</f>
        <v/>
      </c>
      <c r="DS3" s="6" t="str">
        <f>IF(W3="y",IF(AND(V3="n",BY3&lt;&gt;"y"),CHAR(34)&amp;"allver"&amp;CHAR(34)&amp;",",""),"")</f>
        <v>"allver",</v>
      </c>
      <c r="DT3" s="6" t="str">
        <f>IF(V3="y",IF(AND(W3="n",BY3&lt;&gt;"y"),CHAR(34)&amp;"allhor"&amp;CHAR(34)&amp;",",""),"")</f>
        <v/>
      </c>
      <c r="DU3" s="6" t="str">
        <f>IF(BY3="y",IF(AND(W3="n",V3="n"),CHAR(34)&amp;"alldia"&amp;CHAR(34)&amp;",",""),"")</f>
        <v/>
      </c>
      <c r="DW3" s="48" t="str">
        <f>IF(CL3="y",CHAR(34)&amp;CL$1&amp;CHAR(34)&amp;",","")</f>
        <v/>
      </c>
      <c r="DX3" s="48" t="str">
        <f>IF(CM3="y",CHAR(34)&amp;CM$1&amp;CHAR(34)&amp;",","")</f>
        <v/>
      </c>
      <c r="DY3" s="48" t="str">
        <f>IF(CN3="y",CHAR(34)&amp;CN$1&amp;CHAR(34)&amp;",","")</f>
        <v>"3Bands",</v>
      </c>
      <c r="DZ3" s="48" t="str">
        <f>IF(CO3="y",CHAR(34)&amp;CO$1&amp;CHAR(34)&amp;",","")</f>
        <v/>
      </c>
      <c r="EA3" s="48" t="str">
        <f>IF(T3="y",CHAR(34)&amp;T$1&amp;CHAR(34)&amp;",","")</f>
        <v/>
      </c>
      <c r="EB3" s="48" t="str">
        <f>IF(U3="y",CHAR(34)&amp;U$1&amp;CHAR(34)&amp;",","")</f>
        <v/>
      </c>
      <c r="EC3" s="48" t="str">
        <f>IF(V3="y",CHAR(34)&amp;V$1&amp;CHAR(34)&amp;",","")</f>
        <v/>
      </c>
      <c r="ED3" s="48" t="str">
        <f>IF(W3="y",CHAR(34)&amp;W$1&amp;CHAR(34)&amp;",","")</f>
        <v>"Vertic",</v>
      </c>
      <c r="EE3" s="48" t="str">
        <f>IF(X3="y",CHAR(34)&amp;X$1&amp;CHAR(34)&amp;",","")</f>
        <v/>
      </c>
      <c r="EF3" s="48" t="str">
        <f>IF(AND(Y3&lt;&gt;"n",Y3&lt;&gt;""),CHAR(34)&amp;Y$1&amp;CHAR(34)&amp;",","")</f>
        <v>"Animal",</v>
      </c>
      <c r="EG3" s="48" t="str">
        <f>IF(Z3="y",CHAR(34)&amp;Z$1&amp;CHAR(34)&amp;",","")</f>
        <v/>
      </c>
      <c r="EH3" s="48" t="str">
        <f>IF(AA3="y",CHAR(34)&amp;AA$1&amp;CHAR(34)&amp;",","")</f>
        <v/>
      </c>
      <c r="EI3" s="48" t="str">
        <f>IF(AB3="y",CHAR(34)&amp;AB$1&amp;CHAR(34)&amp;",","")</f>
        <v/>
      </c>
      <c r="EJ3" s="48" t="str">
        <f>IF(AC3="y",CHAR(34)&amp;AC$1&amp;CHAR(34)&amp;",","")</f>
        <v>"Weapon",</v>
      </c>
      <c r="EK3" s="48" t="str">
        <f>IF(AD3="y",CHAR(34)&amp;AD$1&amp;CHAR(34)&amp;",","")</f>
        <v/>
      </c>
      <c r="EL3" s="48" t="str">
        <f>IF(AE3="y",CHAR(34)&amp;AE$1&amp;CHAR(34)&amp;",","")</f>
        <v/>
      </c>
      <c r="EM3" s="48" t="str">
        <f>IF(AF3="y",CHAR(34)&amp;AF$1&amp;CHAR(34)&amp;",","")</f>
        <v/>
      </c>
      <c r="EN3" s="48" t="str">
        <f>IF(AG3="y",CHAR(34)&amp;AG$1&amp;CHAR(34)&amp;",","")</f>
        <v/>
      </c>
      <c r="EO3" s="48" t="str">
        <f>IF(AH3="y",CHAR(34)&amp;AH$1&amp;CHAR(34)&amp;",","")</f>
        <v>"Center",</v>
      </c>
      <c r="EP3" s="48" t="str">
        <f>IF(AI3="y",CHAR(34)&amp;AI$1&amp;CHAR(34)&amp;",","")</f>
        <v/>
      </c>
      <c r="EQ3" s="48" t="str">
        <f>IF(AJ3="y",CHAR(34)&amp;AJ$1&amp;CHAR(34)&amp;",","")</f>
        <v/>
      </c>
      <c r="ER3" s="48" t="str">
        <f>IF(AK3="y",CHAR(34)&amp;AK$1&amp;CHAR(34)&amp;",","")</f>
        <v/>
      </c>
      <c r="ES3" s="48" t="str">
        <f>IF(AL3="y",CHAR(34)&amp;AL$1&amp;CHAR(34)&amp;",","")</f>
        <v/>
      </c>
      <c r="ET3" s="48" t="str">
        <f>IF(AM3="y",CHAR(34)&amp;AM$1&amp;CHAR(34)&amp;",","")</f>
        <v/>
      </c>
      <c r="EU3" s="48" t="str">
        <f>IF(AN3="y",CHAR(34)&amp;AN$1&amp;CHAR(34)&amp;",","")</f>
        <v/>
      </c>
      <c r="EV3" s="48" t="str">
        <f>IF(AO3="y",CHAR(34)&amp;AO$1&amp;CHAR(34)&amp;",","")</f>
        <v/>
      </c>
      <c r="EW3" s="48" t="str">
        <f>IF(AP3="y",CHAR(34)&amp;AP$1&amp;CHAR(34)&amp;",","")</f>
        <v/>
      </c>
      <c r="EX3" s="48" t="str">
        <f>IF(AQ3="y",CHAR(34)&amp;AQ$1&amp;CHAR(34)&amp;",","")</f>
        <v/>
      </c>
      <c r="EY3" s="48" t="str">
        <f>IF(AR3="y",CHAR(34)&amp;AR$1&amp;CHAR(34)&amp;",","")</f>
        <v/>
      </c>
      <c r="EZ3" s="48" t="str">
        <f>IF(AS3="y",CHAR(34)&amp;AS$1&amp;CHAR(34)&amp;",","")</f>
        <v/>
      </c>
      <c r="FA3" s="48" t="str">
        <f>IF(AT3&gt;0,CHAR(34)&amp;"sta"&amp;AZ3&amp;CHAR(34)&amp;",","")</f>
        <v/>
      </c>
      <c r="FB3" s="48" t="str">
        <f>IF(AND(AT3&gt;0,BA3&lt;&gt;""),CHAR(34)&amp;"sta"&amp;BA3&amp;CHAR(34)&amp;",","")</f>
        <v/>
      </c>
      <c r="FD3" s="48" t="str">
        <f>IF(BV3="n",CHAR(34)&amp;"tcWHYE"&amp;CHAR(34)&amp;",",IF(BV3="y",CHAR(34)&amp;FD$1&amp;CHAR(34)&amp;",",""))</f>
        <v/>
      </c>
      <c r="FE3" s="48" t="str">
        <f>IF(COUNTIF(BL3:BT3,"BLU")=0,CHAR(34)&amp;"NO_BLU"&amp;CHAR(34)&amp;",", "")</f>
        <v/>
      </c>
      <c r="FF3" s="48" t="str">
        <f>IF(COUNTIF(BL3:BT3,"WHI")=0,CHAR(34)&amp;"NO_WHI"&amp;CHAR(34)&amp;",", "")</f>
        <v/>
      </c>
      <c r="FG3" s="48" t="str">
        <f>IF(COUNTIF(BL3:BT3,"RED")=0,CHAR(34)&amp;"NO_RED"&amp;CHAR(34)&amp;",", "")</f>
        <v>"NO_RED",</v>
      </c>
      <c r="FH3" s="48" t="str">
        <f>IF(COUNTIF(BL3:BS3,"GRE")=0,CHAR(34)&amp;"NO_GRE"&amp;CHAR(34)&amp;",", "")</f>
        <v>"NO_GRE",</v>
      </c>
      <c r="FI3" s="48" t="str">
        <f>IF(COUNTIF(BL3:BT3,"YEL")=0,CHAR(34)&amp;"NO_YEL"&amp;CHAR(34)&amp;",", "")</f>
        <v/>
      </c>
      <c r="FJ3" s="48" t="str">
        <f>IF(COUNTIF(BL3:BT3,"BLA")=0,CHAR(34)&amp;"NO_BLA"&amp;CHAR(34)&amp;",", "")</f>
        <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
      </c>
      <c r="FQ3" s="48" t="str">
        <f>IF(LEN(BF3)=3,CHAR(34)&amp;"001"&amp;BF3&amp;CHAR(34)&amp;",","")</f>
        <v>"001BLU",</v>
      </c>
      <c r="FR3" s="48" t="str">
        <f>IF(LEN(BG3)=3,CHAR(34)&amp;"002"&amp;BG3&amp;CHAR(34)&amp;",","")</f>
        <v>"002WHI",</v>
      </c>
      <c r="FS3" s="48" t="str">
        <f>IF(LEN(BH3)=3,CHAR(34)&amp;"003"&amp;BH3&amp;CHAR(34)&amp;",","")</f>
        <v>"003BLU",</v>
      </c>
      <c r="FT3" s="48" t="str">
        <f>CHAR(34)&amp;"myr"&amp;BD3&amp;CHAR(34)&amp;","</f>
        <v>"myrBLU",</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
      </c>
      <c r="GG3" s="48" t="str">
        <f>IF(BU3="y",CHAR(34)&amp;"unjack"&amp;CHAR(34)&amp;",","")</f>
        <v/>
      </c>
      <c r="GH3" s="48" t="str">
        <f>IF(CD3=1,CHAR(34)&amp;"southc"&amp;CHAR(34)&amp;",","")</f>
        <v/>
      </c>
      <c r="GI3" s="48" t="str">
        <f>IF(CE3=1,CHAR(34)&amp;"hasmap"&amp;CHAR(34)&amp;",","")</f>
        <v/>
      </c>
      <c r="GJ3" s="48" t="str">
        <f>IF(CP3="y",CHAR(34)&amp;CP$1&amp;CHAR(34)&amp;",","")</f>
        <v>"NoStar",</v>
      </c>
      <c r="GK3" s="48" t="str">
        <f>IF(GJ3="",CHAR(34)&amp;"HasSta"&amp;CHAR(34)&amp;",","")</f>
        <v/>
      </c>
      <c r="GL3" s="48" t="str">
        <f>IF(CQ3="y",CHAR(34)&amp;CQ$1&amp;CHAR(34)&amp;",","")</f>
        <v/>
      </c>
      <c r="GM3" s="48" t="str">
        <f>IF(CR3="y",CHAR(34)&amp;CR$1&amp;CHAR(34)&amp;",","")</f>
        <v/>
      </c>
      <c r="GN3" s="48" t="str">
        <f>IF(CS3="y",CHAR(34)&amp;CS$1&amp;CHAR(34)&amp;",","")</f>
        <v/>
      </c>
      <c r="GP3" s="48" t="str">
        <f>CHAR(34)&amp;AU3&amp;CHAR(34)</f>
        <v>"Kingdom"</v>
      </c>
      <c r="GS3" s="48" t="str">
        <f>SUBSTITUTE("["&amp;_xlfn.CONCAT(CW3:GN3)&amp;"]",",]","]")</f>
        <v>["5+Colo","lets07","startB","allver","3Bands","Vertic","Animal","Weapon","Center","NO_RED","NO_GRE","001BLU","002WHI","003BLU","myrBLU","NoStar"]</v>
      </c>
      <c r="GT3" s="48" t="str">
        <f>IF(BL3&lt;&gt;"",CHAR(34)&amp;"cl_"&amp;BL3&amp;CHAR(34)&amp;",","")</f>
        <v>"cl_BLU",</v>
      </c>
      <c r="GU3" s="48" t="str">
        <f>IF(BM3&lt;&gt;"",CHAR(34)&amp;"cl_"&amp;BM3&amp;CHAR(34)&amp;",","")</f>
        <v>"cl_WHI",</v>
      </c>
      <c r="GV3" s="48" t="str">
        <f>IF(BN3&lt;&gt;"",CHAR(34)&amp;"cl_"&amp;BN3&amp;CHAR(34)&amp;",","")</f>
        <v>"cl_YEL",</v>
      </c>
      <c r="GW3" s="48" t="str">
        <f>IF(BO3&lt;&gt;"",CHAR(34)&amp;"cl_"&amp;BO3&amp;CHAR(34)&amp;",","")</f>
        <v>"cl_PUR",</v>
      </c>
      <c r="GX3" s="48" t="str">
        <f>IF(BP3&lt;&gt;"",CHAR(34)&amp;"cl_"&amp;BP3&amp;CHAR(34)&amp;",","")</f>
        <v>"cl_BLA",</v>
      </c>
      <c r="GY3" s="48" t="str">
        <f>IF(BQ3&lt;&gt;"",CHAR(34)&amp;"cl_"&amp;BQ3&amp;CHAR(34)&amp;",","")</f>
        <v/>
      </c>
      <c r="GZ3" s="48" t="str">
        <f>IF(BR3&lt;&gt;"",CHAR(34)&amp;"cl_"&amp;BR3&amp;CHAR(34)&amp;",","")</f>
        <v/>
      </c>
      <c r="HA3" s="48" t="str">
        <f>IF(BS3&lt;&gt;"",CHAR(34)&amp;"cl_"&amp;BS3&amp;CHAR(34)&amp;",","")</f>
        <v/>
      </c>
      <c r="HB3" s="48" t="str">
        <f>IF(BT3&lt;&gt;"",CHAR(34)&amp;"cl_"&amp;BT3&amp;CHAR(34)&amp;",","")</f>
        <v/>
      </c>
      <c r="HC3" s="48" t="str">
        <f>SUBSTITUTE("["&amp;_xlfn.CONCAT(GT3:HB3)&amp;"]",",]","]")</f>
        <v>["cl_BLU","cl_WHI","cl_YEL","cl_PUR","cl_BLA"]</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{couname:"[UGA] Buganda",year:"???",region:"rgn_Africa",Colors:["cl_BLU","cl_WHI","cl_YEL","cl_PUR","cl_BLA"],Items:["5+Colo","lets07","startB","allver","3Bands","Vertic","Animal","Weapon","Center","NO_RED","NO_GRE","001BLU","002WHI","003BLU","myrBLU","NoStar"],Flag:"https://upload.wikimedia.org/wikipedia/commons/thumb/a/a0/Flag_of_Buganda.svg/640px-Flag_of_Buganda.svg.png",HDFlag:"https://upload.wikimedia.org/wikipedia/commons/thumb/a/a0/Flag_of_Buganda.svg/2560px-Flag_of_Buganda.svg.png",type:"Kingdom", describe: "\nBuganda is a Bantu kingdom within Uganda. The kingdom of the Baganda people, Buganda is the largest of the traditional kingdoms in present-day East Africa, consisting of Uganda's Central Region, including the Ugandan capital Kampala.", isnew:".", links: "https://en.wikipedia.org/wiki/Buganda"},</v>
      </c>
      <c r="HG3" s="73" t="str">
        <f>"{couname:"&amp;CT3&amp;(IF(HK3&lt;&gt;"",",subtype:"&amp;CHAR(34)&amp;HK3&amp;CHAR(34),""))&amp;",year:"&amp;HJ3&amp;",region:"&amp;CU3&amp;",Colors:"&amp;HC3&amp;",Items:"&amp;GS3&amp;",Flag:"&amp;CV3&amp;",HDFlag:"&amp;CHAR(34)&amp;E3&amp;CHAR(34)&amp;",type:"&amp;GP3&amp;", describe: "&amp;HI3&amp;", links: "&amp;HL3&amp;"},"</f>
        <v>{couname:"[UGA] Buganda",year:"???",region:"rgn_Africa",Colors:["cl_BLU","cl_WHI","cl_YEL","cl_PUR","cl_BLA"],Items:["5+Colo","lets07","startB","allver","3Bands","Vertic","Animal","Weapon","Center","NO_RED","NO_GRE","001BLU","002WHI","003BLU","myrBLU","NoStar"],Flag:"https://upload.wikimedia.org/wikipedia/commons/thumb/a/a0/Flag_of_Buganda.svg/640px-Flag_of_Buganda.svg.png",HDFlag:"https://upload.wikimedia.org/wikipedia/commons/thumb/a/a0/Flag_of_Buganda.svg/2560px-Flag_of_Buganda.svg.png",type:"Kingdom", describe: "\nBuganda is a Bantu kingdom within Uganda. The kingdom of the Baganda people, Buganda is the largest of the traditional kingdoms in present-day East Africa, consisting of Uganda's Central Region, including the Ugandan capital Kampala.", links: "https://en.wikipedia.org/wiki/Buganda"},</v>
      </c>
      <c r="HH3" s="48" t="str">
        <f>IF(P3&lt;&gt;"",CHAR(34)&amp;"\n"&amp;P3&amp;CHAR(34),CHAR(34)&amp;CHAR(34))</f>
        <v>"\nBuganda is a Bantu kingdom within Uganda. The kingdom of the Baganda people, Buganda is the largest of the traditional kingdoms in present-day East Africa, consisting of Uganda's Central Region, including the Ugandan capital Kampala."</v>
      </c>
      <c r="HI3" s="48" t="str">
        <f>IF(J3=0,CHAR(34)&amp;CHAR(34),HH3)</f>
        <v>"\nBuganda is a Bantu kingdom within Uganda. The kingdom of the Baganda people, Buganda is the largest of the traditional kingdoms in present-day East Africa, consisting of Uganda's Central Region, including the Ugandan capital Kampala."</v>
      </c>
      <c r="HJ3" s="48" t="str">
        <f>CHAR(34)&amp;O3&amp;CHAR(34)</f>
        <v>"???"</v>
      </c>
      <c r="HL3" s="48" t="str">
        <f>CHAR(34)&amp;I3&amp;CHAR(34)</f>
        <v>"https://en.wikipedia.org/wiki/Buganda"</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{"couname":"[UGA] Buganda","year":"???","region":"rgn_Africa","Colors":["cl_BLU","cl_WHI","cl_YEL","cl_PUR","cl_BLA"],"Items":["5+Colo","lets07","startB","allver","3Bands","Vertic","Animal","Weapon","Center","NO_RED","NO_GRE","001BLU","002WHI","003BLU","myrBLU","NoStar"],"Flag":"https://upload.wikimedia.org/wikipedia/commons/thumb/a/a0/Flag_of_Buganda.svg/640px-Flag_of_Buganda.svg.png","HDFlag":"https://upload.wikimedia.org/wikipedia/commons/thumb/a/a0/Flag_of_Buganda.svg/2560px-Flag_of_Buganda.svg.png","type":"Kingdom", "describe": "\nBuganda is a Bantu kingdom within Uganda. The kingdom of the Baganda people, Buganda is the largest of the traditional kingdoms in present-day East Africa, consisting of Uganda's Central Region, including the Ugandan capital Kampala.", "isnew": ".", "links": "https://en.wikipedia.org/wiki/Buganda"},</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{"couname":"[UGA] Buganda","year":"???","region":"rgn_Africa","Colors":["cl_BLU","cl_WHI","cl_YEL","cl_PUR","cl_BLA"],"Items":["5+Colo","lets07","startB","allver","3Bands","Vertic","Animal","Weapon","Center","NO_RED","NO_GRE","001BLU","002WHI","003BLU","myrBLU","NoStar"],"Flag":"https://upload.wikimedia.org/wikipedia/commons/thumb/a/a0/Flag_of_Buganda.svg/640px-Flag_of_Buganda.svg.png","HDFlag":"https://upload.wikimedia.org/wikipedia/commons/thumb/a/a0/Flag_of_Buganda.svg/2560px-Flag_of_Buganda.svg.png","type":"Kingdom", "describe": "\nBuganda is a Bantu kingdom within Uganda. The kingdom of the Baganda people, Buganda is the largest of the traditional kingdoms in present-day East Africa, consisting of Uganda's Central Region, including the Ugandan capital Kampala.", "isnew": ".", "links": "https://en.wikipedia.org/wiki/Buganda"},</v>
      </c>
      <c r="HO3" s="75">
        <v>45644</v>
      </c>
      <c r="HP3" s="48" t="str" cm="1">
        <f t="array" ref="HP3">IF(_xlfn.TEXTJOIN(", ", TRUE, IF(ISNUMBER(SEARCH("BLA", BL3:BT3)), COLUMN(BL3:BT3) - COLUMN(BL3) + 1, ""))&lt;&gt;"","BLA","")</f>
        <v>BLA</v>
      </c>
      <c r="HQ3" s="48" t="str" cm="1">
        <f t="array" ref="HQ3">IF(_xlfn.TEXTJOIN(", ", TRUE, IF(ISNUMBER(SEARCH("BLU", BL3:BT3)), COLUMN(BL3:BT3) - COLUMN(BL3) + 1, ""))&lt;&gt;"","BLU","")</f>
        <v>BLU</v>
      </c>
      <c r="HR3" s="48" t="str" cm="1">
        <f t="array" ref="HR3">IF(_xlfn.TEXTJOIN(", ", TRUE, IF(ISNUMBER(SEARCH("GRE", BL3:BT3)), COLUMN(BL3:BT3) - COLUMN(BL3) + 1, ""))&lt;&gt;"","GRE","")</f>
        <v/>
      </c>
      <c r="HS3" s="48" t="str" cm="1">
        <f t="array" ref="HS3">IF(_xlfn.TEXTJOIN(", ", TRUE, IF(ISNUMBER(SEARCH("RED", BL3:BT3)), COLUMN(BL3:BT3) - COLUMN(BL3) + 1, ""))&lt;&gt;"","RED","")</f>
        <v/>
      </c>
      <c r="HT3" s="48" t="str" cm="1">
        <f t="array" ref="HT3">IF(_xlfn.TEXTJOIN(", ", TRUE, IF(ISNUMBER(SEARCH("YEL", BL3:BT3)), COLUMN(BL3:BT3) - COLUMN(BL3) + 1, ""))&lt;&gt;"","YEL","")</f>
        <v>YEL</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PUR</v>
      </c>
      <c r="HX3" s="48" t="str" cm="1">
        <f t="array" ref="HX3">IF(_xlfn.TEXTJOIN(", ", TRUE, IF(ISNUMBER(SEARCH("WHI", BL3:BT3)), COLUMN(BL3:BT3) - COLUMN(BL3) + 1, ""))&lt;&gt;"","WHI","")</f>
        <v>WHI</v>
      </c>
      <c r="HY3" s="76"/>
      <c r="HZ3" s="76"/>
      <c r="IA3" s="6"/>
      <c r="IB3" s="6"/>
      <c r="IC3" s="77"/>
      <c r="ID3" s="77"/>
      <c r="IE3" s="77"/>
      <c r="IF3" s="77"/>
      <c r="IG3" s="77"/>
      <c r="IH3" s="77"/>
      <c r="II3" s="77"/>
      <c r="IJ3" s="77"/>
      <c r="IK3" s="77"/>
      <c r="IM3" s="45">
        <f>COUNTIF(IC3:IK3,"&gt;0")-CG3</f>
        <v>-5</v>
      </c>
      <c r="IN3" s="78" t="str">
        <f>"http://mkweb.bcgsc.ca/color-summarizer/?url="&amp;D3&amp;"&amp;precision=low&amp;num_clusters="&amp;CG3&amp;"&amp;text=1"</f>
        <v>http://mkweb.bcgsc.ca/color-summarizer/?url=https://upload.wikimedia.org/wikipedia/commons/thumb/a/a0/Flag_of_Buganda.svg/640px-Flag_of_Buganda.svg.png&amp;precision=low&amp;num_clusters=5&amp;text=1</v>
      </c>
      <c r="IO3" s="48" t="str">
        <f>IF(HP3&lt;&gt;"",CHAR(34)&amp;"black"&amp;CHAR(34),"")</f>
        <v>"black"</v>
      </c>
      <c r="IP3" s="48" t="str">
        <f>IF(HQ3&lt;&gt;"",CHAR(34)&amp;"blue"&amp;CHAR(34),"")</f>
        <v>"blue"</v>
      </c>
      <c r="IQ3" s="48" t="str">
        <f>IF(HR3&lt;&gt;"",CHAR(34)&amp;"green"&amp;CHAR(34),"")</f>
        <v/>
      </c>
      <c r="IR3" s="48" t="str">
        <f>IF(HS3&lt;&gt;"",CHAR(34)&amp;"red"&amp;CHAR(34),"")</f>
        <v/>
      </c>
      <c r="IS3" s="48" t="str">
        <f>IF(HT3&lt;&gt;"",CHAR(34)&amp;"yellow"&amp;CHAR(34),"")</f>
        <v>"yellow"</v>
      </c>
      <c r="IT3" s="48" t="str">
        <f>IF(HU3&lt;&gt;"",CHAR(34)&amp;"orange"&amp;CHAR(34),"")</f>
        <v/>
      </c>
      <c r="IU3" s="48" t="str">
        <f>IF(HV3&lt;&gt;"",CHAR(34)&amp;"brown"&amp;CHAR(34),"")</f>
        <v/>
      </c>
      <c r="IV3" s="48" t="str">
        <f>IF(HW3&lt;&gt;"",CHAR(34)&amp;"purple"&amp;CHAR(34),"")</f>
        <v>"purple"</v>
      </c>
      <c r="IW3" s="48" t="str">
        <f>IF(HX3&lt;&gt;"",CHAR(34)&amp;"white"&amp;CHAR(34),"")</f>
        <v>"white"</v>
      </c>
      <c r="IX3" s="48" t="str">
        <f>"{"&amp;CHAR(34)&amp;"url"&amp;CHAR(34)&amp;":"&amp;CHAR(34)&amp;IN3&amp;CHAR(34)&amp;","&amp;CHAR(34)&amp;"name"&amp;CHAR(34)&amp;":"&amp;CHAR(34)&amp;A3&amp;CHAR(34)&amp;"},"</f>
        <v>{"url":"http://mkweb.bcgsc.ca/color-summarizer/?url=https://upload.wikimedia.org/wikipedia/commons/thumb/a/a0/Flag_of_Buganda.svg/640px-Flag_of_Buganda.svg.png&amp;precision=low&amp;num_clusters=5&amp;text=1","name":"[UGA] Buganda"},</v>
      </c>
      <c r="IY3" s="48">
        <v>1503</v>
      </c>
    </row>
    <row r="4" spans="1:259" ht="38.4" customHeight="1" x14ac:dyDescent="0.3">
      <c r="D4" s="81"/>
      <c r="E4" s="81"/>
      <c r="F4" s="81"/>
    </row>
    <row r="5" spans="1:259" ht="38.4" customHeight="1" x14ac:dyDescent="0.3">
      <c r="D5" s="81"/>
      <c r="E5" s="81"/>
      <c r="F5" s="81"/>
    </row>
    <row r="6" spans="1:259" ht="38.4" customHeight="1" x14ac:dyDescent="0.3">
      <c r="D6" s="81"/>
      <c r="E6" s="81"/>
      <c r="F6" s="81"/>
    </row>
    <row r="7" spans="1:259" ht="38.4" customHeight="1" x14ac:dyDescent="0.3">
      <c r="D7" s="81"/>
      <c r="E7" s="81"/>
      <c r="F7" s="81"/>
    </row>
  </sheetData>
  <autoFilter ref="A1:IY1" xr:uid="{A1051193-A95B-4CFB-A73C-F0184620C81F}">
    <sortState xmlns:xlrd2="http://schemas.microsoft.com/office/spreadsheetml/2017/richdata2" ref="A2:IY5">
      <sortCondition ref="AW1"/>
    </sortState>
  </autoFilter>
  <conditionalFormatting sqref="H1 CW1:GS1 IA1:IB1">
    <cfRule type="cellIs" dxfId="292" priority="248" operator="greaterThan">
      <formula>0</formula>
    </cfRule>
  </conditionalFormatting>
  <conditionalFormatting sqref="H1 H8:H1048576">
    <cfRule type="cellIs" dxfId="291" priority="214" stopIfTrue="1" operator="notEqual">
      <formula>""</formula>
    </cfRule>
  </conditionalFormatting>
  <conditionalFormatting sqref="T1:BK1">
    <cfRule type="cellIs" dxfId="290" priority="251" operator="greaterThan">
      <formula>0</formula>
    </cfRule>
  </conditionalFormatting>
  <conditionalFormatting sqref="BV1:BW1 BV4:BW1048576">
    <cfRule type="cellIs" dxfId="289" priority="250" operator="equal">
      <formula>"nc"</formula>
    </cfRule>
  </conditionalFormatting>
  <conditionalFormatting sqref="HF1:HG1">
    <cfRule type="cellIs" dxfId="288" priority="252" operator="greaterThan">
      <formula>0</formula>
    </cfRule>
  </conditionalFormatting>
  <conditionalFormatting sqref="HK1">
    <cfRule type="cellIs" dxfId="287" priority="249" operator="greaterThan">
      <formula>0</formula>
    </cfRule>
  </conditionalFormatting>
  <conditionalFormatting sqref="HP1:HX1">
    <cfRule type="cellIs" dxfId="286" priority="226" operator="equal">
      <formula>"PIN"</formula>
    </cfRule>
    <cfRule type="cellIs" dxfId="285" priority="227" operator="equal">
      <formula>"ORA"</formula>
    </cfRule>
    <cfRule type="cellIs" dxfId="284" priority="228" operator="equal">
      <formula>"GRA"</formula>
    </cfRule>
    <cfRule type="cellIs" dxfId="283" priority="229" operator="equal">
      <formula>"PUR"</formula>
    </cfRule>
    <cfRule type="cellIs" dxfId="282" priority="230" operator="equal">
      <formula>"BRO"</formula>
    </cfRule>
    <cfRule type="cellIs" dxfId="281" priority="231" operator="equal">
      <formula>"YEL"</formula>
    </cfRule>
    <cfRule type="cellIs" dxfId="280" priority="232" operator="equal">
      <formula>"BLU"</formula>
    </cfRule>
    <cfRule type="cellIs" dxfId="279" priority="233" operator="equal">
      <formula>"WHI"</formula>
    </cfRule>
    <cfRule type="cellIs" dxfId="278" priority="234" operator="equal">
      <formula>"GRE"</formula>
    </cfRule>
    <cfRule type="cellIs" dxfId="277" priority="235" operator="equal">
      <formula>"RED"</formula>
    </cfRule>
    <cfRule type="cellIs" dxfId="276" priority="236" operator="equal">
      <formula>"BLA"</formula>
    </cfRule>
  </conditionalFormatting>
  <conditionalFormatting sqref="IC1:IK1">
    <cfRule type="cellIs" dxfId="275" priority="237" operator="equal">
      <formula>"PIN"</formula>
    </cfRule>
    <cfRule type="cellIs" dxfId="274" priority="238" operator="equal">
      <formula>"ORA"</formula>
    </cfRule>
    <cfRule type="cellIs" dxfId="273" priority="239" operator="equal">
      <formula>"GRA"</formula>
    </cfRule>
    <cfRule type="cellIs" dxfId="272" priority="240" operator="equal">
      <formula>"PUR"</formula>
    </cfRule>
    <cfRule type="cellIs" dxfId="271" priority="241" operator="equal">
      <formula>"BRO"</formula>
    </cfRule>
    <cfRule type="cellIs" dxfId="270" priority="242" operator="equal">
      <formula>"YEL"</formula>
    </cfRule>
    <cfRule type="cellIs" dxfId="269" priority="243" operator="equal">
      <formula>"BLU"</formula>
    </cfRule>
    <cfRule type="cellIs" dxfId="268" priority="244" operator="equal">
      <formula>"WHI"</formula>
    </cfRule>
    <cfRule type="cellIs" dxfId="267" priority="245" operator="equal">
      <formula>"GRE"</formula>
    </cfRule>
    <cfRule type="cellIs" dxfId="266" priority="246" operator="equal">
      <formula>"RED"</formula>
    </cfRule>
    <cfRule type="cellIs" dxfId="265" priority="247" operator="equal">
      <formula>"BLA"</formula>
    </cfRule>
  </conditionalFormatting>
  <conditionalFormatting sqref="IO1:IW1">
    <cfRule type="cellIs" dxfId="264" priority="215" operator="equal">
      <formula>"PIN"</formula>
    </cfRule>
    <cfRule type="cellIs" dxfId="263" priority="216" operator="equal">
      <formula>"ORA"</formula>
    </cfRule>
    <cfRule type="cellIs" dxfId="262" priority="217" operator="equal">
      <formula>"GRA"</formula>
    </cfRule>
    <cfRule type="cellIs" dxfId="261" priority="218" operator="equal">
      <formula>"PUR"</formula>
    </cfRule>
    <cfRule type="cellIs" dxfId="260" priority="219" operator="equal">
      <formula>"BRO"</formula>
    </cfRule>
    <cfRule type="cellIs" dxfId="259" priority="220" operator="equal">
      <formula>"YEL"</formula>
    </cfRule>
    <cfRule type="cellIs" dxfId="258" priority="221" operator="equal">
      <formula>"BLU"</formula>
    </cfRule>
    <cfRule type="cellIs" dxfId="257" priority="222" operator="equal">
      <formula>"WHI"</formula>
    </cfRule>
    <cfRule type="cellIs" dxfId="256" priority="223" operator="equal">
      <formula>"GRE"</formula>
    </cfRule>
    <cfRule type="cellIs" dxfId="255" priority="224" operator="equal">
      <formula>"RED"</formula>
    </cfRule>
    <cfRule type="cellIs" dxfId="254" priority="225" operator="equal">
      <formula>"BLA"</formula>
    </cfRule>
  </conditionalFormatting>
  <conditionalFormatting sqref="H3">
    <cfRule type="cellIs" dxfId="253" priority="78" stopIfTrue="1" operator="notEqual">
      <formula>""</formula>
    </cfRule>
  </conditionalFormatting>
  <conditionalFormatting sqref="BV3">
    <cfRule type="cellIs" dxfId="252" priority="79" operator="equal">
      <formula>"nc"</formula>
    </cfRule>
  </conditionalFormatting>
  <conditionalFormatting sqref="R3 CU3">
    <cfRule type="cellIs" dxfId="251" priority="77" operator="greaterThan">
      <formula>0</formula>
    </cfRule>
  </conditionalFormatting>
  <conditionalFormatting sqref="T3:AS3 CH3:CS3">
    <cfRule type="cellIs" dxfId="250" priority="73" stopIfTrue="1" operator="equal">
      <formula>"n"</formula>
    </cfRule>
    <cfRule type="cellIs" dxfId="249" priority="74" stopIfTrue="1" operator="equal">
      <formula>"y"</formula>
    </cfRule>
    <cfRule type="cellIs" dxfId="248" priority="75" operator="greaterThan">
      <formula>0</formula>
    </cfRule>
  </conditionalFormatting>
  <conditionalFormatting sqref="AZ3:BB3">
    <cfRule type="expression" dxfId="247" priority="60">
      <formula>$AT3=0</formula>
    </cfRule>
  </conditionalFormatting>
  <conditionalFormatting sqref="BX3:CA3 CD3:CF3 AZ3:BU3">
    <cfRule type="cellIs" dxfId="246" priority="61" operator="equal">
      <formula>"PIN"</formula>
    </cfRule>
    <cfRule type="cellIs" dxfId="245" priority="62" operator="equal">
      <formula>"ORA"</formula>
    </cfRule>
    <cfRule type="cellIs" dxfId="244" priority="63" operator="equal">
      <formula>"GRA"</formula>
    </cfRule>
    <cfRule type="cellIs" dxfId="243" priority="64" operator="equal">
      <formula>"PUR"</formula>
    </cfRule>
    <cfRule type="cellIs" dxfId="242" priority="65" operator="equal">
      <formula>"BRO"</formula>
    </cfRule>
    <cfRule type="cellIs" dxfId="241" priority="66" operator="equal">
      <formula>"YEL"</formula>
    </cfRule>
    <cfRule type="cellIs" dxfId="240" priority="67" operator="equal">
      <formula>"BLU"</formula>
    </cfRule>
    <cfRule type="cellIs" dxfId="239" priority="68" operator="equal">
      <formula>"WHI"</formula>
    </cfRule>
    <cfRule type="cellIs" dxfId="238" priority="69" operator="equal">
      <formula>"GRE"</formula>
    </cfRule>
    <cfRule type="cellIs" dxfId="237" priority="70" operator="equal">
      <formula>"RED"</formula>
    </cfRule>
    <cfRule type="cellIs" dxfId="236" priority="71" operator="equal">
      <formula>"BLA"</formula>
    </cfRule>
  </conditionalFormatting>
  <conditionalFormatting sqref="BX3:CA3 CD3:CF3">
    <cfRule type="cellIs" dxfId="235" priority="76" operator="equal">
      <formula>"y"</formula>
    </cfRule>
  </conditionalFormatting>
  <conditionalFormatting sqref="BZ3:CA3 CD3:CF3">
    <cfRule type="cellIs" dxfId="234" priority="72" operator="greaterThan">
      <formula>0</formula>
    </cfRule>
  </conditionalFormatting>
  <conditionalFormatting sqref="IC3">
    <cfRule type="cellIs" dxfId="233" priority="53" stopIfTrue="1" operator="greaterThan">
      <formula>0</formula>
    </cfRule>
  </conditionalFormatting>
  <conditionalFormatting sqref="ID3">
    <cfRule type="cellIs" dxfId="232" priority="51" stopIfTrue="1" operator="greaterThan">
      <formula>0</formula>
    </cfRule>
  </conditionalFormatting>
  <conditionalFormatting sqref="II3 IE3:IF3">
    <cfRule type="cellIs" dxfId="231" priority="58" operator="greaterThan">
      <formula>0</formula>
    </cfRule>
  </conditionalFormatting>
  <conditionalFormatting sqref="II3 IF3">
    <cfRule type="cellIs" dxfId="230" priority="52" stopIfTrue="1" operator="greaterThan">
      <formula>0</formula>
    </cfRule>
  </conditionalFormatting>
  <conditionalFormatting sqref="IG3">
    <cfRule type="cellIs" dxfId="229" priority="57" operator="greaterThan">
      <formula>0</formula>
    </cfRule>
  </conditionalFormatting>
  <conditionalFormatting sqref="IH3:II3">
    <cfRule type="cellIs" dxfId="228" priority="56" operator="greaterThan">
      <formula>0</formula>
    </cfRule>
  </conditionalFormatting>
  <conditionalFormatting sqref="IJ3">
    <cfRule type="cellIs" dxfId="227" priority="55" operator="greaterThan">
      <formula>0</formula>
    </cfRule>
  </conditionalFormatting>
  <conditionalFormatting sqref="IK3">
    <cfRule type="cellIs" dxfId="226" priority="54" operator="greaterThan">
      <formula>0</formula>
    </cfRule>
  </conditionalFormatting>
  <conditionalFormatting sqref="IF3">
    <cfRule type="cellIs" dxfId="225" priority="50" stopIfTrue="1" operator="greaterThan">
      <formula>0</formula>
    </cfRule>
  </conditionalFormatting>
  <conditionalFormatting sqref="IC3:IK3">
    <cfRule type="expression" dxfId="224" priority="59">
      <formula>$IL3&gt;0</formula>
    </cfRule>
  </conditionalFormatting>
  <conditionalFormatting sqref="IM3">
    <cfRule type="cellIs" dxfId="223" priority="49" operator="equal">
      <formula>0</formula>
    </cfRule>
  </conditionalFormatting>
  <conditionalFormatting sqref="BX3:CA3 CD3:CF3">
    <cfRule type="cellIs" dxfId="222" priority="37" operator="equal">
      <formula>"y"</formula>
    </cfRule>
    <cfRule type="cellIs" dxfId="221" priority="38" operator="equal">
      <formula>"PIN"</formula>
    </cfRule>
    <cfRule type="cellIs" dxfId="220" priority="39" operator="equal">
      <formula>"ORA"</formula>
    </cfRule>
    <cfRule type="cellIs" dxfId="219" priority="40" operator="equal">
      <formula>"GRA"</formula>
    </cfRule>
    <cfRule type="cellIs" dxfId="218" priority="41" operator="equal">
      <formula>"PUR"</formula>
    </cfRule>
    <cfRule type="cellIs" dxfId="217" priority="42" operator="equal">
      <formula>"BRO"</formula>
    </cfRule>
    <cfRule type="cellIs" dxfId="216" priority="43" operator="equal">
      <formula>"YEL"</formula>
    </cfRule>
    <cfRule type="cellIs" dxfId="215" priority="44" operator="equal">
      <formula>"BLU"</formula>
    </cfRule>
    <cfRule type="cellIs" dxfId="214" priority="45" operator="equal">
      <formula>"WHI"</formula>
    </cfRule>
    <cfRule type="cellIs" dxfId="213" priority="46" operator="equal">
      <formula>"GRE"</formula>
    </cfRule>
    <cfRule type="cellIs" dxfId="212" priority="47" operator="equal">
      <formula>"RED"</formula>
    </cfRule>
    <cfRule type="cellIs" dxfId="211" priority="48" operator="equal">
      <formula>"BLA"</formula>
    </cfRule>
  </conditionalFormatting>
  <conditionalFormatting sqref="AT3">
    <cfRule type="colorScale" priority="80">
      <colorScale>
        <cfvo type="min"/>
        <cfvo type="max"/>
        <color rgb="FFFCFCFF"/>
        <color theme="8" tint="0.39997558519241921"/>
      </colorScale>
    </cfRule>
  </conditionalFormatting>
  <conditionalFormatting sqref="S3">
    <cfRule type="colorScale" priority="81">
      <colorScale>
        <cfvo type="min"/>
        <cfvo type="max"/>
        <color rgb="FFFCFCFF"/>
        <color rgb="FF754BFB"/>
      </colorScale>
    </cfRule>
  </conditionalFormatting>
  <conditionalFormatting sqref="J3">
    <cfRule type="colorScale" priority="82">
      <colorScale>
        <cfvo type="min"/>
        <cfvo type="percentile" val="50"/>
        <cfvo type="max"/>
        <color rgb="FFF8696B"/>
        <color rgb="FFFFEB84"/>
        <color rgb="FF63BE7B"/>
      </colorScale>
    </cfRule>
  </conditionalFormatting>
  <conditionalFormatting sqref="CG3">
    <cfRule type="colorScale" priority="83">
      <colorScale>
        <cfvo type="min"/>
        <cfvo type="max"/>
        <color rgb="FFFCFCFF"/>
        <color rgb="FF63BE7B"/>
      </colorScale>
    </cfRule>
  </conditionalFormatting>
  <conditionalFormatting sqref="H2">
    <cfRule type="cellIs" dxfId="210" priority="31" stopIfTrue="1" operator="notEqual">
      <formula>""</formula>
    </cfRule>
  </conditionalFormatting>
  <conditionalFormatting sqref="AZ2:BU2">
    <cfRule type="cellIs" dxfId="209" priority="19" operator="equal">
      <formula>"PIN"</formula>
    </cfRule>
    <cfRule type="cellIs" dxfId="208" priority="20" operator="equal">
      <formula>"ORA"</formula>
    </cfRule>
    <cfRule type="cellIs" dxfId="207" priority="21" operator="equal">
      <formula>"GRA"</formula>
    </cfRule>
    <cfRule type="cellIs" dxfId="206" priority="22" operator="equal">
      <formula>"PUR"</formula>
    </cfRule>
    <cfRule type="cellIs" dxfId="205" priority="23" operator="equal">
      <formula>"BRO"</formula>
    </cfRule>
    <cfRule type="cellIs" dxfId="204" priority="24" operator="equal">
      <formula>"YEL"</formula>
    </cfRule>
    <cfRule type="cellIs" dxfId="203" priority="25" operator="equal">
      <formula>"BLU"</formula>
    </cfRule>
    <cfRule type="cellIs" dxfId="202" priority="26" operator="equal">
      <formula>"WHI"</formula>
    </cfRule>
    <cfRule type="cellIs" dxfId="201" priority="27" operator="equal">
      <formula>"GRE"</formula>
    </cfRule>
    <cfRule type="cellIs" dxfId="200" priority="28" operator="equal">
      <formula>"RED"</formula>
    </cfRule>
    <cfRule type="cellIs" dxfId="199" priority="29" operator="equal">
      <formula>"BLA"</formula>
    </cfRule>
  </conditionalFormatting>
  <conditionalFormatting sqref="BV2">
    <cfRule type="cellIs" dxfId="198" priority="32" operator="equal">
      <formula>"nc"</formula>
    </cfRule>
  </conditionalFormatting>
  <conditionalFormatting sqref="BZ2:CA2 CD2:CF2">
    <cfRule type="cellIs" dxfId="197" priority="30" operator="greaterThan">
      <formula>0</formula>
    </cfRule>
  </conditionalFormatting>
  <conditionalFormatting sqref="R2 CU2">
    <cfRule type="cellIs" dxfId="196" priority="18" operator="greaterThan">
      <formula>0</formula>
    </cfRule>
  </conditionalFormatting>
  <conditionalFormatting sqref="T2:AS2 CH2:CS2">
    <cfRule type="cellIs" dxfId="195" priority="2" stopIfTrue="1" operator="equal">
      <formula>"n"</formula>
    </cfRule>
    <cfRule type="cellIs" dxfId="194" priority="3" stopIfTrue="1" operator="equal">
      <formula>"y"</formula>
    </cfRule>
    <cfRule type="cellIs" dxfId="193" priority="4" operator="greaterThan">
      <formula>0</formula>
    </cfRule>
  </conditionalFormatting>
  <conditionalFormatting sqref="AZ2:BB2">
    <cfRule type="expression" dxfId="192" priority="1">
      <formula>$AT2=0</formula>
    </cfRule>
  </conditionalFormatting>
  <conditionalFormatting sqref="BX2:CA2 CD2:CF2">
    <cfRule type="cellIs" dxfId="191" priority="5" operator="equal">
      <formula>"y"</formula>
    </cfRule>
    <cfRule type="cellIs" dxfId="190" priority="7" operator="equal">
      <formula>"PIN"</formula>
    </cfRule>
    <cfRule type="cellIs" dxfId="189" priority="8" operator="equal">
      <formula>"ORA"</formula>
    </cfRule>
    <cfRule type="cellIs" dxfId="188" priority="9" operator="equal">
      <formula>"GRA"</formula>
    </cfRule>
    <cfRule type="cellIs" dxfId="187" priority="10" operator="equal">
      <formula>"PUR"</formula>
    </cfRule>
    <cfRule type="cellIs" dxfId="186" priority="11" operator="equal">
      <formula>"BRO"</formula>
    </cfRule>
    <cfRule type="cellIs" dxfId="185" priority="12" operator="equal">
      <formula>"YEL"</formula>
    </cfRule>
    <cfRule type="cellIs" dxfId="184" priority="13" operator="equal">
      <formula>"BLU"</formula>
    </cfRule>
    <cfRule type="cellIs" dxfId="183" priority="14" operator="equal">
      <formula>"WHI"</formula>
    </cfRule>
    <cfRule type="cellIs" dxfId="182" priority="15" operator="equal">
      <formula>"GRE"</formula>
    </cfRule>
    <cfRule type="cellIs" dxfId="181" priority="16" operator="equal">
      <formula>"RED"</formula>
    </cfRule>
    <cfRule type="cellIs" dxfId="180" priority="17" operator="equal">
      <formula>"BLA"</formula>
    </cfRule>
  </conditionalFormatting>
  <conditionalFormatting sqref="IC2:IK2">
    <cfRule type="expression" dxfId="179" priority="6">
      <formula>$IL2&gt;0</formula>
    </cfRule>
  </conditionalFormatting>
  <conditionalFormatting sqref="J2">
    <cfRule type="colorScale" priority="33">
      <colorScale>
        <cfvo type="min"/>
        <cfvo type="percentile" val="50"/>
        <cfvo type="max"/>
        <color rgb="FFF8696B"/>
        <color rgb="FFFFEB84"/>
        <color rgb="FF63BE7B"/>
      </colorScale>
    </cfRule>
  </conditionalFormatting>
  <conditionalFormatting sqref="S2">
    <cfRule type="colorScale" priority="34">
      <colorScale>
        <cfvo type="min"/>
        <cfvo type="max"/>
        <color rgb="FFFCFCFF"/>
        <color rgb="FF754BFB"/>
      </colorScale>
    </cfRule>
  </conditionalFormatting>
  <conditionalFormatting sqref="AT2">
    <cfRule type="colorScale" priority="35">
      <colorScale>
        <cfvo type="min"/>
        <cfvo type="max"/>
        <color rgb="FFFCFCFF"/>
        <color theme="8" tint="0.39997558519241921"/>
      </colorScale>
    </cfRule>
  </conditionalFormatting>
  <conditionalFormatting sqref="CG2">
    <cfRule type="colorScale" priority="36">
      <colorScale>
        <cfvo type="min"/>
        <cfvo type="max"/>
        <color rgb="FFFCFCFF"/>
        <color rgb="FF63BE7B"/>
      </colorScale>
    </cfRule>
  </conditionalFormatting>
  <hyperlinks>
    <hyperlink ref="A2" r:id="rId1" display="https://fbref.com/en/country/UGA/Uganda-Football" xr:uid="{9BF13685-8CCD-4361-AA46-1DB69B713FBA}"/>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49" r:id="rId5"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2050" r:id="rId6"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2051" r:id="rId7"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9E5A5-59DD-455A-8FCB-88F146DBEEB2}">
  <sheetPr codeName="Sheet17"/>
  <dimension ref="A1:IY9"/>
  <sheetViews>
    <sheetView tabSelected="1" zoomScale="70" zoomScaleNormal="70" workbookViewId="0">
      <pane xSplit="5" ySplit="1" topLeftCell="F2" activePane="bottomRight" state="frozen"/>
      <selection pane="topRight" activeCell="F1" sqref="F1"/>
      <selection pane="bottomLeft" activeCell="A2" sqref="A2"/>
      <selection pane="bottomRight" activeCell="M3" sqref="M3"/>
    </sheetView>
  </sheetViews>
  <sheetFormatPr defaultRowHeight="38.4" customHeight="1" x14ac:dyDescent="0.3"/>
  <cols>
    <col min="1" max="1" width="52.44140625" style="81" bestFit="1" customWidth="1"/>
    <col min="2" max="2" width="10.109375" style="81" customWidth="1"/>
    <col min="3" max="3" width="7.44140625" style="82" customWidth="1"/>
    <col min="4" max="4" width="4.77734375" style="83" customWidth="1"/>
    <col min="5" max="5" width="4.5546875" style="83" customWidth="1"/>
    <col min="6" max="6" width="5.77734375" style="83" customWidth="1"/>
    <col min="7" max="7" width="7.44140625" style="81" customWidth="1"/>
    <col min="8" max="8" width="11.44140625" style="81" customWidth="1"/>
    <col min="9" max="9" width="10" style="81" customWidth="1"/>
    <col min="10" max="10" width="4.21875" style="81" customWidth="1"/>
    <col min="11" max="11" width="5.6640625" style="83" customWidth="1"/>
    <col min="12" max="12" width="2.88671875" style="83" customWidth="1"/>
    <col min="13" max="13" width="6.44140625" style="83" customWidth="1"/>
    <col min="14" max="14" width="4.5546875" style="83" customWidth="1"/>
    <col min="15" max="15" width="10.5546875" style="84" customWidth="1"/>
    <col min="16" max="16" width="6.88671875" style="83" customWidth="1"/>
    <col min="17" max="17" width="4.77734375" style="83" customWidth="1"/>
    <col min="18" max="18" width="13.109375" style="82" customWidth="1"/>
    <col min="19" max="19" width="6.77734375" style="82" customWidth="1"/>
    <col min="20" max="46" width="8.44140625" style="81" customWidth="1"/>
    <col min="47" max="47" width="24.5546875" style="81" customWidth="1"/>
    <col min="48" max="51" width="16.6640625" style="81" customWidth="1"/>
    <col min="52" max="52" width="6.5546875" style="81" customWidth="1"/>
    <col min="53" max="54" width="5.88671875" style="81" customWidth="1"/>
    <col min="55" max="55" width="1.33203125" style="81" customWidth="1"/>
    <col min="56" max="56" width="7.44140625" style="81" customWidth="1"/>
    <col min="57" max="57" width="2.33203125" style="81" customWidth="1"/>
    <col min="58" max="62" width="6.109375" style="81" customWidth="1"/>
    <col min="63" max="63" width="2.33203125" style="81" customWidth="1"/>
    <col min="64" max="64" width="7" style="81" bestFit="1" customWidth="1"/>
    <col min="65" max="65" width="6.44140625" style="81" bestFit="1" customWidth="1"/>
    <col min="66" max="66" width="7.109375" style="81" bestFit="1" customWidth="1"/>
    <col min="67" max="71" width="6.44140625" style="81" bestFit="1" customWidth="1"/>
    <col min="72" max="73" width="6.44140625" style="81" customWidth="1"/>
    <col min="74" max="75" width="13.44140625" style="81" customWidth="1"/>
    <col min="76" max="84" width="14.6640625" style="81" customWidth="1"/>
    <col min="85" max="85" width="6.44140625" style="81" customWidth="1"/>
    <col min="86" max="87" width="11.6640625" style="81" bestFit="1" customWidth="1"/>
    <col min="88" max="88" width="11.6640625" style="81" customWidth="1"/>
    <col min="89" max="89" width="12.77734375" style="81" bestFit="1" customWidth="1"/>
    <col min="90" max="90" width="16.44140625" style="82" bestFit="1" customWidth="1"/>
    <col min="91" max="92" width="14.88671875" style="82" bestFit="1" customWidth="1"/>
    <col min="93" max="93" width="16" style="82" bestFit="1" customWidth="1"/>
    <col min="94" max="97" width="7.77734375" style="81" customWidth="1"/>
    <col min="98" max="98" width="33.21875" style="81" customWidth="1"/>
    <col min="99" max="99" width="18" style="81" customWidth="1"/>
    <col min="100" max="100" width="75.6640625" style="81" customWidth="1"/>
    <col min="101" max="125" width="33" style="81" customWidth="1"/>
    <col min="126" max="126" width="8.88671875" style="81"/>
    <col min="127" max="128" width="9.44140625" style="81" bestFit="1" customWidth="1"/>
    <col min="129" max="129" width="10.77734375" style="81" bestFit="1" customWidth="1"/>
    <col min="130" max="134" width="10.77734375" style="81" customWidth="1"/>
    <col min="135" max="135" width="10.109375" style="81" bestFit="1" customWidth="1"/>
    <col min="136" max="136" width="7.77734375" style="81" bestFit="1" customWidth="1"/>
    <col min="137" max="137" width="7.77734375" style="81" customWidth="1"/>
    <col min="138" max="138" width="9" style="81" bestFit="1" customWidth="1"/>
    <col min="139" max="139" width="11.33203125" style="81" bestFit="1" customWidth="1"/>
    <col min="140" max="140" width="9.109375" style="81" bestFit="1" customWidth="1"/>
    <col min="141" max="141" width="9" style="81" bestFit="1" customWidth="1"/>
    <col min="142" max="142" width="12" style="81" bestFit="1" customWidth="1"/>
    <col min="143" max="166" width="12" style="81" customWidth="1"/>
    <col min="167" max="167" width="17.21875" style="81" customWidth="1"/>
    <col min="168" max="191" width="12" style="81" customWidth="1"/>
    <col min="192" max="192" width="8.5546875" style="81" bestFit="1" customWidth="1"/>
    <col min="193" max="193" width="8.5546875" style="81" customWidth="1"/>
    <col min="194" max="194" width="7.109375" style="81" bestFit="1" customWidth="1"/>
    <col min="195" max="195" width="7.5546875" style="81" bestFit="1" customWidth="1"/>
    <col min="196" max="196" width="8.5546875" style="81" bestFit="1" customWidth="1"/>
    <col min="197" max="200" width="8.5546875" style="81" customWidth="1"/>
    <col min="201" max="201" width="188.88671875" style="81" customWidth="1"/>
    <col min="202" max="202" width="9.5546875" style="81" bestFit="1" customWidth="1"/>
    <col min="203" max="203" width="10.44140625" style="81" bestFit="1" customWidth="1"/>
    <col min="204" max="204" width="11.109375" style="81" bestFit="1" customWidth="1"/>
    <col min="205" max="205" width="10.44140625" style="81" bestFit="1" customWidth="1"/>
    <col min="206" max="210" width="10.44140625" style="81" customWidth="1"/>
    <col min="211" max="211" width="45.44140625" style="81" customWidth="1"/>
    <col min="212" max="212" width="47.5546875" style="81" bestFit="1" customWidth="1"/>
    <col min="213" max="213" width="9.33203125" style="85" customWidth="1"/>
    <col min="214" max="214" width="119.5546875" style="81" customWidth="1"/>
    <col min="215" max="215" width="69.6640625" style="81" customWidth="1"/>
    <col min="216" max="218" width="8.88671875" style="81"/>
    <col min="219" max="219" width="37.109375" style="81" customWidth="1"/>
    <col min="220" max="220" width="16.33203125" style="81" customWidth="1"/>
    <col min="221" max="222" width="8.88671875" style="81"/>
    <col min="223" max="223" width="10.109375" style="81" bestFit="1" customWidth="1"/>
    <col min="224" max="232" width="10.88671875" style="81" customWidth="1"/>
    <col min="233" max="234" width="30.77734375" style="81" customWidth="1"/>
    <col min="235" max="235" width="5.109375" style="81" customWidth="1"/>
    <col min="236" max="236" width="3" style="81" customWidth="1"/>
    <col min="237" max="245" width="6.77734375" style="86" customWidth="1"/>
    <col min="246" max="247" width="8.88671875" style="81"/>
    <col min="248" max="248" width="61.5546875" style="81" customWidth="1"/>
    <col min="249" max="253" width="8.88671875" style="81"/>
    <col min="254" max="254" width="9" style="81" customWidth="1"/>
    <col min="255" max="16384" width="8.88671875" style="8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189</v>
      </c>
      <c r="B2" s="40" t="e" vm="137">
        <v>#VALUE!</v>
      </c>
      <c r="C2" s="41">
        <v>1</v>
      </c>
      <c r="D2" s="42" t="s">
        <v>190</v>
      </c>
      <c r="E2" s="43" t="s">
        <v>191</v>
      </c>
      <c r="F2" s="44" t="s">
        <v>163</v>
      </c>
      <c r="G2" s="45">
        <f>COUNTIF($A$1:$A$8389,A2)</f>
        <v>1</v>
      </c>
      <c r="H2" s="46"/>
      <c r="I2" s="47" t="s">
        <v>192</v>
      </c>
      <c r="J2" s="48" t="str">
        <f>""</f>
        <v/>
      </c>
      <c r="K2" s="49">
        <v>16665000</v>
      </c>
      <c r="L2" s="50">
        <v>1600000</v>
      </c>
      <c r="M2" s="50" t="s">
        <v>1120</v>
      </c>
      <c r="N2" s="51" t="s">
        <v>180</v>
      </c>
      <c r="O2" s="52" t="s">
        <v>193</v>
      </c>
      <c r="P2" s="53" t="s">
        <v>194</v>
      </c>
      <c r="Q2" s="54">
        <v>1</v>
      </c>
      <c r="R2" s="55" t="s">
        <v>180</v>
      </c>
      <c r="S2" s="56">
        <v>7</v>
      </c>
      <c r="T2" s="57" t="s">
        <v>167</v>
      </c>
      <c r="U2" s="58" t="s">
        <v>164</v>
      </c>
      <c r="V2" s="58" t="s">
        <v>167</v>
      </c>
      <c r="W2" s="58" t="s">
        <v>164</v>
      </c>
      <c r="X2" s="58" t="s">
        <v>164</v>
      </c>
      <c r="Y2" s="58" t="s">
        <v>167</v>
      </c>
      <c r="Z2" s="58" t="s">
        <v>164</v>
      </c>
      <c r="AA2" s="58" t="s">
        <v>164</v>
      </c>
      <c r="AB2" s="58" t="s">
        <v>164</v>
      </c>
      <c r="AC2" s="58" t="s">
        <v>164</v>
      </c>
      <c r="AD2" s="58" t="s">
        <v>164</v>
      </c>
      <c r="AE2" s="58" t="s">
        <v>164</v>
      </c>
      <c r="AF2" s="59" t="s">
        <v>167</v>
      </c>
      <c r="AG2" s="59" t="s">
        <v>164</v>
      </c>
      <c r="AH2" s="59" t="s">
        <v>164</v>
      </c>
      <c r="AI2" s="59" t="s">
        <v>164</v>
      </c>
      <c r="AJ2" s="59" t="s">
        <v>164</v>
      </c>
      <c r="AK2" s="59" t="s">
        <v>164</v>
      </c>
      <c r="AL2" s="59" t="s">
        <v>164</v>
      </c>
      <c r="AM2" s="59" t="s">
        <v>164</v>
      </c>
      <c r="AN2" s="59" t="s">
        <v>164</v>
      </c>
      <c r="AO2" s="59" t="s">
        <v>164</v>
      </c>
      <c r="AP2" s="59" t="s">
        <v>164</v>
      </c>
      <c r="AQ2" s="59" t="s">
        <v>164</v>
      </c>
      <c r="AR2" s="59" t="s">
        <v>164</v>
      </c>
      <c r="AS2" s="59" t="s">
        <v>164</v>
      </c>
      <c r="AT2" s="60">
        <v>1</v>
      </c>
      <c r="AU2" s="59"/>
      <c r="AV2" s="59" t="str">
        <f>IF(LEFT(A2,1)="[",LEFT(A2,5)&amp;AU2&amp;A2,"")</f>
        <v/>
      </c>
      <c r="AW2" s="59" t="str">
        <f>C2&amp;H2&amp;A2</f>
        <v>1Zimbabwe</v>
      </c>
      <c r="AX2" s="61" t="str">
        <f>_xlfn.TEXTJOIN(";",TRUE,AU2:AW2)</f>
        <v>1Zimbabwe</v>
      </c>
      <c r="AY2" s="61"/>
      <c r="AZ2" s="62" t="s">
        <v>154</v>
      </c>
      <c r="BA2" s="62"/>
      <c r="BB2" s="62"/>
      <c r="BC2" s="63"/>
      <c r="BD2" s="64" t="s">
        <v>155</v>
      </c>
      <c r="BE2" s="47"/>
      <c r="BF2" s="64" t="s">
        <v>153</v>
      </c>
      <c r="BG2" s="64" t="s">
        <v>151</v>
      </c>
      <c r="BH2" s="64" t="s">
        <v>153</v>
      </c>
      <c r="BI2" s="64" t="s">
        <v>154</v>
      </c>
      <c r="BJ2" s="64" t="s">
        <v>155</v>
      </c>
      <c r="BK2" s="47"/>
      <c r="BL2" s="64" t="s">
        <v>153</v>
      </c>
      <c r="BM2" s="64" t="s">
        <v>155</v>
      </c>
      <c r="BN2" s="64" t="s">
        <v>154</v>
      </c>
      <c r="BO2" s="64" t="s">
        <v>151</v>
      </c>
      <c r="BP2" s="64" t="s">
        <v>159</v>
      </c>
      <c r="BQ2" s="64"/>
      <c r="BR2" s="64"/>
      <c r="BS2" s="64"/>
      <c r="BT2" s="64"/>
      <c r="BU2" s="65"/>
      <c r="BV2" s="66" t="s">
        <v>167</v>
      </c>
      <c r="BW2" s="66" t="s">
        <v>166</v>
      </c>
      <c r="BX2" s="47"/>
      <c r="BY2" s="48" t="s">
        <v>164</v>
      </c>
      <c r="BZ2" s="48" t="s">
        <v>167</v>
      </c>
      <c r="CB2" s="6" t="s">
        <v>195</v>
      </c>
      <c r="CC2" s="6"/>
      <c r="CD2" s="67">
        <v>0</v>
      </c>
      <c r="CE2" s="67">
        <v>0</v>
      </c>
      <c r="CF2" s="67" t="e">
        <v>#REF!</v>
      </c>
      <c r="CG2" s="68" cm="1">
        <f t="array" ref="CG2">SUMPRODUCT(--(LEN(TRIM(BL2:BT2))&gt;0))</f>
        <v>5</v>
      </c>
      <c r="CH2" s="59" t="str">
        <f>IF(CG2=2,"y","n")</f>
        <v>n</v>
      </c>
      <c r="CI2" s="59" t="str">
        <f>IF(CG2=3,"y","n")</f>
        <v>n</v>
      </c>
      <c r="CJ2" s="59" t="str">
        <f>IF(CG2=4,"y","n")</f>
        <v>n</v>
      </c>
      <c r="CK2" s="59" t="str">
        <f>IF(CG2&gt;4,"y","n")</f>
        <v>y</v>
      </c>
      <c r="CL2" s="59" t="str">
        <f>IF(S2=0,"y","n")</f>
        <v>n</v>
      </c>
      <c r="CM2" s="59" t="str">
        <f>IF(S2=2,"y","n")</f>
        <v>n</v>
      </c>
      <c r="CN2" s="59" t="str">
        <f>IF(S2=3,"y","n")</f>
        <v>n</v>
      </c>
      <c r="CO2" s="59" t="str">
        <f>IF(S2&gt;=4,"y","n")</f>
        <v>y</v>
      </c>
      <c r="CP2" s="59" t="str">
        <f>IF(AT2=0,"y","n")</f>
        <v>n</v>
      </c>
      <c r="CQ2" s="59" t="str">
        <f>IF(AT2=1,"y","n")</f>
        <v>y</v>
      </c>
      <c r="CR2" s="59" t="str">
        <f>IF(AT2=2,"y","n")</f>
        <v>n</v>
      </c>
      <c r="CS2" s="59" t="str">
        <f>IF(AT2&gt;=3,"y","n")</f>
        <v>n</v>
      </c>
      <c r="CT2" s="69" t="str">
        <f>CHAR(34)&amp;A2&amp;CHAR(34)</f>
        <v>"Zimbabwe"</v>
      </c>
      <c r="CU2" s="70" t="str">
        <f>CHAR(34)&amp;"rgn_"&amp;R2&amp;CHAR(34)</f>
        <v>"rgn_Africa"</v>
      </c>
      <c r="CV2" s="48" t="str">
        <f>CHAR(34)&amp;D2&amp;CHAR(34)</f>
        <v>"https://i.ibb.co/fpkxVZq/Zimbabwe-Flag.png"</v>
      </c>
      <c r="CW2" s="48" t="str">
        <f>IF(CH2="y",CHAR(34)&amp;CH$1&amp;CHAR(34)&amp;",","")</f>
        <v/>
      </c>
      <c r="CX2" s="48" t="str">
        <f>IF(CI2="y",CHAR(34)&amp;CI$1&amp;CHAR(34)&amp;",","")</f>
        <v/>
      </c>
      <c r="CY2" s="48" t="str">
        <f>IF(CJ2="y",CHAR(34)&amp;CJ$1&amp;CHAR(34)&amp;",","")</f>
        <v/>
      </c>
      <c r="CZ2" s="48" t="str">
        <f>IF(CK2="y",CHAR(34)&amp;CK$1&amp;CHAR(34)&amp;",","")</f>
        <v>"5+Colo",</v>
      </c>
      <c r="DA2" s="48" t="str">
        <f>IF(Q2&gt;1,CHAR(34)&amp;"words2"&amp;CHAR(34)&amp;",","")</f>
        <v/>
      </c>
      <c r="DB2" s="48" t="str">
        <f>IF(Q2&gt;2,CHAR(34)&amp;"words3"&amp;CHAR(34)&amp;",","")</f>
        <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"lets08",</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"startZ",</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"with_w",</v>
      </c>
      <c r="DJ2" s="48" t="str">
        <f>IFERROR(IF(SEARCH("y",A2)&gt;0,CHAR(34)&amp;"with_y"&amp;CHAR(34)&amp;",",""),"")</f>
        <v/>
      </c>
      <c r="DK2" s="48" t="str">
        <f>IFERROR(IF(SEARCH("z",A2)&gt;0,CHAR(34)&amp;"with_z"&amp;CHAR(34)&amp;",",""),"")</f>
        <v>"with_z",</v>
      </c>
      <c r="DL2" s="48" t="str">
        <f>IF(CG2=2, CHAR(34) &amp; _xlfn.TEXTJOIN("", TRUE, _xlfn._xlws.SORT(HP2:HX2)) &amp; CHAR(34) &amp; ",", "")</f>
        <v/>
      </c>
      <c r="DM2" s="48" t="str" cm="1">
        <f t="array" ref="DM2">IF(CG2=3,CHAR(34) &amp; _xlfn.TEXTJOIN("", TRUE, RIGHT(HP2:HX2, 2)) &amp; CHAR(34) &amp; ",", "")</f>
        <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
      </c>
      <c r="DS2" s="6" t="str">
        <f>IF(W2="y",IF(AND(V2="n",BY2&lt;&gt;"y"),CHAR(34)&amp;"allver"&amp;CHAR(34)&amp;",",""),"")</f>
        <v/>
      </c>
      <c r="DT2" s="6" t="str">
        <f>IF(V2="y",IF(AND(W2="n",BY2&lt;&gt;"y"),CHAR(34)&amp;"allhor"&amp;CHAR(34)&amp;",",""),"")</f>
        <v>"allhor",</v>
      </c>
      <c r="DU2" s="6" t="str">
        <f>IF(BY2="y",IF(AND(W2="n",V2="n"),CHAR(34)&amp;"alldia"&amp;CHAR(34)&amp;",",""),"")</f>
        <v/>
      </c>
      <c r="DV2" s="48" t="str">
        <f>IF(IA2&lt;&gt;"",(IF(IA2="y",CHAR(34)&amp;"largec"&amp;CHAR(34)&amp;",",CHAR(34)&amp;"smallc"&amp;CHAR(34)&amp;",")),"")</f>
        <v/>
      </c>
      <c r="DW2" s="48" t="str">
        <f>IF(CL2="y",CHAR(34)&amp;CL$1&amp;CHAR(34)&amp;",","")</f>
        <v/>
      </c>
      <c r="DX2" s="48" t="str">
        <f>IF(CM2="y",CHAR(34)&amp;CM$1&amp;CHAR(34)&amp;",","")</f>
        <v/>
      </c>
      <c r="DY2" s="48" t="str">
        <f>IF(CN2="y",CHAR(34)&amp;CN$1&amp;CHAR(34)&amp;",","")</f>
        <v/>
      </c>
      <c r="DZ2" s="48" t="str">
        <f>IF(CO2="y",CHAR(34)&amp;CO$1&amp;CHAR(34)&amp;",","")</f>
        <v>"4+Band",</v>
      </c>
      <c r="EA2" s="48" t="str">
        <f>IF(T2="y",CHAR(34)&amp;T$1&amp;CHAR(34)&amp;",","")</f>
        <v>"Diagon",</v>
      </c>
      <c r="EB2" s="48" t="str">
        <f>IF(U2="y",CHAR(34)&amp;U$1&amp;CHAR(34)&amp;",","")</f>
        <v/>
      </c>
      <c r="EC2" s="48" t="str">
        <f>IF(V2="y",CHAR(34)&amp;V$1&amp;CHAR(34)&amp;",","")</f>
        <v>"Horizo",</v>
      </c>
      <c r="ED2" s="48" t="str">
        <f>IF(W2="y",CHAR(34)&amp;W$1&amp;CHAR(34)&amp;",","")</f>
        <v/>
      </c>
      <c r="EE2" s="48" t="str">
        <f>IF(X2="y",CHAR(34)&amp;X$1&amp;CHAR(34)&amp;",","")</f>
        <v/>
      </c>
      <c r="EF2" s="48" t="str">
        <f>IF(AND(Y2&lt;&gt;"n",Y2&lt;&gt;""),CHAR(34)&amp;Y$1&amp;CHAR(34)&amp;",","")</f>
        <v>"Animal",</v>
      </c>
      <c r="EG2" s="48" t="str">
        <f>IF(Z2="y",CHAR(34)&amp;Z$1&amp;CHAR(34)&amp;",","")</f>
        <v/>
      </c>
      <c r="EH2" s="48" t="str">
        <f>IF(AA2="y",CHAR(34)&amp;AA$1&amp;CHAR(34)&amp;",","")</f>
        <v/>
      </c>
      <c r="EI2" s="48" t="str">
        <f>IF(AB2="y",CHAR(34)&amp;AB$1&amp;CHAR(34)&amp;",","")</f>
        <v/>
      </c>
      <c r="EJ2" s="48" t="str">
        <f>IF(AC2="y",CHAR(34)&amp;AC$1&amp;CHAR(34)&amp;",","")</f>
        <v/>
      </c>
      <c r="EK2" s="48" t="str">
        <f>IF(AD2="y",CHAR(34)&amp;AD$1&amp;CHAR(34)&amp;",","")</f>
        <v/>
      </c>
      <c r="EL2" s="48" t="str">
        <f>IF(AE2="y",CHAR(34)&amp;AE$1&amp;CHAR(34)&amp;",","")</f>
        <v/>
      </c>
      <c r="EM2" s="48" t="str">
        <f>IF(AF2="y",CHAR(34)&amp;AF$1&amp;CHAR(34)&amp;",","")</f>
        <v>"Trside",</v>
      </c>
      <c r="EN2" s="48" t="str">
        <f>IF(AG2="y",CHAR(34)&amp;AG$1&amp;CHAR(34)&amp;",","")</f>
        <v/>
      </c>
      <c r="EO2" s="48" t="str">
        <f>IF(AH2="y",CHAR(34)&amp;AH$1&amp;CHAR(34)&amp;",","")</f>
        <v/>
      </c>
      <c r="EP2" s="48" t="str">
        <f>IF(AI2="y",CHAR(34)&amp;AI$1&amp;CHAR(34)&amp;",","")</f>
        <v/>
      </c>
      <c r="EQ2" s="48" t="str">
        <f>IF(AJ2="y",CHAR(34)&amp;AJ$1&amp;CHAR(34)&amp;",","")</f>
        <v/>
      </c>
      <c r="ER2" s="48" t="str">
        <f>IF(AK2="y",CHAR(34)&amp;AK$1&amp;CHAR(34)&amp;",","")</f>
        <v/>
      </c>
      <c r="ES2" s="48" t="str">
        <f>IF(AL2="y",CHAR(34)&amp;AL$1&amp;CHAR(34)&amp;",","")</f>
        <v/>
      </c>
      <c r="ET2" s="48" t="str">
        <f>IF(AM2="y",CHAR(34)&amp;AM$1&amp;CHAR(34)&amp;",","")</f>
        <v/>
      </c>
      <c r="EU2" s="48" t="str">
        <f>IF(AN2="y",CHAR(34)&amp;AN$1&amp;CHAR(34)&amp;",","")</f>
        <v/>
      </c>
      <c r="EV2" s="48" t="str">
        <f>IF(AO2="y",CHAR(34)&amp;AO$1&amp;CHAR(34)&amp;",","")</f>
        <v/>
      </c>
      <c r="EW2" s="48" t="str">
        <f>IF(AP2="y",CHAR(34)&amp;AP$1&amp;CHAR(34)&amp;",","")</f>
        <v/>
      </c>
      <c r="EX2" s="48" t="str">
        <f>IF(AQ2="y",CHAR(34)&amp;AQ$1&amp;CHAR(34)&amp;",","")</f>
        <v/>
      </c>
      <c r="EY2" s="48" t="str">
        <f>IF(AR2="y",CHAR(34)&amp;AR$1&amp;CHAR(34)&amp;",","")</f>
        <v/>
      </c>
      <c r="EZ2" s="48" t="str">
        <f>IF(AS2="y",CHAR(34)&amp;AS$1&amp;CHAR(34)&amp;",","")</f>
        <v/>
      </c>
      <c r="FA2" s="48" t="str">
        <f>IF(AT2&gt;0,CHAR(34)&amp;"sta"&amp;AZ2&amp;CHAR(34)&amp;",","")</f>
        <v>"staRED",</v>
      </c>
      <c r="FB2" s="48" t="str">
        <f>IF(AND(AT2&gt;0,BA2&lt;&gt;""),CHAR(34)&amp;"sta"&amp;BA2&amp;CHAR(34)&amp;",","")</f>
        <v/>
      </c>
      <c r="FC2" s="48" t="str">
        <f>IF(AND(AT2&gt;0,BB2&lt;&gt;""),CHAR(34)&amp;"sta"&amp;BB2&amp;CHAR(34)&amp;",","")</f>
        <v/>
      </c>
      <c r="FD2" s="48" t="str">
        <f>IF(BV2="n",CHAR(34)&amp;"tcWHYE"&amp;CHAR(34)&amp;",",IF(BV2="y",CHAR(34)&amp;FD$1&amp;CHAR(34)&amp;",",""))</f>
        <v>"ntWHYE",</v>
      </c>
      <c r="FE2" s="48" t="str">
        <f>IF(COUNTIF(BL2:BT2,"BLU")=0,CHAR(34)&amp;"NO_BLU"&amp;CHAR(34)&amp;",", "")</f>
        <v>"NO_BLU",</v>
      </c>
      <c r="FF2" s="48" t="str">
        <f>IF(COUNTIF(BL2:BT2,"WHI")=0,CHAR(34)&amp;"NO_WHI"&amp;CHAR(34)&amp;",", "")</f>
        <v/>
      </c>
      <c r="FG2" s="48" t="str">
        <f>IF(COUNTIF(BL2:BT2,"RED")=0,CHAR(34)&amp;"NO_RED"&amp;CHAR(34)&amp;",", "")</f>
        <v/>
      </c>
      <c r="FH2" s="48" t="str">
        <f>IF(COUNTIF(BL2:BS2,"GRE")=0,CHAR(34)&amp;"NO_GRE"&amp;CHAR(34)&amp;",", "")</f>
        <v/>
      </c>
      <c r="FI2" s="48" t="str">
        <f>IF(COUNTIF(BL2:BT2,"YEL")=0,CHAR(34)&amp;"NO_YEL"&amp;CHAR(34)&amp;",", "")</f>
        <v/>
      </c>
      <c r="FJ2" s="48" t="str">
        <f>IF(COUNTIF(BL2:BT2,"BLA")=0,CHAR(34)&amp;"NO_BLA"&amp;CHAR(34)&amp;",", "")</f>
        <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
      </c>
      <c r="FP2" s="48" t="str">
        <f>IF(AND(FF2&lt;&gt;"",FF2&lt;&gt;""),CHAR(34)&amp;"WHRENO"&amp;CHAR(34)&amp;",","")</f>
        <v/>
      </c>
      <c r="FQ2" s="48" t="str">
        <f>IF(LEN(BF2)=3,CHAR(34)&amp;"001"&amp;BF2&amp;CHAR(34)&amp;",","")</f>
        <v>"001GRE",</v>
      </c>
      <c r="FR2" s="48" t="str">
        <f>IF(LEN(BG2)=3,CHAR(34)&amp;"002"&amp;BG2&amp;CHAR(34)&amp;",","")</f>
        <v>"002BLA",</v>
      </c>
      <c r="FS2" s="48" t="str">
        <f>IF(LEN(BH2)=3,CHAR(34)&amp;"003"&amp;BH2&amp;CHAR(34)&amp;",","")</f>
        <v>"003GRE",</v>
      </c>
      <c r="FT2" s="48" t="str">
        <f>CHAR(34)&amp;"myr"&amp;BD2&amp;CHAR(34)&amp;","</f>
        <v>"myrYEL",</v>
      </c>
      <c r="FU2" s="48" t="str">
        <f>IF(AY2="y",CHAR(34)&amp;"island"&amp;CHAR(34)&amp;",","")</f>
        <v/>
      </c>
      <c r="FV2" s="48" t="str">
        <f>IF(BZ2="y",CHAR(34)&amp;"landlo"&amp;CHAR(34)&amp;",","")</f>
        <v>"landlo",</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"englis",</v>
      </c>
      <c r="GA2" s="48" t="str">
        <f>IFERROR(IF(SEARCH("French",CB2)&gt;0,CHAR(34)&amp;"french"&amp;CHAR(34)&amp;",",""),"")</f>
        <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
      </c>
      <c r="GK2" s="48" t="str">
        <f>IF(GJ2="",CHAR(34)&amp;"HasSta"&amp;CHAR(34)&amp;",","")</f>
        <v>"HasSta",</v>
      </c>
      <c r="GL2" s="48" t="str">
        <f>IF(CQ2="y",CHAR(34)&amp;CQ$1&amp;CHAR(34)&amp;",","")</f>
        <v>"1Stars",</v>
      </c>
      <c r="GM2" s="48" t="str">
        <f>IF(CR2="y",CHAR(34)&amp;CR$1&amp;CHAR(34)&amp;",","")</f>
        <v/>
      </c>
      <c r="GN2" s="48" t="str">
        <f>IF(CS2="y",CHAR(34)&amp;CS$1&amp;CHAR(34)&amp;",","")</f>
        <v/>
      </c>
      <c r="GP2" s="48" t="str">
        <f>CHAR(34)&amp;AU2&amp;CHAR(34)</f>
        <v>""</v>
      </c>
      <c r="GS2" s="48" t="str">
        <f>SUBSTITUTE("["&amp;_xlfn.CONCAT(CW2:GN2)&amp;"]",",]","]")</f>
        <v>["5+Colo","lets08","startZ","with_w","with_z","year19","allhor","4+Band","Diagon","Horizo","Animal","Trside","staRED","ntWHYE","NO_BLU","001GRE","002BLA","003GRE","myrYEL","landlo","englis","HasSta","1Stars"]</v>
      </c>
      <c r="GT2" s="48" t="str">
        <f>IF(BL2&lt;&gt;"",CHAR(34)&amp;"cl_"&amp;BL2&amp;CHAR(34)&amp;",","")</f>
        <v>"cl_GRE",</v>
      </c>
      <c r="GU2" s="48" t="str">
        <f>IF(BM2&lt;&gt;"",CHAR(34)&amp;"cl_"&amp;BM2&amp;CHAR(34)&amp;",","")</f>
        <v>"cl_YEL",</v>
      </c>
      <c r="GV2" s="48" t="str">
        <f>IF(BN2&lt;&gt;"",CHAR(34)&amp;"cl_"&amp;BN2&amp;CHAR(34)&amp;",","")</f>
        <v>"cl_RED",</v>
      </c>
      <c r="GW2" s="48" t="str">
        <f>IF(BO2&lt;&gt;"",CHAR(34)&amp;"cl_"&amp;BO2&amp;CHAR(34)&amp;",","")</f>
        <v>"cl_BLA",</v>
      </c>
      <c r="GX2" s="48" t="str">
        <f>IF(BP2&lt;&gt;"",CHAR(34)&amp;"cl_"&amp;BP2&amp;CHAR(34)&amp;",","")</f>
        <v>"cl_WHI",</v>
      </c>
      <c r="GY2" s="48" t="str">
        <f>IF(BQ2&lt;&gt;"",CHAR(34)&amp;"cl_"&amp;BQ2&amp;CHAR(34)&amp;",","")</f>
        <v/>
      </c>
      <c r="GZ2" s="48" t="str">
        <f>IF(BR2&lt;&gt;"",CHAR(34)&amp;"cl_"&amp;BR2&amp;CHAR(34)&amp;",","")</f>
        <v/>
      </c>
      <c r="HA2" s="48" t="str">
        <f>IF(BS2&lt;&gt;"",CHAR(34)&amp;"cl_"&amp;BS2&amp;CHAR(34)&amp;",","")</f>
        <v/>
      </c>
      <c r="HB2" s="48" t="str">
        <f>IF(BT2&lt;&gt;"",CHAR(34)&amp;"cl_"&amp;BT2&amp;CHAR(34)&amp;",","")</f>
        <v/>
      </c>
      <c r="HC2" s="48" t="str">
        <f>SUBSTITUTE("["&amp;_xlfn.CONCAT(GT2:HB2)&amp;"]",",]","]")</f>
        <v>["cl_GRE","cl_YEL","cl_RED","cl_BLA","cl_WHI"]</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{couname:"Zimbabwe",year:"1980 ",region:"rgn_Africa",Colors:["cl_GRE","cl_YEL","cl_RED","cl_BLA","cl_WHI"],Items:["5+Colo","lets08","startZ","with_w","with_z","year19","allhor","4+Band","Diagon","Horizo","Animal","Trside","staRED","ntWHYE","NO_BLU","001GRE","002BLA","003GRE","myrYEL","landlo","englis","HasSta","1Stars"],Flag:"https://i.ibb.co/fpkxVZq/Zimbabwe-Flag.png",HDFlag:"https://upload.wikimedia.org/wikipedia/commons/thumb/6/6a/Flag_of_Zimbabwe.svg/2560px-Flag_of_Zimbabwe.svg.png",type:"", describe: "\n • Green represents the agriculture and rural areas of Zimbabwe. \n • Yellow stands for the wealth of minerals in the country, predominantly gold. \n • The red symbolises the blood shed during the first and second Chimurenga (wars) in the struggle for independence. \n • The black indicates the heritage, race and ethnicity of the black majority.\n • The white triangle is a symbol for peace. \n • The golden bird, known as the Great Zimbabwe Bird (Hungwe) is the national symbol of Zimbabwe and is most likely a representation of the African fish eagle. It exemplifies the strong bond that ancestral humans had with animals, nature and spiritual guides and it is treated with a high level of importance and respect.\n • The red star represents the nation's aspirations,  taken to be socialism as promoted by the ruling Zimbabwe African National Union – Patriotic Front (ZANU-PF), and whose party flag was used as the basis for the flag of the nation.", isnew:".", links: "https://en.wikipedia.org/wiki/Flag_of_Zimbabwe"},</v>
      </c>
      <c r="HG2" s="73" t="str">
        <f>"{couname:"&amp;CT2&amp;(IF(HK2&lt;&gt;"",",subtype:"&amp;CHAR(34)&amp;HK2&amp;CHAR(34),""))&amp;",year:"&amp;HJ2&amp;",region:"&amp;CU2&amp;",Colors:"&amp;HC2&amp;",Items:"&amp;GS2&amp;",Flag:"&amp;CV2&amp;",HDFlag:"&amp;CHAR(34)&amp;E2&amp;CHAR(34)&amp;",type:"&amp;GP2&amp;", describe: "&amp;HI2&amp;", links: "&amp;HL2&amp;"},"</f>
        <v>{couname:"Zimbabwe",year:"1980 ",region:"rgn_Africa",Colors:["cl_GRE","cl_YEL","cl_RED","cl_BLA","cl_WHI"],Items:["5+Colo","lets08","startZ","with_w","with_z","year19","allhor","4+Band","Diagon","Horizo","Animal","Trside","staRED","ntWHYE","NO_BLU","001GRE","002BLA","003GRE","myrYEL","landlo","englis","HasSta","1Stars"],Flag:"https://i.ibb.co/fpkxVZq/Zimbabwe-Flag.png",HDFlag:"https://upload.wikimedia.org/wikipedia/commons/thumb/6/6a/Flag_of_Zimbabwe.svg/2560px-Flag_of_Zimbabwe.svg.png",type:"", describe: "\n • Green represents the agriculture and rural areas of Zimbabwe. \n • Yellow stands for the wealth of minerals in the country, predominantly gold. \n • The red symbolises the blood shed during the first and second Chimurenga (wars) in the struggle for independence. \n • The black indicates the heritage, race and ethnicity of the black majority.\n • The white triangle is a symbol for peace. \n • The golden bird, known as the Great Zimbabwe Bird (Hungwe) is the national symbol of Zimbabwe and is most likely a representation of the African fish eagle. It exemplifies the strong bond that ancestral humans had with animals, nature and spiritual guides and it is treated with a high level of importance and respect.\n • The red star represents the nation's aspirations,  taken to be socialism as promoted by the ruling Zimbabwe African National Union – Patriotic Front (ZANU-PF), and whose party flag was used as the basis for the flag of the nation.", links: "https://en.wikipedia.org/wiki/Flag_of_Zimbabwe"},</v>
      </c>
      <c r="HH2" s="48" t="str">
        <f>IF(P2&lt;&gt;"",CHAR(34)&amp;"\n"&amp;P2&amp;CHAR(34),CHAR(34)&amp;CHAR(34))</f>
        <v>"\n • Green represents the agriculture and rural areas of Zimbabwe. \n • Yellow stands for the wealth of minerals in the country, predominantly gold. \n • The red symbolises the blood shed during the first and second Chimurenga (wars) in the struggle for independence. \n • The black indicates the heritage, race and ethnicity of the black majority.\n • The white triangle is a symbol for peace. \n • The golden bird, known as the Great Zimbabwe Bird (Hungwe) is the national symbol of Zimbabwe and is most likely a representation of the African fish eagle. It exemplifies the strong bond that ancestral humans had with animals, nature and spiritual guides and it is treated with a high level of importance and respect.\n • The red star represents the nation's aspirations,  taken to be socialism as promoted by the ruling Zimbabwe African National Union – Patriotic Front (ZANU-PF), and whose party flag was used as the basis for the flag of the nation."</v>
      </c>
      <c r="HI2" s="48" t="str">
        <f>IF(J2=0,CHAR(34)&amp;CHAR(34),HH2)</f>
        <v>"\n • Green represents the agriculture and rural areas of Zimbabwe. \n • Yellow stands for the wealth of minerals in the country, predominantly gold. \n • The red symbolises the blood shed during the first and second Chimurenga (wars) in the struggle for independence. \n • The black indicates the heritage, race and ethnicity of the black majority.\n • The white triangle is a symbol for peace. \n • The golden bird, known as the Great Zimbabwe Bird (Hungwe) is the national symbol of Zimbabwe and is most likely a representation of the African fish eagle. It exemplifies the strong bond that ancestral humans had with animals, nature and spiritual guides and it is treated with a high level of importance and respect.\n • The red star represents the nation's aspirations,  taken to be socialism as promoted by the ruling Zimbabwe African National Union – Patriotic Front (ZANU-PF), and whose party flag was used as the basis for the flag of the nation."</v>
      </c>
      <c r="HJ2" s="48" t="str">
        <f>CHAR(34)&amp;O2&amp;CHAR(34)</f>
        <v>"1980 "</v>
      </c>
      <c r="HL2" s="48" t="str">
        <f>CHAR(34)&amp;I2&amp;CHAR(34)</f>
        <v>"https://en.wikipedia.org/wiki/Flag_of_Zimbabwe"</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{"couname":"Zimbabwe","year":"1980 ","region":"rgn_Africa","Colors":["cl_GRE","cl_YEL","cl_RED","cl_BLA","cl_WHI"],"Items":["5+Colo","lets08","startZ","with_w","with_z","year19","allhor","4+Band","Diagon","Horizo","Animal","Trside","staRED","ntWHYE","NO_BLU","001GRE","002BLA","003GRE","myrYEL","landlo","englis","HasSta","1Stars"],"Flag":"https://i.ibb.co/fpkxVZq/Zimbabwe-Flag.png","HDFlag":"https://upload.wikimedia.org/wikipedia/commons/thumb/6/6a/Flag_of_Zimbabwe.svg/2560px-Flag_of_Zimbabwe.svg.png","type":"", "describe": "\n • Green represents the agriculture and rural areas of Zimbabwe. \n • Yellow stands for the wealth of minerals in the country, predominantly gold. \n • The red symbolises the blood shed during the first and second Chimurenga (wars) in the struggle for independence. \n • The black indicates the heritage, race and ethnicity of the black majority.\n • The white triangle is a symbol for peace. \n • The golden bird, known as the Great Zimbabwe Bird (Hungwe) is the national symbol of Zimbabwe and is most likely a representation of the African fish eagle. It exemplifies the strong bond that ancestral humans had with animals, nature and spiritual guides and it is treated with a high level of importance and respect.\n • The red star represents the nation's aspirations,  taken to be socialism as promoted by the ruling Zimbabwe African National Union – Patriotic Front (ZANU-PF), and whose party flag was used as the basis for the flag of the nation.", "isnew": ".", "links": "https://en.wikipedia.org/wiki/Flag_of_Zimbabwe"},</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{"couname":"Zimbabwe","year":"1980 ","region":"rgn_Africa","Colors":["cl_GRE","cl_YEL","cl_RED","cl_BLA","cl_WHI"],"Items":["5+Colo","lets08","startZ","with_w","with_z","year19","allhor","4+Band","Diagon","Horizo","Animal","Trside","staRED","ntWHYE","NO_BLU","001GRE","002BLA","003GRE","myrYEL","landlo","englis","HasSta","1Stars"],"Flag":"https://i.ibb.co/fpkxVZq/Zimbabwe-Flag.png","HDFlag":"https://upload.wikimedia.org/wikipedia/commons/thumb/6/6a/Flag_of_Zimbabwe.svg/2560px-Flag_of_Zimbabwe.svg.png","type":"", "describe": "\n • Green represents the agriculture and rural areas of Zimbabwe. \n • Yellow stands for the wealth of minerals in the country, predominantly gold. \n • The red symbolises the blood shed during the first and second Chimurenga (wars) in the struggle for independence. \n • The black indicates the heritage, race and ethnicity of the black majority.\n • The white triangle is a symbol for peace. \n • The golden bird, known as the Great Zimbabwe Bird (Hungwe) is the national symbol of Zimbabwe and is most likely a representation of the African fish eagle. It exemplifies the strong bond that ancestral humans had with animals, nature and spiritual guides and it is treated with a high level of importance and respect.\n • The red star represents the nation's aspirations,  taken to be socialism as promoted by the ruling Zimbabwe African National Union – Patriotic Front (ZANU-PF), and whose party flag was used as the basis for the flag of the nation.", "isnew": ".", "links": "https://en.wikipedia.org/wiki/Flag_of_Zimbabwe"},</v>
      </c>
      <c r="HO2" s="75"/>
      <c r="HP2" s="48" t="str" cm="1">
        <f t="array" ref="HP2">IF(_xlfn.TEXTJOIN(", ", TRUE, IF(ISNUMBER(SEARCH("BLA", BL2:BT2)), COLUMN(BL2:BT2) - COLUMN(BL2) + 1, ""))&lt;&gt;"","BLA","")</f>
        <v>BLA</v>
      </c>
      <c r="HQ2" s="48" t="str" cm="1">
        <f t="array" ref="HQ2">IF(_xlfn.TEXTJOIN(", ", TRUE, IF(ISNUMBER(SEARCH("BLU", BL2:BT2)), COLUMN(BL2:BT2) - COLUMN(BL2) + 1, ""))&lt;&gt;"","BLU","")</f>
        <v/>
      </c>
      <c r="HR2" s="48" t="str" cm="1">
        <f t="array" ref="HR2">IF(_xlfn.TEXTJOIN(", ", TRUE, IF(ISNUMBER(SEARCH("GRE", BL2:BT2)), COLUMN(BL2:BT2) - COLUMN(BL2) + 1, ""))&lt;&gt;"","GRE","")</f>
        <v>GRE</v>
      </c>
      <c r="HS2" s="48" t="str" cm="1">
        <f t="array" ref="HS2">IF(_xlfn.TEXTJOIN(", ", TRUE, IF(ISNUMBER(SEARCH("RED", BL2:BT2)), COLUMN(BL2:BT2) - COLUMN(BL2) + 1, ""))&lt;&gt;"","RED","")</f>
        <v>RED</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c r="IB2" s="6"/>
      <c r="IC2" s="77"/>
      <c r="ID2" s="77"/>
      <c r="IE2" s="77"/>
      <c r="IF2" s="77"/>
      <c r="IG2" s="77"/>
      <c r="IH2" s="77"/>
      <c r="II2" s="77"/>
      <c r="IJ2" s="77"/>
      <c r="IK2" s="77"/>
      <c r="IL2" s="48">
        <f>SUM(IC2:IK2)</f>
        <v>0</v>
      </c>
      <c r="IM2" s="45">
        <f>COUNTIF(IC2:IK2,"&gt;0")-CG2</f>
        <v>-5</v>
      </c>
      <c r="IN2" s="78" t="str">
        <f>"http://mkweb.bcgsc.ca/color-summarizer/?url="&amp;D2&amp;"&amp;precision=low&amp;num_clusters="&amp;CG2&amp;"&amp;text=1"</f>
        <v>http://mkweb.bcgsc.ca/color-summarizer/?url=https://i.ibb.co/fpkxVZq/Zimbabwe-Flag.png&amp;precision=low&amp;num_clusters=5&amp;text=1</v>
      </c>
      <c r="IO2" s="48" t="str">
        <f>IF(HP2&lt;&gt;"",CHAR(34)&amp;"black"&amp;CHAR(34),"")</f>
        <v>"black"</v>
      </c>
      <c r="IP2" s="48" t="str">
        <f>IF(HQ2&lt;&gt;"",CHAR(34)&amp;"blue"&amp;CHAR(34),"")</f>
        <v/>
      </c>
      <c r="IQ2" s="48" t="str">
        <f>IF(HR2&lt;&gt;"",CHAR(34)&amp;"green"&amp;CHAR(34),"")</f>
        <v>"green"</v>
      </c>
      <c r="IR2" s="48" t="str">
        <f>IF(HS2&lt;&gt;"",CHAR(34)&amp;"red"&amp;CHAR(34),"")</f>
        <v>"red"</v>
      </c>
      <c r="IS2" s="48" t="str">
        <f>IF(HT2&lt;&gt;"",CHAR(34)&amp;"yellow"&amp;CHAR(34),"")</f>
        <v>"yellow"</v>
      </c>
      <c r="IT2" s="48" t="str">
        <f>IF(HU2&lt;&gt;"",CHAR(34)&amp;"orange"&amp;CHAR(34),"")</f>
        <v/>
      </c>
      <c r="IU2" s="48" t="str">
        <f>IF(HV2&lt;&gt;"",CHAR(34)&amp;"brown"&amp;CHAR(34),"")</f>
        <v/>
      </c>
      <c r="IV2" s="48" t="str">
        <f>IF(HW2&lt;&gt;"",CHAR(34)&amp;"purple"&amp;CHAR(34),"")</f>
        <v/>
      </c>
      <c r="IW2" s="48" t="str">
        <f>IF(HX2&lt;&gt;"",CHAR(34)&amp;"white"&amp;CHAR(34),"")</f>
        <v>"white"</v>
      </c>
      <c r="IX2" s="48" t="str">
        <f>"{"&amp;CHAR(34)&amp;"url"&amp;CHAR(34)&amp;":"&amp;CHAR(34)&amp;IN2&amp;CHAR(34)&amp;","&amp;CHAR(34)&amp;"name"&amp;CHAR(34)&amp;":"&amp;CHAR(34)&amp;A2&amp;CHAR(34)&amp;"},"</f>
        <v>{"url":"http://mkweb.bcgsc.ca/color-summarizer/?url=https://i.ibb.co/fpkxVZq/Zimbabwe-Flag.png&amp;precision=low&amp;num_clusters=5&amp;text=1","name":"Zimbabwe"},</v>
      </c>
      <c r="IY2" s="48">
        <v>243</v>
      </c>
    </row>
    <row r="3" spans="1:259" s="48" customFormat="1" ht="38.4" customHeight="1" thickBot="1" x14ac:dyDescent="0.35">
      <c r="A3" s="79" t="s">
        <v>251</v>
      </c>
      <c r="B3" s="40" t="e" vm="138">
        <v>#VALUE!</v>
      </c>
      <c r="C3" s="41">
        <v>2</v>
      </c>
      <c r="D3" s="42" t="s">
        <v>252</v>
      </c>
      <c r="E3" s="43" t="s">
        <v>253</v>
      </c>
      <c r="F3" s="44" t="s">
        <v>163</v>
      </c>
      <c r="G3" s="45">
        <v>1</v>
      </c>
      <c r="H3" s="46"/>
      <c r="I3" s="47" t="s">
        <v>254</v>
      </c>
      <c r="J3" s="48" t="s">
        <v>172</v>
      </c>
      <c r="K3" s="49"/>
      <c r="L3" s="50"/>
      <c r="M3" s="50"/>
      <c r="N3" s="51" t="s">
        <v>180</v>
      </c>
      <c r="O3" s="52">
        <v>1897</v>
      </c>
      <c r="P3" s="53" t="s">
        <v>255</v>
      </c>
      <c r="Q3" s="54">
        <v>1</v>
      </c>
      <c r="R3" s="55" t="s">
        <v>180</v>
      </c>
      <c r="S3" s="56">
        <v>0</v>
      </c>
      <c r="T3" s="57" t="s">
        <v>164</v>
      </c>
      <c r="U3" s="58" t="s">
        <v>167</v>
      </c>
      <c r="V3" s="58" t="s">
        <v>164</v>
      </c>
      <c r="W3" s="58" t="s">
        <v>164</v>
      </c>
      <c r="X3" s="58" t="s">
        <v>164</v>
      </c>
      <c r="Y3" s="58" t="s">
        <v>167</v>
      </c>
      <c r="Z3" s="58" t="s">
        <v>164</v>
      </c>
      <c r="AA3" s="58" t="s">
        <v>167</v>
      </c>
      <c r="AB3" s="58" t="s">
        <v>167</v>
      </c>
      <c r="AC3" s="58" t="s">
        <v>164</v>
      </c>
      <c r="AD3" s="58" t="s">
        <v>164</v>
      </c>
      <c r="AE3" s="58" t="s">
        <v>164</v>
      </c>
      <c r="AF3" s="59" t="s">
        <v>164</v>
      </c>
      <c r="AG3" s="59" t="s">
        <v>167</v>
      </c>
      <c r="AH3" s="59" t="s">
        <v>167</v>
      </c>
      <c r="AI3" s="59" t="s">
        <v>164</v>
      </c>
      <c r="AJ3" s="59" t="s">
        <v>164</v>
      </c>
      <c r="AK3" s="59" t="s">
        <v>164</v>
      </c>
      <c r="AL3" s="59" t="s">
        <v>164</v>
      </c>
      <c r="AM3" s="59" t="s">
        <v>167</v>
      </c>
      <c r="AN3" s="59" t="s">
        <v>164</v>
      </c>
      <c r="AO3" s="59" t="s">
        <v>164</v>
      </c>
      <c r="AP3" s="59" t="s">
        <v>164</v>
      </c>
      <c r="AQ3" s="59" t="s">
        <v>164</v>
      </c>
      <c r="AR3" s="59" t="s">
        <v>164</v>
      </c>
      <c r="AS3" s="59" t="s">
        <v>164</v>
      </c>
      <c r="AT3" s="60">
        <v>0</v>
      </c>
      <c r="AU3" s="59" t="s">
        <v>256</v>
      </c>
      <c r="AV3" s="59" t="s">
        <v>257</v>
      </c>
      <c r="AW3" s="59" t="str">
        <f>C3&amp;H3&amp;A3</f>
        <v>2[ZWE] Bulawayo</v>
      </c>
      <c r="AX3" s="61"/>
      <c r="AY3" s="61"/>
      <c r="AZ3" s="62" t="s">
        <v>172</v>
      </c>
      <c r="BA3" s="62" t="s">
        <v>172</v>
      </c>
      <c r="BB3" s="62"/>
      <c r="BC3" s="63"/>
      <c r="BD3" s="64" t="s">
        <v>152</v>
      </c>
      <c r="BE3" s="47"/>
      <c r="BF3" s="64" t="s">
        <v>172</v>
      </c>
      <c r="BG3" s="64" t="s">
        <v>172</v>
      </c>
      <c r="BH3" s="64" t="s">
        <v>172</v>
      </c>
      <c r="BI3" s="64"/>
      <c r="BJ3" s="64"/>
      <c r="BK3" s="47"/>
      <c r="BL3" s="64" t="s">
        <v>151</v>
      </c>
      <c r="BM3" s="64" t="s">
        <v>152</v>
      </c>
      <c r="BN3" s="64" t="s">
        <v>153</v>
      </c>
      <c r="BO3" s="64" t="s">
        <v>154</v>
      </c>
      <c r="BP3" s="64" t="s">
        <v>155</v>
      </c>
      <c r="BQ3" s="64" t="s">
        <v>172</v>
      </c>
      <c r="BR3" s="64" t="s">
        <v>157</v>
      </c>
      <c r="BS3" s="64" t="s">
        <v>172</v>
      </c>
      <c r="BT3" s="64" t="s">
        <v>159</v>
      </c>
      <c r="BU3" s="65"/>
      <c r="BV3" s="66"/>
      <c r="BW3" s="66">
        <v>0</v>
      </c>
      <c r="BX3" s="47"/>
      <c r="CB3" s="6"/>
      <c r="CC3" s="6"/>
      <c r="CD3" s="67">
        <v>0</v>
      </c>
      <c r="CE3" s="67">
        <v>0</v>
      </c>
      <c r="CF3" s="67" t="e">
        <v>#REF!</v>
      </c>
      <c r="CG3" s="68">
        <v>7</v>
      </c>
      <c r="CH3" s="59" t="s">
        <v>164</v>
      </c>
      <c r="CI3" s="59" t="s">
        <v>164</v>
      </c>
      <c r="CJ3" s="59" t="s">
        <v>164</v>
      </c>
      <c r="CK3" s="59" t="s">
        <v>167</v>
      </c>
      <c r="CL3" s="59" t="s">
        <v>167</v>
      </c>
      <c r="CM3" s="59" t="s">
        <v>164</v>
      </c>
      <c r="CN3" s="59" t="s">
        <v>164</v>
      </c>
      <c r="CO3" s="59" t="s">
        <v>164</v>
      </c>
      <c r="CP3" s="59" t="s">
        <v>167</v>
      </c>
      <c r="CQ3" s="59" t="s">
        <v>164</v>
      </c>
      <c r="CR3" s="59" t="s">
        <v>164</v>
      </c>
      <c r="CS3" s="59" t="s">
        <v>164</v>
      </c>
      <c r="CT3" s="69" t="s">
        <v>258</v>
      </c>
      <c r="CU3" s="70" t="s">
        <v>202</v>
      </c>
      <c r="CV3" s="48" t="s">
        <v>259</v>
      </c>
      <c r="CW3" s="48" t="s">
        <v>172</v>
      </c>
      <c r="CX3" s="48" t="s">
        <v>172</v>
      </c>
      <c r="CY3" s="48" t="s">
        <v>172</v>
      </c>
      <c r="CZ3" s="48" t="s">
        <v>204</v>
      </c>
      <c r="DA3" s="48" t="s">
        <v>172</v>
      </c>
      <c r="DB3" s="48" t="s">
        <v>172</v>
      </c>
      <c r="DD3" s="48" t="s">
        <v>205</v>
      </c>
      <c r="DE3" s="48" t="s">
        <v>260</v>
      </c>
      <c r="DF3" s="48" t="s">
        <v>172</v>
      </c>
      <c r="DG3" s="48" t="s">
        <v>172</v>
      </c>
      <c r="DH3" s="48" t="s">
        <v>172</v>
      </c>
      <c r="DI3" s="48" t="s">
        <v>207</v>
      </c>
      <c r="DJ3" s="48" t="s">
        <v>261</v>
      </c>
      <c r="DK3" s="48" t="s">
        <v>208</v>
      </c>
      <c r="DL3" s="48" t="s">
        <v>172</v>
      </c>
      <c r="DM3" s="48" t="s">
        <v>172</v>
      </c>
      <c r="DN3" s="48" t="s">
        <v>262</v>
      </c>
      <c r="DO3" s="48" t="s">
        <v>172</v>
      </c>
      <c r="DP3" s="6" t="s">
        <v>172</v>
      </c>
      <c r="DQ3" s="6" t="s">
        <v>172</v>
      </c>
      <c r="DR3" s="6" t="s">
        <v>172</v>
      </c>
      <c r="DS3" s="6" t="s">
        <v>172</v>
      </c>
      <c r="DT3" s="6" t="s">
        <v>172</v>
      </c>
      <c r="DU3" s="6" t="s">
        <v>172</v>
      </c>
      <c r="DW3" s="48" t="s">
        <v>263</v>
      </c>
      <c r="DX3" s="48" t="s">
        <v>172</v>
      </c>
      <c r="DY3" s="48" t="s">
        <v>172</v>
      </c>
      <c r="DZ3" s="48" t="s">
        <v>172</v>
      </c>
      <c r="EA3" s="48" t="s">
        <v>172</v>
      </c>
      <c r="EB3" s="48" t="s">
        <v>264</v>
      </c>
      <c r="EC3" s="48" t="s">
        <v>172</v>
      </c>
      <c r="ED3" s="48" t="s">
        <v>172</v>
      </c>
      <c r="EE3" s="48" t="s">
        <v>172</v>
      </c>
      <c r="EF3" s="48" t="s">
        <v>213</v>
      </c>
      <c r="EG3" s="48" t="s">
        <v>172</v>
      </c>
      <c r="EH3" s="48" t="s">
        <v>214</v>
      </c>
      <c r="EI3" s="48" t="s">
        <v>215</v>
      </c>
      <c r="EJ3" s="48" t="s">
        <v>172</v>
      </c>
      <c r="EK3" s="48" t="s">
        <v>172</v>
      </c>
      <c r="EL3" s="48" t="s">
        <v>172</v>
      </c>
      <c r="EM3" s="48" t="s">
        <v>172</v>
      </c>
      <c r="EN3" s="48" t="s">
        <v>216</v>
      </c>
      <c r="EO3" s="48" t="s">
        <v>217</v>
      </c>
      <c r="EP3" s="48" t="s">
        <v>172</v>
      </c>
      <c r="EQ3" s="48" t="s">
        <v>172</v>
      </c>
      <c r="ER3" s="48" t="s">
        <v>172</v>
      </c>
      <c r="ES3" s="48" t="s">
        <v>172</v>
      </c>
      <c r="ET3" s="48" t="s">
        <v>218</v>
      </c>
      <c r="EU3" s="48" t="s">
        <v>172</v>
      </c>
      <c r="EV3" s="48" t="s">
        <v>172</v>
      </c>
      <c r="EW3" s="48" t="s">
        <v>172</v>
      </c>
      <c r="EX3" s="48" t="s">
        <v>172</v>
      </c>
      <c r="EY3" s="48" t="s">
        <v>172</v>
      </c>
      <c r="EZ3" s="48" t="s">
        <v>172</v>
      </c>
      <c r="FA3" s="48" t="s">
        <v>172</v>
      </c>
      <c r="FB3" s="48" t="s">
        <v>172</v>
      </c>
      <c r="FD3" s="48" t="s">
        <v>172</v>
      </c>
      <c r="FE3" s="48" t="s">
        <v>172</v>
      </c>
      <c r="FF3" s="48" t="s">
        <v>172</v>
      </c>
      <c r="FG3" s="48" t="s">
        <v>172</v>
      </c>
      <c r="FH3" s="48" t="s">
        <v>172</v>
      </c>
      <c r="FI3" s="48" t="s">
        <v>172</v>
      </c>
      <c r="FJ3" s="48" t="s">
        <v>172</v>
      </c>
      <c r="FK3" s="48" t="s">
        <v>172</v>
      </c>
      <c r="FL3" s="48" t="s">
        <v>172</v>
      </c>
      <c r="FM3" s="48" t="s">
        <v>172</v>
      </c>
      <c r="FN3" s="48" t="s">
        <v>172</v>
      </c>
      <c r="FO3" s="48" t="s">
        <v>172</v>
      </c>
      <c r="FP3" s="48" t="s">
        <v>172</v>
      </c>
      <c r="FQ3" s="48" t="s">
        <v>172</v>
      </c>
      <c r="FR3" s="48" t="s">
        <v>172</v>
      </c>
      <c r="FS3" s="48" t="s">
        <v>172</v>
      </c>
      <c r="FT3" s="48" t="s">
        <v>265</v>
      </c>
      <c r="FU3" s="48" t="s">
        <v>172</v>
      </c>
      <c r="FV3" s="48" t="s">
        <v>172</v>
      </c>
      <c r="FW3" s="48" t="s">
        <v>172</v>
      </c>
      <c r="FY3" s="48" t="s">
        <v>172</v>
      </c>
      <c r="FZ3" s="48" t="s">
        <v>172</v>
      </c>
      <c r="GA3" s="48" t="s">
        <v>172</v>
      </c>
      <c r="GB3" s="48" t="s">
        <v>172</v>
      </c>
      <c r="GE3" s="48" t="s">
        <v>172</v>
      </c>
      <c r="GF3" s="48" t="s">
        <v>172</v>
      </c>
      <c r="GG3" s="48" t="s">
        <v>172</v>
      </c>
      <c r="GH3" s="48" t="s">
        <v>172</v>
      </c>
      <c r="GI3" s="48" t="s">
        <v>172</v>
      </c>
      <c r="GJ3" s="48" t="s">
        <v>225</v>
      </c>
      <c r="GK3" s="48" t="s">
        <v>172</v>
      </c>
      <c r="GL3" s="48" t="s">
        <v>172</v>
      </c>
      <c r="GM3" s="48" t="s">
        <v>172</v>
      </c>
      <c r="GN3" s="48" t="s">
        <v>172</v>
      </c>
      <c r="GP3" s="48" t="s">
        <v>266</v>
      </c>
      <c r="GS3" s="48" t="s">
        <v>267</v>
      </c>
      <c r="GT3" s="48" t="s">
        <v>228</v>
      </c>
      <c r="GU3" s="48" t="s">
        <v>268</v>
      </c>
      <c r="GV3" s="48" t="s">
        <v>229</v>
      </c>
      <c r="GW3" s="48" t="s">
        <v>230</v>
      </c>
      <c r="GX3" s="48" t="s">
        <v>231</v>
      </c>
      <c r="GY3" s="48" t="s">
        <v>172</v>
      </c>
      <c r="GZ3" s="48" t="s">
        <v>232</v>
      </c>
      <c r="HA3" s="48" t="s">
        <v>172</v>
      </c>
      <c r="HB3" s="48" t="s">
        <v>234</v>
      </c>
      <c r="HC3" s="48" t="s">
        <v>269</v>
      </c>
      <c r="HE3" s="71"/>
      <c r="HF3" s="72" t="s">
        <v>270</v>
      </c>
      <c r="HG3" s="73" t="s">
        <v>271</v>
      </c>
      <c r="HH3" s="48" t="s">
        <v>272</v>
      </c>
      <c r="HI3" s="48" t="s">
        <v>272</v>
      </c>
      <c r="HJ3" s="48" t="s">
        <v>273</v>
      </c>
      <c r="HL3" s="48" t="s">
        <v>274</v>
      </c>
      <c r="HM3" s="72" t="s">
        <v>275</v>
      </c>
      <c r="HN3" s="74" t="s">
        <v>275</v>
      </c>
      <c r="HO3" s="75">
        <v>45610</v>
      </c>
      <c r="HP3" s="48" t="s">
        <v>151</v>
      </c>
      <c r="HQ3" s="48" t="s">
        <v>152</v>
      </c>
      <c r="HR3" s="48" t="s">
        <v>153</v>
      </c>
      <c r="HS3" s="48" t="s">
        <v>154</v>
      </c>
      <c r="HT3" s="48" t="s">
        <v>155</v>
      </c>
      <c r="HU3" s="48" t="s">
        <v>172</v>
      </c>
      <c r="HV3" s="48" t="s">
        <v>157</v>
      </c>
      <c r="HW3" s="48" t="s">
        <v>172</v>
      </c>
      <c r="HX3" s="48" t="s">
        <v>159</v>
      </c>
      <c r="HY3" s="76"/>
      <c r="HZ3" s="76"/>
      <c r="IA3" s="6"/>
      <c r="IB3" s="6"/>
      <c r="IC3" s="77"/>
      <c r="ID3" s="77"/>
      <c r="IE3" s="77"/>
      <c r="IF3" s="77"/>
      <c r="IG3" s="77"/>
      <c r="IH3" s="77"/>
      <c r="II3" s="77"/>
      <c r="IJ3" s="77"/>
      <c r="IK3" s="77"/>
      <c r="IM3" s="45">
        <v>-7</v>
      </c>
      <c r="IN3" s="78" t="s">
        <v>276</v>
      </c>
      <c r="IO3" s="48" t="s">
        <v>243</v>
      </c>
      <c r="IP3" s="48" t="s">
        <v>277</v>
      </c>
      <c r="IQ3" s="48" t="s">
        <v>244</v>
      </c>
      <c r="IR3" s="48" t="s">
        <v>245</v>
      </c>
      <c r="IS3" s="48" t="s">
        <v>246</v>
      </c>
      <c r="IT3" s="48" t="s">
        <v>172</v>
      </c>
      <c r="IU3" s="48" t="s">
        <v>247</v>
      </c>
      <c r="IV3" s="48" t="s">
        <v>172</v>
      </c>
      <c r="IW3" s="48" t="s">
        <v>249</v>
      </c>
      <c r="IX3" s="48" t="s">
        <v>278</v>
      </c>
      <c r="IY3" s="48">
        <v>1502</v>
      </c>
    </row>
    <row r="4" spans="1:259" s="48" customFormat="1" ht="38.4" customHeight="1" thickBot="1" x14ac:dyDescent="0.35">
      <c r="A4" s="80" t="s">
        <v>196</v>
      </c>
      <c r="B4" s="40" t="e" vm="139">
        <v>#VALUE!</v>
      </c>
      <c r="C4" s="41" t="s">
        <v>173</v>
      </c>
      <c r="D4" s="42" t="s">
        <v>197</v>
      </c>
      <c r="E4" s="43" t="s">
        <v>197</v>
      </c>
      <c r="F4" s="44" t="s">
        <v>163</v>
      </c>
      <c r="G4" s="45">
        <v>1</v>
      </c>
      <c r="H4" s="46" t="s">
        <v>279</v>
      </c>
      <c r="I4" s="47" t="s">
        <v>198</v>
      </c>
      <c r="J4" s="48" t="s">
        <v>172</v>
      </c>
      <c r="K4" s="49"/>
      <c r="L4" s="50"/>
      <c r="M4" s="50"/>
      <c r="N4" s="51" t="s">
        <v>180</v>
      </c>
      <c r="O4" s="52">
        <v>1968</v>
      </c>
      <c r="P4" s="53" t="s">
        <v>199</v>
      </c>
      <c r="Q4" s="54">
        <v>1</v>
      </c>
      <c r="R4" s="55" t="s">
        <v>180</v>
      </c>
      <c r="S4" s="56">
        <v>3</v>
      </c>
      <c r="T4" s="57" t="s">
        <v>164</v>
      </c>
      <c r="U4" s="58" t="s">
        <v>164</v>
      </c>
      <c r="V4" s="58" t="s">
        <v>164</v>
      </c>
      <c r="W4" s="58" t="s">
        <v>167</v>
      </c>
      <c r="X4" s="58" t="s">
        <v>164</v>
      </c>
      <c r="Y4" s="58" t="s">
        <v>167</v>
      </c>
      <c r="Z4" s="58" t="s">
        <v>164</v>
      </c>
      <c r="AA4" s="58" t="s">
        <v>167</v>
      </c>
      <c r="AB4" s="58" t="s">
        <v>167</v>
      </c>
      <c r="AC4" s="58" t="s">
        <v>164</v>
      </c>
      <c r="AD4" s="58" t="s">
        <v>164</v>
      </c>
      <c r="AE4" s="58" t="s">
        <v>164</v>
      </c>
      <c r="AF4" s="59" t="s">
        <v>164</v>
      </c>
      <c r="AG4" s="59" t="s">
        <v>167</v>
      </c>
      <c r="AH4" s="59" t="s">
        <v>167</v>
      </c>
      <c r="AI4" s="59" t="s">
        <v>164</v>
      </c>
      <c r="AJ4" s="59" t="s">
        <v>164</v>
      </c>
      <c r="AK4" s="59" t="s">
        <v>164</v>
      </c>
      <c r="AL4" s="59" t="s">
        <v>164</v>
      </c>
      <c r="AM4" s="59" t="s">
        <v>167</v>
      </c>
      <c r="AN4" s="59" t="s">
        <v>164</v>
      </c>
      <c r="AO4" s="59" t="s">
        <v>164</v>
      </c>
      <c r="AP4" s="59" t="s">
        <v>164</v>
      </c>
      <c r="AQ4" s="59" t="s">
        <v>164</v>
      </c>
      <c r="AR4" s="59" t="s">
        <v>164</v>
      </c>
      <c r="AS4" s="59" t="s">
        <v>164</v>
      </c>
      <c r="AT4" s="60">
        <v>0</v>
      </c>
      <c r="AU4" s="59" t="s">
        <v>174</v>
      </c>
      <c r="AV4" s="59" t="s">
        <v>200</v>
      </c>
      <c r="AW4" s="59" t="str">
        <f>C4&amp;H4&amp;A4</f>
        <v>3b[ZWE] Other[ZWE] Rhodesia</v>
      </c>
      <c r="AX4" s="61"/>
      <c r="AY4" s="61"/>
      <c r="AZ4" s="62" t="s">
        <v>172</v>
      </c>
      <c r="BA4" s="62"/>
      <c r="BB4" s="62"/>
      <c r="BC4" s="63"/>
      <c r="BD4" s="64" t="s">
        <v>153</v>
      </c>
      <c r="BE4" s="47"/>
      <c r="BF4" s="64" t="s">
        <v>153</v>
      </c>
      <c r="BG4" s="64" t="s">
        <v>159</v>
      </c>
      <c r="BH4" s="64" t="s">
        <v>153</v>
      </c>
      <c r="BI4" s="64"/>
      <c r="BJ4" s="64"/>
      <c r="BK4" s="47"/>
      <c r="BL4" s="64" t="s">
        <v>151</v>
      </c>
      <c r="BM4" s="64" t="s">
        <v>172</v>
      </c>
      <c r="BN4" s="64" t="s">
        <v>153</v>
      </c>
      <c r="BO4" s="64" t="s">
        <v>154</v>
      </c>
      <c r="BP4" s="64" t="s">
        <v>155</v>
      </c>
      <c r="BQ4" s="64" t="s">
        <v>172</v>
      </c>
      <c r="BR4" s="64" t="s">
        <v>157</v>
      </c>
      <c r="BS4" s="64" t="s">
        <v>158</v>
      </c>
      <c r="BT4" s="64" t="s">
        <v>159</v>
      </c>
      <c r="BU4" s="65"/>
      <c r="BV4" s="66"/>
      <c r="BW4" s="66">
        <v>0</v>
      </c>
      <c r="BX4" s="47"/>
      <c r="CB4" s="6"/>
      <c r="CC4" s="6"/>
      <c r="CD4" s="67">
        <v>0</v>
      </c>
      <c r="CE4" s="67">
        <v>0</v>
      </c>
      <c r="CF4" s="67" t="e">
        <v>#REF!</v>
      </c>
      <c r="CG4" s="68">
        <v>7</v>
      </c>
      <c r="CH4" s="59" t="s">
        <v>164</v>
      </c>
      <c r="CI4" s="59" t="s">
        <v>164</v>
      </c>
      <c r="CJ4" s="59" t="s">
        <v>164</v>
      </c>
      <c r="CK4" s="59" t="s">
        <v>167</v>
      </c>
      <c r="CL4" s="59" t="s">
        <v>164</v>
      </c>
      <c r="CM4" s="59" t="s">
        <v>164</v>
      </c>
      <c r="CN4" s="59" t="s">
        <v>167</v>
      </c>
      <c r="CO4" s="59" t="s">
        <v>164</v>
      </c>
      <c r="CP4" s="59" t="s">
        <v>167</v>
      </c>
      <c r="CQ4" s="59" t="s">
        <v>164</v>
      </c>
      <c r="CR4" s="59" t="s">
        <v>164</v>
      </c>
      <c r="CS4" s="59" t="s">
        <v>164</v>
      </c>
      <c r="CT4" s="69" t="s">
        <v>201</v>
      </c>
      <c r="CU4" s="70" t="s">
        <v>202</v>
      </c>
      <c r="CV4" s="48" t="s">
        <v>203</v>
      </c>
      <c r="CW4" s="48" t="s">
        <v>172</v>
      </c>
      <c r="CX4" s="48" t="s">
        <v>172</v>
      </c>
      <c r="CY4" s="48" t="s">
        <v>172</v>
      </c>
      <c r="CZ4" s="48" t="s">
        <v>204</v>
      </c>
      <c r="DA4" s="48" t="s">
        <v>172</v>
      </c>
      <c r="DB4" s="48" t="s">
        <v>172</v>
      </c>
      <c r="DC4" s="48" t="s">
        <v>172</v>
      </c>
      <c r="DD4" s="48" t="s">
        <v>205</v>
      </c>
      <c r="DE4" s="48" t="s">
        <v>206</v>
      </c>
      <c r="DF4" s="48" t="s">
        <v>172</v>
      </c>
      <c r="DG4" s="48" t="s">
        <v>172</v>
      </c>
      <c r="DH4" s="48" t="s">
        <v>172</v>
      </c>
      <c r="DI4" s="48" t="s">
        <v>207</v>
      </c>
      <c r="DJ4" s="48" t="s">
        <v>172</v>
      </c>
      <c r="DK4" s="48" t="s">
        <v>208</v>
      </c>
      <c r="DL4" s="48" t="s">
        <v>172</v>
      </c>
      <c r="DM4" s="48" t="s">
        <v>172</v>
      </c>
      <c r="DN4" s="48" t="s">
        <v>172</v>
      </c>
      <c r="DO4" s="48" t="s">
        <v>209</v>
      </c>
      <c r="DP4" s="6" t="s">
        <v>172</v>
      </c>
      <c r="DQ4" s="6" t="s">
        <v>172</v>
      </c>
      <c r="DR4" s="6" t="s">
        <v>172</v>
      </c>
      <c r="DS4" s="6" t="s">
        <v>210</v>
      </c>
      <c r="DT4" s="6" t="s">
        <v>172</v>
      </c>
      <c r="DU4" s="6" t="s">
        <v>172</v>
      </c>
      <c r="DV4" s="48" t="s">
        <v>172</v>
      </c>
      <c r="DW4" s="48" t="s">
        <v>172</v>
      </c>
      <c r="DX4" s="48" t="s">
        <v>172</v>
      </c>
      <c r="DY4" s="48" t="s">
        <v>211</v>
      </c>
      <c r="DZ4" s="48" t="s">
        <v>172</v>
      </c>
      <c r="EA4" s="48" t="s">
        <v>172</v>
      </c>
      <c r="EB4" s="48" t="s">
        <v>172</v>
      </c>
      <c r="EC4" s="48" t="s">
        <v>172</v>
      </c>
      <c r="ED4" s="48" t="s">
        <v>212</v>
      </c>
      <c r="EE4" s="48" t="s">
        <v>172</v>
      </c>
      <c r="EF4" s="48" t="s">
        <v>213</v>
      </c>
      <c r="EG4" s="48" t="s">
        <v>172</v>
      </c>
      <c r="EH4" s="48" t="s">
        <v>214</v>
      </c>
      <c r="EI4" s="48" t="s">
        <v>215</v>
      </c>
      <c r="EJ4" s="48" t="s">
        <v>172</v>
      </c>
      <c r="EK4" s="48" t="s">
        <v>172</v>
      </c>
      <c r="EL4" s="48" t="s">
        <v>172</v>
      </c>
      <c r="EM4" s="48" t="s">
        <v>172</v>
      </c>
      <c r="EN4" s="48" t="s">
        <v>216</v>
      </c>
      <c r="EO4" s="48" t="s">
        <v>217</v>
      </c>
      <c r="EP4" s="48" t="s">
        <v>172</v>
      </c>
      <c r="EQ4" s="48" t="s">
        <v>172</v>
      </c>
      <c r="ER4" s="48" t="s">
        <v>172</v>
      </c>
      <c r="ES4" s="48" t="s">
        <v>172</v>
      </c>
      <c r="ET4" s="48" t="s">
        <v>218</v>
      </c>
      <c r="EU4" s="48" t="s">
        <v>172</v>
      </c>
      <c r="EV4" s="48" t="s">
        <v>172</v>
      </c>
      <c r="EW4" s="48" t="s">
        <v>172</v>
      </c>
      <c r="EX4" s="48" t="s">
        <v>172</v>
      </c>
      <c r="EY4" s="48" t="s">
        <v>172</v>
      </c>
      <c r="EZ4" s="48" t="s">
        <v>172</v>
      </c>
      <c r="FA4" s="48" t="s">
        <v>172</v>
      </c>
      <c r="FB4" s="48" t="s">
        <v>172</v>
      </c>
      <c r="FC4" s="48" t="s">
        <v>172</v>
      </c>
      <c r="FD4" s="48" t="s">
        <v>172</v>
      </c>
      <c r="FE4" s="48" t="s">
        <v>219</v>
      </c>
      <c r="FF4" s="48" t="s">
        <v>172</v>
      </c>
      <c r="FG4" s="48" t="s">
        <v>172</v>
      </c>
      <c r="FH4" s="48" t="s">
        <v>172</v>
      </c>
      <c r="FI4" s="48" t="s">
        <v>172</v>
      </c>
      <c r="FJ4" s="48" t="s">
        <v>172</v>
      </c>
      <c r="FK4" s="48" t="s">
        <v>172</v>
      </c>
      <c r="FL4" s="48" t="s">
        <v>172</v>
      </c>
      <c r="FM4" s="48" t="s">
        <v>172</v>
      </c>
      <c r="FN4" s="48" t="s">
        <v>172</v>
      </c>
      <c r="FO4" s="48" t="s">
        <v>172</v>
      </c>
      <c r="FP4" s="48" t="s">
        <v>172</v>
      </c>
      <c r="FQ4" s="48" t="s">
        <v>220</v>
      </c>
      <c r="FR4" s="48" t="s">
        <v>221</v>
      </c>
      <c r="FS4" s="48" t="s">
        <v>222</v>
      </c>
      <c r="FT4" s="48" t="s">
        <v>223</v>
      </c>
      <c r="FU4" s="48" t="s">
        <v>172</v>
      </c>
      <c r="FV4" s="48" t="s">
        <v>172</v>
      </c>
      <c r="FW4" s="48" t="s">
        <v>172</v>
      </c>
      <c r="FX4" s="48" t="s">
        <v>172</v>
      </c>
      <c r="FY4" s="48" t="s">
        <v>172</v>
      </c>
      <c r="FZ4" s="48" t="s">
        <v>172</v>
      </c>
      <c r="GA4" s="48" t="s">
        <v>172</v>
      </c>
      <c r="GB4" s="48" t="s">
        <v>172</v>
      </c>
      <c r="GC4" s="48" t="s">
        <v>172</v>
      </c>
      <c r="GD4" s="48" t="s">
        <v>172</v>
      </c>
      <c r="GE4" s="48" t="s">
        <v>172</v>
      </c>
      <c r="GF4" s="48" t="s">
        <v>224</v>
      </c>
      <c r="GG4" s="48" t="s">
        <v>172</v>
      </c>
      <c r="GH4" s="48" t="s">
        <v>172</v>
      </c>
      <c r="GI4" s="48" t="s">
        <v>172</v>
      </c>
      <c r="GJ4" s="48" t="s">
        <v>225</v>
      </c>
      <c r="GK4" s="48" t="s">
        <v>172</v>
      </c>
      <c r="GL4" s="48" t="s">
        <v>172</v>
      </c>
      <c r="GM4" s="48" t="s">
        <v>172</v>
      </c>
      <c r="GN4" s="48" t="s">
        <v>172</v>
      </c>
      <c r="GP4" s="48" t="s">
        <v>226</v>
      </c>
      <c r="GS4" s="48" t="s">
        <v>227</v>
      </c>
      <c r="GT4" s="48" t="s">
        <v>228</v>
      </c>
      <c r="GU4" s="48" t="s">
        <v>172</v>
      </c>
      <c r="GV4" s="48" t="s">
        <v>229</v>
      </c>
      <c r="GW4" s="48" t="s">
        <v>230</v>
      </c>
      <c r="GX4" s="48" t="s">
        <v>231</v>
      </c>
      <c r="GY4" s="48" t="s">
        <v>172</v>
      </c>
      <c r="GZ4" s="48" t="s">
        <v>232</v>
      </c>
      <c r="HA4" s="48" t="s">
        <v>233</v>
      </c>
      <c r="HB4" s="48" t="s">
        <v>234</v>
      </c>
      <c r="HC4" s="48" t="s">
        <v>235</v>
      </c>
      <c r="HE4" s="71"/>
      <c r="HF4" s="72" t="s">
        <v>236</v>
      </c>
      <c r="HG4" s="73" t="s">
        <v>237</v>
      </c>
      <c r="HH4" s="48" t="s">
        <v>238</v>
      </c>
      <c r="HI4" s="48" t="s">
        <v>238</v>
      </c>
      <c r="HJ4" s="48" t="s">
        <v>239</v>
      </c>
      <c r="HL4" s="48" t="s">
        <v>240</v>
      </c>
      <c r="HM4" s="72" t="s">
        <v>241</v>
      </c>
      <c r="HN4" s="74" t="s">
        <v>241</v>
      </c>
      <c r="HO4" s="75">
        <v>45576</v>
      </c>
      <c r="HP4" s="48" t="s">
        <v>151</v>
      </c>
      <c r="HQ4" s="48" t="s">
        <v>172</v>
      </c>
      <c r="HR4" s="48" t="s">
        <v>153</v>
      </c>
      <c r="HS4" s="48" t="s">
        <v>154</v>
      </c>
      <c r="HT4" s="48" t="s">
        <v>155</v>
      </c>
      <c r="HU4" s="48" t="s">
        <v>172</v>
      </c>
      <c r="HV4" s="48" t="s">
        <v>157</v>
      </c>
      <c r="HW4" s="48" t="s">
        <v>158</v>
      </c>
      <c r="HX4" s="48" t="s">
        <v>159</v>
      </c>
      <c r="HY4" s="76"/>
      <c r="HZ4" s="76"/>
      <c r="IA4" s="6"/>
      <c r="IB4" s="6"/>
      <c r="IC4" s="77"/>
      <c r="ID4" s="77"/>
      <c r="IE4" s="77"/>
      <c r="IF4" s="77"/>
      <c r="IG4" s="77"/>
      <c r="IH4" s="77"/>
      <c r="II4" s="77"/>
      <c r="IJ4" s="77"/>
      <c r="IK4" s="77"/>
      <c r="IL4" s="48">
        <v>0</v>
      </c>
      <c r="IM4" s="45">
        <v>-7</v>
      </c>
      <c r="IN4" s="78" t="s">
        <v>242</v>
      </c>
      <c r="IO4" s="48" t="s">
        <v>243</v>
      </c>
      <c r="IP4" s="48" t="s">
        <v>172</v>
      </c>
      <c r="IQ4" s="48" t="s">
        <v>244</v>
      </c>
      <c r="IR4" s="48" t="s">
        <v>245</v>
      </c>
      <c r="IS4" s="48" t="s">
        <v>246</v>
      </c>
      <c r="IT4" s="48" t="s">
        <v>172</v>
      </c>
      <c r="IU4" s="48" t="s">
        <v>247</v>
      </c>
      <c r="IV4" s="48" t="s">
        <v>248</v>
      </c>
      <c r="IW4" s="48" t="s">
        <v>249</v>
      </c>
      <c r="IX4" s="48" t="s">
        <v>250</v>
      </c>
      <c r="IY4" s="48">
        <v>915</v>
      </c>
    </row>
    <row r="6" spans="1:259" ht="38.4" customHeight="1" x14ac:dyDescent="0.3">
      <c r="G6" s="82"/>
      <c r="H6" s="82"/>
      <c r="I6" s="82"/>
    </row>
    <row r="7" spans="1:259" ht="38.4" customHeight="1" x14ac:dyDescent="0.3">
      <c r="G7" s="82"/>
      <c r="H7" s="82"/>
      <c r="I7" s="82"/>
    </row>
    <row r="8" spans="1:259" ht="38.4" customHeight="1" x14ac:dyDescent="0.3">
      <c r="G8" s="82"/>
      <c r="H8" s="82"/>
      <c r="I8" s="82"/>
    </row>
    <row r="9" spans="1:259" ht="38.4" customHeight="1" x14ac:dyDescent="0.3">
      <c r="G9" s="82"/>
      <c r="H9" s="82"/>
      <c r="I9" s="82"/>
    </row>
  </sheetData>
  <autoFilter ref="A1:IY1" xr:uid="{A1051193-A95B-4CFB-A73C-F0184620C81F}">
    <sortState xmlns:xlrd2="http://schemas.microsoft.com/office/spreadsheetml/2017/richdata2" ref="A2:IY4">
      <sortCondition ref="AW1"/>
    </sortState>
  </autoFilter>
  <conditionalFormatting sqref="H1 CW1:GS1 IA1:IB1">
    <cfRule type="cellIs" dxfId="178" priority="201" operator="greaterThan">
      <formula>0</formula>
    </cfRule>
  </conditionalFormatting>
  <conditionalFormatting sqref="H1 H5 H10:H1048576">
    <cfRule type="cellIs" dxfId="177" priority="167" stopIfTrue="1" operator="notEqual">
      <formula>""</formula>
    </cfRule>
  </conditionalFormatting>
  <conditionalFormatting sqref="T1:BK1">
    <cfRule type="cellIs" dxfId="176" priority="204" operator="greaterThan">
      <formula>0</formula>
    </cfRule>
  </conditionalFormatting>
  <conditionalFormatting sqref="BV1:BW1 BV5:BW1048576">
    <cfRule type="cellIs" dxfId="175" priority="203" operator="equal">
      <formula>"nc"</formula>
    </cfRule>
  </conditionalFormatting>
  <conditionalFormatting sqref="HF1:HG1">
    <cfRule type="cellIs" dxfId="174" priority="205" operator="greaterThan">
      <formula>0</formula>
    </cfRule>
  </conditionalFormatting>
  <conditionalFormatting sqref="HK1">
    <cfRule type="cellIs" dxfId="173" priority="202" operator="greaterThan">
      <formula>0</formula>
    </cfRule>
  </conditionalFormatting>
  <conditionalFormatting sqref="HP1:HX1">
    <cfRule type="cellIs" dxfId="172" priority="179" operator="equal">
      <formula>"PIN"</formula>
    </cfRule>
    <cfRule type="cellIs" dxfId="171" priority="180" operator="equal">
      <formula>"ORA"</formula>
    </cfRule>
    <cfRule type="cellIs" dxfId="170" priority="181" operator="equal">
      <formula>"GRA"</formula>
    </cfRule>
    <cfRule type="cellIs" dxfId="169" priority="182" operator="equal">
      <formula>"PUR"</formula>
    </cfRule>
    <cfRule type="cellIs" dxfId="168" priority="183" operator="equal">
      <formula>"BRO"</formula>
    </cfRule>
    <cfRule type="cellIs" dxfId="167" priority="184" operator="equal">
      <formula>"YEL"</formula>
    </cfRule>
    <cfRule type="cellIs" dxfId="166" priority="185" operator="equal">
      <formula>"BLU"</formula>
    </cfRule>
    <cfRule type="cellIs" dxfId="165" priority="186" operator="equal">
      <formula>"WHI"</formula>
    </cfRule>
    <cfRule type="cellIs" dxfId="164" priority="187" operator="equal">
      <formula>"GRE"</formula>
    </cfRule>
    <cfRule type="cellIs" dxfId="163" priority="188" operator="equal">
      <formula>"RED"</formula>
    </cfRule>
    <cfRule type="cellIs" dxfId="162" priority="189" operator="equal">
      <formula>"BLA"</formula>
    </cfRule>
  </conditionalFormatting>
  <conditionalFormatting sqref="IC1:IK1">
    <cfRule type="cellIs" dxfId="161" priority="190" operator="equal">
      <formula>"PIN"</formula>
    </cfRule>
    <cfRule type="cellIs" dxfId="160" priority="191" operator="equal">
      <formula>"ORA"</formula>
    </cfRule>
    <cfRule type="cellIs" dxfId="159" priority="192" operator="equal">
      <formula>"GRA"</formula>
    </cfRule>
    <cfRule type="cellIs" dxfId="158" priority="193" operator="equal">
      <formula>"PUR"</formula>
    </cfRule>
    <cfRule type="cellIs" dxfId="157" priority="194" operator="equal">
      <formula>"BRO"</formula>
    </cfRule>
    <cfRule type="cellIs" dxfId="156" priority="195" operator="equal">
      <formula>"YEL"</formula>
    </cfRule>
    <cfRule type="cellIs" dxfId="155" priority="196" operator="equal">
      <formula>"BLU"</formula>
    </cfRule>
    <cfRule type="cellIs" dxfId="154" priority="197" operator="equal">
      <formula>"WHI"</formula>
    </cfRule>
    <cfRule type="cellIs" dxfId="153" priority="198" operator="equal">
      <formula>"GRE"</formula>
    </cfRule>
    <cfRule type="cellIs" dxfId="152" priority="199" operator="equal">
      <formula>"RED"</formula>
    </cfRule>
    <cfRule type="cellIs" dxfId="151" priority="200" operator="equal">
      <formula>"BLA"</formula>
    </cfRule>
  </conditionalFormatting>
  <conditionalFormatting sqref="IO1:IW1">
    <cfRule type="cellIs" dxfId="150" priority="168" operator="equal">
      <formula>"PIN"</formula>
    </cfRule>
    <cfRule type="cellIs" dxfId="149" priority="169" operator="equal">
      <formula>"ORA"</formula>
    </cfRule>
    <cfRule type="cellIs" dxfId="148" priority="170" operator="equal">
      <formula>"GRA"</formula>
    </cfRule>
    <cfRule type="cellIs" dxfId="147" priority="171" operator="equal">
      <formula>"PUR"</formula>
    </cfRule>
    <cfRule type="cellIs" dxfId="146" priority="172" operator="equal">
      <formula>"BRO"</formula>
    </cfRule>
    <cfRule type="cellIs" dxfId="145" priority="173" operator="equal">
      <formula>"YEL"</formula>
    </cfRule>
    <cfRule type="cellIs" dxfId="144" priority="174" operator="equal">
      <formula>"BLU"</formula>
    </cfRule>
    <cfRule type="cellIs" dxfId="143" priority="175" operator="equal">
      <formula>"WHI"</formula>
    </cfRule>
    <cfRule type="cellIs" dxfId="142" priority="176" operator="equal">
      <formula>"GRE"</formula>
    </cfRule>
    <cfRule type="cellIs" dxfId="141" priority="177" operator="equal">
      <formula>"RED"</formula>
    </cfRule>
    <cfRule type="cellIs" dxfId="140" priority="178" operator="equal">
      <formula>"BLA"</formula>
    </cfRule>
  </conditionalFormatting>
  <conditionalFormatting sqref="H2">
    <cfRule type="cellIs" dxfId="139" priority="77" stopIfTrue="1" operator="notEqual">
      <formula>""</formula>
    </cfRule>
  </conditionalFormatting>
  <conditionalFormatting sqref="R2 CU2">
    <cfRule type="cellIs" dxfId="138" priority="79" operator="greaterThan">
      <formula>0</formula>
    </cfRule>
  </conditionalFormatting>
  <conditionalFormatting sqref="T2:AS2 CH2:CS2">
    <cfRule type="cellIs" dxfId="137" priority="74" stopIfTrue="1" operator="equal">
      <formula>"n"</formula>
    </cfRule>
    <cfRule type="cellIs" dxfId="136" priority="75" stopIfTrue="1" operator="equal">
      <formula>"y"</formula>
    </cfRule>
    <cfRule type="cellIs" dxfId="135" priority="76" operator="greaterThan">
      <formula>0</formula>
    </cfRule>
  </conditionalFormatting>
  <conditionalFormatting sqref="AZ2:BB2">
    <cfRule type="expression" dxfId="134" priority="61">
      <formula>$AT2=0</formula>
    </cfRule>
  </conditionalFormatting>
  <conditionalFormatting sqref="AZ2:BU2">
    <cfRule type="cellIs" dxfId="133" priority="62" operator="equal">
      <formula>"PIN"</formula>
    </cfRule>
    <cfRule type="cellIs" dxfId="132" priority="63" operator="equal">
      <formula>"ORA"</formula>
    </cfRule>
    <cfRule type="cellIs" dxfId="131" priority="64" operator="equal">
      <formula>"GRA"</formula>
    </cfRule>
    <cfRule type="cellIs" dxfId="130" priority="65" operator="equal">
      <formula>"PUR"</formula>
    </cfRule>
    <cfRule type="cellIs" dxfId="129" priority="66" operator="equal">
      <formula>"BRO"</formula>
    </cfRule>
    <cfRule type="cellIs" dxfId="128" priority="67" operator="equal">
      <formula>"YEL"</formula>
    </cfRule>
    <cfRule type="cellIs" dxfId="127" priority="68" operator="equal">
      <formula>"BLU"</formula>
    </cfRule>
    <cfRule type="cellIs" dxfId="126" priority="69" operator="equal">
      <formula>"WHI"</formula>
    </cfRule>
    <cfRule type="cellIs" dxfId="125" priority="70" operator="equal">
      <formula>"GRE"</formula>
    </cfRule>
    <cfRule type="cellIs" dxfId="124" priority="71" operator="equal">
      <formula>"RED"</formula>
    </cfRule>
    <cfRule type="cellIs" dxfId="123" priority="72" operator="equal">
      <formula>"BLA"</formula>
    </cfRule>
  </conditionalFormatting>
  <conditionalFormatting sqref="BV2">
    <cfRule type="cellIs" dxfId="122" priority="78" operator="equal">
      <formula>"nc"</formula>
    </cfRule>
  </conditionalFormatting>
  <conditionalFormatting sqref="BZ2:CA2 CD2:CF2">
    <cfRule type="cellIs" dxfId="121" priority="73" operator="greaterThan">
      <formula>0</formula>
    </cfRule>
  </conditionalFormatting>
  <conditionalFormatting sqref="IC2:IK2">
    <cfRule type="expression" dxfId="120" priority="60">
      <formula>$IL2&gt;0</formula>
    </cfRule>
  </conditionalFormatting>
  <conditionalFormatting sqref="BX2:CA2 CD2:CF2">
    <cfRule type="cellIs" dxfId="119" priority="48" operator="equal">
      <formula>"y"</formula>
    </cfRule>
    <cfRule type="cellIs" dxfId="118" priority="49" operator="equal">
      <formula>"PIN"</formula>
    </cfRule>
    <cfRule type="cellIs" dxfId="117" priority="50" operator="equal">
      <formula>"ORA"</formula>
    </cfRule>
    <cfRule type="cellIs" dxfId="116" priority="51" operator="equal">
      <formula>"GRA"</formula>
    </cfRule>
    <cfRule type="cellIs" dxfId="115" priority="52" operator="equal">
      <formula>"PUR"</formula>
    </cfRule>
    <cfRule type="cellIs" dxfId="114" priority="53" operator="equal">
      <formula>"BRO"</formula>
    </cfRule>
    <cfRule type="cellIs" dxfId="113" priority="54" operator="equal">
      <formula>"YEL"</formula>
    </cfRule>
    <cfRule type="cellIs" dxfId="112" priority="55" operator="equal">
      <formula>"BLU"</formula>
    </cfRule>
    <cfRule type="cellIs" dxfId="111" priority="56" operator="equal">
      <formula>"WHI"</formula>
    </cfRule>
    <cfRule type="cellIs" dxfId="110" priority="57" operator="equal">
      <formula>"GRE"</formula>
    </cfRule>
    <cfRule type="cellIs" dxfId="109" priority="58" operator="equal">
      <formula>"RED"</formula>
    </cfRule>
    <cfRule type="cellIs" dxfId="108" priority="59" operator="equal">
      <formula>"BLA"</formula>
    </cfRule>
  </conditionalFormatting>
  <conditionalFormatting sqref="J2">
    <cfRule type="colorScale" priority="80">
      <colorScale>
        <cfvo type="min"/>
        <cfvo type="percentile" val="50"/>
        <cfvo type="max"/>
        <color rgb="FFF8696B"/>
        <color rgb="FFFFEB84"/>
        <color rgb="FF63BE7B"/>
      </colorScale>
    </cfRule>
  </conditionalFormatting>
  <conditionalFormatting sqref="S2">
    <cfRule type="colorScale" priority="81">
      <colorScale>
        <cfvo type="min"/>
        <cfvo type="max"/>
        <color rgb="FFFCFCFF"/>
        <color rgb="FF754BFB"/>
      </colorScale>
    </cfRule>
  </conditionalFormatting>
  <conditionalFormatting sqref="AT2">
    <cfRule type="colorScale" priority="82">
      <colorScale>
        <cfvo type="min"/>
        <cfvo type="max"/>
        <color rgb="FFFCFCFF"/>
        <color theme="8" tint="0.39997558519241921"/>
      </colorScale>
    </cfRule>
  </conditionalFormatting>
  <conditionalFormatting sqref="CG2">
    <cfRule type="colorScale" priority="83">
      <colorScale>
        <cfvo type="min"/>
        <cfvo type="max"/>
        <color rgb="FFFCFCFF"/>
        <color rgb="FF63BE7B"/>
      </colorScale>
    </cfRule>
  </conditionalFormatting>
  <conditionalFormatting sqref="H3:H4">
    <cfRule type="cellIs" dxfId="107" priority="40" stopIfTrue="1" operator="notEqual">
      <formula>""</formula>
    </cfRule>
  </conditionalFormatting>
  <conditionalFormatting sqref="R3:R4 CU3:CU4">
    <cfRule type="cellIs" dxfId="106" priority="43" operator="greaterThan">
      <formula>0</formula>
    </cfRule>
  </conditionalFormatting>
  <conditionalFormatting sqref="T3:AS4 CH3:CS4">
    <cfRule type="cellIs" dxfId="105" priority="37" stopIfTrue="1" operator="equal">
      <formula>"n"</formula>
    </cfRule>
    <cfRule type="cellIs" dxfId="104" priority="38" stopIfTrue="1" operator="equal">
      <formula>"y"</formula>
    </cfRule>
    <cfRule type="cellIs" dxfId="103" priority="39" operator="greaterThan">
      <formula>0</formula>
    </cfRule>
  </conditionalFormatting>
  <conditionalFormatting sqref="AZ3:BB4">
    <cfRule type="expression" dxfId="102" priority="24">
      <formula>$AT3=0</formula>
    </cfRule>
  </conditionalFormatting>
  <conditionalFormatting sqref="BX3:CA4 CD3:CF4 AZ3:BU4">
    <cfRule type="cellIs" dxfId="101" priority="25" operator="equal">
      <formula>"PIN"</formula>
    </cfRule>
    <cfRule type="cellIs" dxfId="100" priority="26" operator="equal">
      <formula>"ORA"</formula>
    </cfRule>
    <cfRule type="cellIs" dxfId="99" priority="27" operator="equal">
      <formula>"GRA"</formula>
    </cfRule>
    <cfRule type="cellIs" dxfId="98" priority="28" operator="equal">
      <formula>"PUR"</formula>
    </cfRule>
    <cfRule type="cellIs" dxfId="97" priority="29" operator="equal">
      <formula>"BRO"</formula>
    </cfRule>
    <cfRule type="cellIs" dxfId="96" priority="30" operator="equal">
      <formula>"YEL"</formula>
    </cfRule>
    <cfRule type="cellIs" dxfId="95" priority="31" operator="equal">
      <formula>"BLU"</formula>
    </cfRule>
    <cfRule type="cellIs" dxfId="94" priority="32" operator="equal">
      <formula>"WHI"</formula>
    </cfRule>
    <cfRule type="cellIs" dxfId="93" priority="33" operator="equal">
      <formula>"GRE"</formula>
    </cfRule>
    <cfRule type="cellIs" dxfId="92" priority="34" operator="equal">
      <formula>"RED"</formula>
    </cfRule>
    <cfRule type="cellIs" dxfId="91" priority="35" operator="equal">
      <formula>"BLA"</formula>
    </cfRule>
  </conditionalFormatting>
  <conditionalFormatting sqref="BV3:BV4">
    <cfRule type="cellIs" dxfId="90" priority="42" operator="equal">
      <formula>"nc"</formula>
    </cfRule>
  </conditionalFormatting>
  <conditionalFormatting sqref="BX3:CA4 CD3:CF4">
    <cfRule type="cellIs" dxfId="89" priority="41" operator="equal">
      <formula>"y"</formula>
    </cfRule>
  </conditionalFormatting>
  <conditionalFormatting sqref="BZ3:CA4 CD3:CF4">
    <cfRule type="cellIs" dxfId="88" priority="36" operator="greaterThan">
      <formula>0</formula>
    </cfRule>
  </conditionalFormatting>
  <conditionalFormatting sqref="IC3:IK4">
    <cfRule type="expression" dxfId="87" priority="23">
      <formula>$IL3&gt;0</formula>
    </cfRule>
  </conditionalFormatting>
  <conditionalFormatting sqref="IC3:IC4">
    <cfRule type="cellIs" dxfId="86" priority="17" stopIfTrue="1" operator="greaterThan">
      <formula>0</formula>
    </cfRule>
  </conditionalFormatting>
  <conditionalFormatting sqref="ID3:ID4">
    <cfRule type="cellIs" dxfId="85" priority="15" stopIfTrue="1" operator="greaterThan">
      <formula>0</formula>
    </cfRule>
  </conditionalFormatting>
  <conditionalFormatting sqref="II3:II4 IE3:IF4">
    <cfRule type="cellIs" dxfId="84" priority="22" operator="greaterThan">
      <formula>0</formula>
    </cfRule>
  </conditionalFormatting>
  <conditionalFormatting sqref="II3:II4 IF3:IF4">
    <cfRule type="cellIs" dxfId="83" priority="16" stopIfTrue="1" operator="greaterThan">
      <formula>0</formula>
    </cfRule>
  </conditionalFormatting>
  <conditionalFormatting sqref="IG3:IG4">
    <cfRule type="cellIs" dxfId="82" priority="21" operator="greaterThan">
      <formula>0</formula>
    </cfRule>
  </conditionalFormatting>
  <conditionalFormatting sqref="IH3:II4">
    <cfRule type="cellIs" dxfId="81" priority="20" operator="greaterThan">
      <formula>0</formula>
    </cfRule>
  </conditionalFormatting>
  <conditionalFormatting sqref="IJ3:IJ4">
    <cfRule type="cellIs" dxfId="80" priority="19" operator="greaterThan">
      <formula>0</formula>
    </cfRule>
  </conditionalFormatting>
  <conditionalFormatting sqref="IK3:IK4">
    <cfRule type="cellIs" dxfId="79" priority="18" operator="greaterThan">
      <formula>0</formula>
    </cfRule>
  </conditionalFormatting>
  <conditionalFormatting sqref="IF3:IF4">
    <cfRule type="cellIs" dxfId="78" priority="14" stopIfTrue="1" operator="greaterThan">
      <formula>0</formula>
    </cfRule>
  </conditionalFormatting>
  <conditionalFormatting sqref="IM3:IM4">
    <cfRule type="cellIs" dxfId="77" priority="13" operator="equal">
      <formula>0</formula>
    </cfRule>
  </conditionalFormatting>
  <conditionalFormatting sqref="BX3:CA4 CD3:CF4">
    <cfRule type="cellIs" dxfId="76" priority="1" operator="equal">
      <formula>"y"</formula>
    </cfRule>
    <cfRule type="cellIs" dxfId="75" priority="2" operator="equal">
      <formula>"PIN"</formula>
    </cfRule>
    <cfRule type="cellIs" dxfId="74" priority="3" operator="equal">
      <formula>"ORA"</formula>
    </cfRule>
    <cfRule type="cellIs" dxfId="73" priority="4" operator="equal">
      <formula>"GRA"</formula>
    </cfRule>
    <cfRule type="cellIs" dxfId="72" priority="5" operator="equal">
      <formula>"PUR"</formula>
    </cfRule>
    <cfRule type="cellIs" dxfId="71" priority="6" operator="equal">
      <formula>"BRO"</formula>
    </cfRule>
    <cfRule type="cellIs" dxfId="70" priority="7" operator="equal">
      <formula>"YEL"</formula>
    </cfRule>
    <cfRule type="cellIs" dxfId="69" priority="8" operator="equal">
      <formula>"BLU"</formula>
    </cfRule>
    <cfRule type="cellIs" dxfId="68" priority="9" operator="equal">
      <formula>"WHI"</formula>
    </cfRule>
    <cfRule type="cellIs" dxfId="67" priority="10" operator="equal">
      <formula>"GRE"</formula>
    </cfRule>
    <cfRule type="cellIs" dxfId="66" priority="11" operator="equal">
      <formula>"RED"</formula>
    </cfRule>
    <cfRule type="cellIs" dxfId="65" priority="12" operator="equal">
      <formula>"BLA"</formula>
    </cfRule>
  </conditionalFormatting>
  <conditionalFormatting sqref="AT3:AT4">
    <cfRule type="colorScale" priority="44">
      <colorScale>
        <cfvo type="min"/>
        <cfvo type="max"/>
        <color rgb="FFFCFCFF"/>
        <color theme="8" tint="0.39997558519241921"/>
      </colorScale>
    </cfRule>
  </conditionalFormatting>
  <conditionalFormatting sqref="S3:S4">
    <cfRule type="colorScale" priority="45">
      <colorScale>
        <cfvo type="min"/>
        <cfvo type="max"/>
        <color rgb="FFFCFCFF"/>
        <color rgb="FF754BFB"/>
      </colorScale>
    </cfRule>
  </conditionalFormatting>
  <conditionalFormatting sqref="J3:J4">
    <cfRule type="colorScale" priority="46">
      <colorScale>
        <cfvo type="min"/>
        <cfvo type="percentile" val="50"/>
        <cfvo type="max"/>
        <color rgb="FFF8696B"/>
        <color rgb="FFFFEB84"/>
        <color rgb="FF63BE7B"/>
      </colorScale>
    </cfRule>
  </conditionalFormatting>
  <conditionalFormatting sqref="CG3:CG4">
    <cfRule type="colorScale" priority="47">
      <colorScale>
        <cfvo type="min"/>
        <cfvo type="max"/>
        <color rgb="FFFCFCFF"/>
        <color rgb="FF63BE7B"/>
      </colorScale>
    </cfRule>
  </conditionalFormatting>
  <hyperlinks>
    <hyperlink ref="A2" r:id="rId1" display="https://fbref.com/en/country/ZIM/Zimbabwe-Football" xr:uid="{F7A9E78F-184B-4029-9F59-46B545EA3962}"/>
    <hyperlink ref="E2" r:id="rId2" xr:uid="{56C15C4A-BFE8-4BF8-95A8-851A5ED493B6}"/>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4097" r:id="rId6"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4098" r:id="rId7"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4099" r:id="rId8"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docMetadata/LabelInfo.xml><?xml version="1.0" encoding="utf-8"?>
<clbl:labelList xmlns:clbl="http://schemas.microsoft.com/office/2020/mipLabelMetadata">
  <clbl:label id="{9d177183-d467-4059-a04d-31bcd56c2a79}" enabled="1" method="Privileged" siteId="{c7b320cf-0acf-483e-836e-e4eb68663817}"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58</vt:i4>
      </vt:variant>
    </vt:vector>
  </HeadingPairs>
  <TitlesOfParts>
    <vt:vector size="58" baseType="lpstr">
      <vt:lpstr>AGO</vt:lpstr>
      <vt:lpstr>ALG</vt:lpstr>
      <vt:lpstr>BEN</vt:lpstr>
      <vt:lpstr>BFA</vt:lpstr>
      <vt:lpstr>BDI</vt:lpstr>
      <vt:lpstr>BWA</vt:lpstr>
      <vt:lpstr>CAF</vt:lpstr>
      <vt:lpstr>CIV</vt:lpstr>
      <vt:lpstr>CMR</vt:lpstr>
      <vt:lpstr>COG</vt:lpstr>
      <vt:lpstr>COM</vt:lpstr>
      <vt:lpstr>CPV</vt:lpstr>
      <vt:lpstr>DJI</vt:lpstr>
      <vt:lpstr>DRC</vt:lpstr>
      <vt:lpstr>EGY</vt:lpstr>
      <vt:lpstr>EQG</vt:lpstr>
      <vt:lpstr>ERI</vt:lpstr>
      <vt:lpstr>ETH</vt:lpstr>
      <vt:lpstr>GAB</vt:lpstr>
      <vt:lpstr>GMB</vt:lpstr>
      <vt:lpstr>GHA</vt:lpstr>
      <vt:lpstr>GIN</vt:lpstr>
      <vt:lpstr>GNB</vt:lpstr>
      <vt:lpstr>KEN</vt:lpstr>
      <vt:lpstr>LBR</vt:lpstr>
      <vt:lpstr>LIB</vt:lpstr>
      <vt:lpstr>LSO</vt:lpstr>
      <vt:lpstr>MDG</vt:lpstr>
      <vt:lpstr>MUS</vt:lpstr>
      <vt:lpstr>NAM</vt:lpstr>
      <vt:lpstr>NGA</vt:lpstr>
      <vt:lpstr>MYT</vt:lpstr>
      <vt:lpstr>MAR</vt:lpstr>
      <vt:lpstr>MOZ</vt:lpstr>
      <vt:lpstr>NER</vt:lpstr>
      <vt:lpstr>Divs</vt:lpstr>
      <vt:lpstr>MWI</vt:lpstr>
      <vt:lpstr>MRT</vt:lpstr>
      <vt:lpstr>MLI</vt:lpstr>
      <vt:lpstr>REU</vt:lpstr>
      <vt:lpstr>RWA</vt:lpstr>
      <vt:lpstr>RSA</vt:lpstr>
      <vt:lpstr>SHN</vt:lpstr>
      <vt:lpstr>SEN</vt:lpstr>
      <vt:lpstr>SOM</vt:lpstr>
      <vt:lpstr>SLE</vt:lpstr>
      <vt:lpstr>SDN</vt:lpstr>
      <vt:lpstr>SSD</vt:lpstr>
      <vt:lpstr>STP</vt:lpstr>
      <vt:lpstr>SWZ</vt:lpstr>
      <vt:lpstr>SYC</vt:lpstr>
      <vt:lpstr>TCD</vt:lpstr>
      <vt:lpstr>TGO</vt:lpstr>
      <vt:lpstr>TUN</vt:lpstr>
      <vt:lpstr>TZA</vt:lpstr>
      <vt:lpstr>ZMB</vt:lpstr>
      <vt:lpstr>UGA</vt:lpstr>
      <vt:lpstr>ZWE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Castillo</dc:creator>
  <cp:lastModifiedBy>Juan Castillo</cp:lastModifiedBy>
  <dcterms:created xsi:type="dcterms:W3CDTF">2024-12-31T08:40:10Z</dcterms:created>
  <dcterms:modified xsi:type="dcterms:W3CDTF">2024-12-31T11:02:16Z</dcterms:modified>
</cp:coreProperties>
</file>